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N" sheetId="1" r:id="rId4"/>
    <sheet state="visible" name="PATIENT DATA (072721)" sheetId="2" r:id="rId5"/>
    <sheet state="hidden" name="DATA" sheetId="3" r:id="rId6"/>
    <sheet state="visible" name="UASCAN" sheetId="4" r:id="rId7"/>
    <sheet state="hidden" name="QR CODE" sheetId="5" r:id="rId8"/>
    <sheet state="hidden" name="TEMPLATE 4.1" sheetId="6" r:id="rId9"/>
    <sheet state="visible" name="MRN SCAN - FEBRUARY" sheetId="7" r:id="rId10"/>
    <sheet state="visible" name="MRN SCAN - MARCH" sheetId="8" r:id="rId11"/>
    <sheet state="visible" name="MARCH - VISIT DATA" sheetId="9" r:id="rId12"/>
    <sheet state="visible" name="FEB - VISIT DATA" sheetId="10" r:id="rId13"/>
    <sheet state="visible" name="MARCH 2022" sheetId="11" r:id="rId14"/>
    <sheet state="hidden" name="ERRATA" sheetId="12" r:id="rId15"/>
    <sheet state="hidden" name="STATS" sheetId="13" r:id="rId16"/>
    <sheet state="visible" name="FEBRUARY 2022" sheetId="14" r:id="rId17"/>
    <sheet state="hidden" name="FEB" sheetId="15" r:id="rId18"/>
    <sheet state="visible" name="WEEKS" sheetId="16" r:id="rId19"/>
  </sheets>
  <definedNames>
    <definedName name="NamedRange1">#REF!</definedName>
    <definedName hidden="1" localSheetId="2" name="_xlnm._FilterDatabase">DATA!$A$1:$A$997</definedName>
    <definedName hidden="1" localSheetId="9" name="_xlnm._FilterDatabase">'FEB - VISIT DATA'!$A$1:$O$166</definedName>
    <definedName hidden="1" localSheetId="10" name="_xlnm._FilterDatabase">'MARCH 2022'!$A$1:$AA$600</definedName>
    <definedName hidden="1" localSheetId="11" name="_xlnm._FilterDatabase">ERRATA!$C$1:$L$203</definedName>
    <definedName hidden="1" localSheetId="13" name="_xlnm._FilterDatabase">'FEBRUARY 2022'!$A$1:$AA$601</definedName>
    <definedName hidden="1" localSheetId="14" name="_xlnm._FilterDatabase">FEB!$A$1:$Z$923</definedName>
    <definedName hidden="1" localSheetId="5" name="Z_C00DA3AA_9CBE_4B71_9EE3_D1FB1117BF89_.wvu.FilterData">'TEMPLATE 4.1'!$A$1:$AA$100</definedName>
    <definedName hidden="1" localSheetId="10" name="Z_C00DA3AA_9CBE_4B71_9EE3_D1FB1117BF89_.wvu.FilterData">'MARCH 2022'!$B$1:$AA$599</definedName>
    <definedName hidden="1" localSheetId="13" name="Z_C00DA3AA_9CBE_4B71_9EE3_D1FB1117BF89_.wvu.FilterData">'FEBRUARY 2022'!$B$1:$AA$600</definedName>
  </definedNames>
  <calcPr/>
  <customWorkbookViews>
    <customWorkbookView activeSheetId="0" maximized="1" windowHeight="0" windowWidth="0" guid="{C00DA3AA-9CBE-4B71-9EE3-D1FB1117BF89}" name="Filter 1"/>
  </customWorkbookViews>
  <extLst>
    <ext uri="GoogleSheetsCustomDataVersion2">
      <go:sheetsCustomData xmlns:go="http://customooxmlschemas.google.com/" r:id="rId20" roundtripDataChecksum="IiPexZaOoJlp9zH+1/r1BC6B/j9XkcnbHKoz61USWac="/>
    </ext>
  </extLst>
</workbook>
</file>

<file path=xl/sharedStrings.xml><?xml version="1.0" encoding="utf-8"?>
<sst xmlns="http://schemas.openxmlformats.org/spreadsheetml/2006/main" count="21579" uniqueCount="7088">
  <si>
    <t>Timestamp</t>
  </si>
  <si>
    <t>INITIALS</t>
  </si>
  <si>
    <t>BARCODE</t>
  </si>
  <si>
    <t>DOS</t>
  </si>
  <si>
    <t>FA</t>
  </si>
  <si>
    <t>13885, 9265, 18125, 11389, 14185, 18128, 9242, 16135, 16035, 16739, 18159, 16388, 14900, 10047, 9676, 12556, 14256, 18130, 18127, 17982, 18178, 18023, 18144, 17581, 13235, 14184, 17637, 10623, 15910, 11690, 9361, 15972, 16096, 12275, 15831, 10337, 15379, 17209, 12795, 15555, 10766</t>
  </si>
  <si>
    <t>JA</t>
  </si>
  <si>
    <t>17683, 17804, 18160, 18142, 18167,18185, 18179, 13673, 17432,  18149, 16983, 10817,  11207, 14520, 16873, 15570, 14257, 16320, 14373, 17945, 18154, 18173, 15611, 13830, 9492, 11357, 16245, 10718</t>
  </si>
  <si>
    <t>16695, 13601,17645,17214,10796, 16333,10115,13458,10323,16053, 13799, 14503, 15591, 12669, 12775, 15604, 14602, 11223, 16974, 11797, 15145, 17316, 10583, 17587, 12866, 17548, 16474, 17911, 9878, 10395, 14183</t>
  </si>
  <si>
    <t>17276, 9187, 15786, 16637, 10878, 16355, 16236, 11004, 15606, 16252</t>
  </si>
  <si>
    <t>18011, 15785, 14276, 9218, 16958, 11827, 18182, 14079, 11037, 11131, 11163, 18220, 9950, 13853, 16219, 12697, 13205, 18150, 14729, 10444, 16373, 13734, 11773, 17166, 18218, 11162, 15702, 9820, 16039, 18164, 11365</t>
  </si>
  <si>
    <t>9283, 15328, 13429, 15223, 15530, 11411, 17789, 12446, 10466, 9574, 16392, 16286, 11059, 18174, 11072, 18192, 18176, 18189, 17512, 12375, 17854, 10031, 11738, 16294, 11728, 15044, 15659, 9164, 15219, 18207, 16262, 14985, 10445, 14757</t>
  </si>
  <si>
    <t>15549, 18202, 18171, 18105, 18201, 16128, 14186, 14612, 18009, 15175, 18199, 18205, 14909, 10573, 15375, 14753, 12224, 17887, 18246, 11761, 17657</t>
  </si>
  <si>
    <t>14212, 9794, 14293, 9416, 11830, 9286, 16404, 11637, 12662, 17182, 16554, 17948, 16163, 10084, 12875, 17575, 9854, 16347, 9433, 13053, 14986, 17162, 14219, 12124, 15739, 17696, 9376, 13442, 12509, 10157, 17481, 15806, 16875</t>
  </si>
  <si>
    <t>15891, 15892, 15368, 14862, 16167, 16677, 15621, 18215, 18273, 18267, 16914, 18295, 11192, 18136, 18242, 9426, 18145, 9479, 9377, 15791, 11865, 17461, 15176, 15642, 16166, 16425, 15602, 14126, 13970, 10607, 18250, 16443, 16117, 10185, 18243, 18316, 18236, 14103</t>
  </si>
  <si>
    <t>11852, 17761, 13180, 17076, 13273, 17513, 11303, 17714, 16502, 17472, 15479, 10495, 15337, 12884, 17606, 14275, 16483, 13405, 15689, 11065, 13167, 14682, 9220, 9726, 10016</t>
  </si>
  <si>
    <t>18307, 18332, 9998, 18292, 9810, 13512, 18290, 15668, 17557, 16106, 11152, 16574, 10100, 16442, 14406, 16928, 15683, 9170, 17635, 15544, 12572, 17726, 15803, 9245, 16993, 11174, 16299, 11792</t>
  </si>
  <si>
    <t>9623, 12675, 14668, 9858, 11881, 15555, 12752, 10154, 9284, 9945, 10176, 11034, 14019, 17844, 16763, 16995, 17812, 11084, 12938, 14571, 10277, 11218, 9170, 13299, 17343, 9141, 17706, 13892, 15216, 10525</t>
  </si>
  <si>
    <t>15771, 13798, 16246, 11959, 9760, 17367, 10273, 15657, 15002, 15167, 10114, 15335, 14411, 9197, 11171, 13078, 16542, 11856, 9538, 16044</t>
  </si>
  <si>
    <t>16239, 16923, 9309, 18297, 18313, 16310, 15207, 12274,  9303, 18323, 18310, 18403, 18212, 18299, 18122, 9420, 17947, 16873, 16000, 16325, 16156, 10697, 13293, 11562, 9779, 9259, 15716, 11357, 15697, 17476, 16488, 12083, 11026, 16807</t>
  </si>
  <si>
    <t>9200, 14897, 18350, 9892, 14076, 18394, 16312, 15620, 16433, 12792, 18368, 12131, 16822, 1138917025, 9361, 15914, 13830, 17259, 17388, 17127, 14602, 15763, 9488</t>
  </si>
  <si>
    <t>12167, 16560,16037, 15521, 10477, 17055, 10732,  9775, 15600, 9241, 13084, 13331, 17068, 18237, 10708, 15789, 13428, 17042, 14178, 11416, 12888, 17704, 15790, 14502, 18244, 13225, 17318, 17022, 15272, 10801, 11870, 10945, 11012</t>
  </si>
  <si>
    <t>15461, 14200, 17639, 12566, 14816, 15972, 9976, 9308, 14486, 12303, 13118, 14434, 12134, 14267, 14054, 10818, 13355, 14384, 15298, 12876, 9244, 9534, 12225, 10047, 9897, 16476, 15099, 9153, 12088, 15831, 16449, 10623, 15647</t>
  </si>
  <si>
    <t>9957, 14520, 16664, 11476, 11471, 15591, 14587, 12275, 17470, 13579, 9139, 10718, 13673, 16245, 17597, 15571, 14373, 15654, 12795, 17434, 18256, 18312, 9204, 13861, 18337, 10817, 9217, 18463, 18282, 18317, 18281, 14257, 12577, 13440, 18383, 18359, 10330, 14489, 18393, 18318, 18287, 18262, 18376, 18421, 18448, 10291, 18356, 18345</t>
  </si>
  <si>
    <t>18302, 18360, 18426, 18439, 18437, 13719, 14916, 18415, 12787, 18361, 18401, 17728, 15584, 18081, 14810, 18464, 15145, 10323, 10466, 13839, 15984, 15328, 17321, 17092, 17854, 10593, 16974, 12071, 17405, 15604, 16294, 11223, 16685, 11207, 14959</t>
  </si>
  <si>
    <t>10395, 12489, 17186, 9878, 9143, 13880, 15606, 11252, 10416, 15192, 9986, 10316, 14870, 17391, 16427, 15378, 18386, 18225, 13383, 16262, 18399, 14691, 18288, 15255, 18474, 12902, 18489, 17064, 18465</t>
  </si>
  <si>
    <t>15998, 9800, 16562, 18440, 13422, 9586, 18487, 16983, 15665, 18498, 13946, 10604, 17626, 15910, 15923, 16345, 13023, 18364, 17956, 15485, 14955, 18435, 9235, 16481, 10442, 10754, 13488, 15430, 18485, 17345, 17553, 14578</t>
  </si>
  <si>
    <t>11025, 15786, 13528, 12849, 14821, 10355, 16527, 16365, 13432, 9683, 16320, 9903, 9676, 17079, 18066, 16421, 12040, 17777, 17869, 15712, 15175, 14186</t>
  </si>
  <si>
    <t>14388, 10115, 10626, 12659, 9807, 12724, 10941, 16128, 14924, 13152, 16703, 10109, 9861, 15375, 15957, 12614, 14612, 17591, 16548, 18476, 17876, 18366, 18195, 18355, 18333, 15575, 18473, 18420, 18461, 17529, 10583, 10472, 18452, 18454, 18425</t>
  </si>
  <si>
    <t>9583, 17432, 9234, 17722, 9278, 17801, 14066, 18495, 9299, 18468, 18455, 18405, 18370, 11761, 18419, 18412, 10445, 18375, 18509, 18453, 18245, 13522, 18491, 13779, 18438</t>
  </si>
  <si>
    <t>15845, 15407, 18502, 17539, 10882, 18444, 14183, 15502, 18570, 13885, 16119, 14120, 18518, 18486, 15412</t>
  </si>
  <si>
    <t xml:space="preserve">18043, 18410,16473, 18572, 18574, 18521, 14826, 17540, 13536, 17549, 9300, 17421, 11903, 16295 </t>
  </si>
  <si>
    <t>MRN</t>
  </si>
  <si>
    <t>NAME</t>
  </si>
  <si>
    <t>DOB</t>
  </si>
  <si>
    <t>LOPEZ, SERGIO</t>
  </si>
  <si>
    <t>PESTANA, MARIA</t>
  </si>
  <si>
    <t>ANGUIANO, MONIQUE</t>
  </si>
  <si>
    <t>GOODRICH, PHYLLIS LEA</t>
  </si>
  <si>
    <t>MOLINAR, OSCAR</t>
  </si>
  <si>
    <t>DOZIER, BONNIE L</t>
  </si>
  <si>
    <t>TOVAR, SYLVIA</t>
  </si>
  <si>
    <t>ARROYO, JULIETA N</t>
  </si>
  <si>
    <t>YAGER, MINDY</t>
  </si>
  <si>
    <t>BESHEARS, CLAUDE D</t>
  </si>
  <si>
    <t>VILLARREAL, MANUEL</t>
  </si>
  <si>
    <t>GRASS, THOMAS H</t>
  </si>
  <si>
    <t>BROWN, BARBARA M</t>
  </si>
  <si>
    <t>BARTKOWIAK, BRENNA L</t>
  </si>
  <si>
    <t>VERDUGO, ANN S</t>
  </si>
  <si>
    <t>KIMSEY, TOMMIE L</t>
  </si>
  <si>
    <t>AGUILAR-RAMOS, FLORENCIO</t>
  </si>
  <si>
    <t>DOZAL, HECTOR F</t>
  </si>
  <si>
    <t>KILLINGSWORTH, STEVE W</t>
  </si>
  <si>
    <t>JIMENEZ, ALEJANDRINA E</t>
  </si>
  <si>
    <t>MENDOZA, VICTOR M</t>
  </si>
  <si>
    <t>RICHARDSON, VICTORIA E</t>
  </si>
  <si>
    <t>ESPARZA, MARIA DE JESUS</t>
  </si>
  <si>
    <t>ESPARZA, LYDIA G</t>
  </si>
  <si>
    <t>PALMA ACEVEDO, HECTOR D</t>
  </si>
  <si>
    <t>VASQUEZ, ROBERTO</t>
  </si>
  <si>
    <t>GARCIA, DORA T</t>
  </si>
  <si>
    <t>LUJAN, NADINE C</t>
  </si>
  <si>
    <t>LOPEZ JR., RAUL</t>
  </si>
  <si>
    <t>PRICE, STEPHEN L</t>
  </si>
  <si>
    <t>WAGNER, LINDA</t>
  </si>
  <si>
    <t>ARMENDARIZ, SAUL C</t>
  </si>
  <si>
    <t>JARAMILLO, SOFIA</t>
  </si>
  <si>
    <t>MENDEZ, JOVITA A</t>
  </si>
  <si>
    <t>ROBBINS, BOBBY G</t>
  </si>
  <si>
    <t>MAYO, MARIA ELENA E</t>
  </si>
  <si>
    <t>RIOS, JAVIER R</t>
  </si>
  <si>
    <t>MENDOZA, MARTHA P</t>
  </si>
  <si>
    <t>FIGUEROA RODRIGUEZ, MARIA B</t>
  </si>
  <si>
    <t>CRYE, MARGARET H</t>
  </si>
  <si>
    <t>URIAS, REGINO N</t>
  </si>
  <si>
    <t>ORTEGA, HORTENCIA R</t>
  </si>
  <si>
    <t>VILARDELL, IRMA</t>
  </si>
  <si>
    <t>ESPARZA, SANTIAGO</t>
  </si>
  <si>
    <t>GUERRERO, PETRA</t>
  </si>
  <si>
    <t>GOMEZ-LEON, IRENE C</t>
  </si>
  <si>
    <t>MARTINEZ, MARIA LUISA</t>
  </si>
  <si>
    <t>CLEMMONS, MARY W</t>
  </si>
  <si>
    <t>CASAS, RICARDO M</t>
  </si>
  <si>
    <t>BARRAZA, SILVIA</t>
  </si>
  <si>
    <t>LEGARRETA, MARY G</t>
  </si>
  <si>
    <t>ROBLES-DEREZA, LETICIA</t>
  </si>
  <si>
    <t>PAYAN, EUNICE</t>
  </si>
  <si>
    <t>GOSS, HELEN T</t>
  </si>
  <si>
    <t>BURCIAGA, TONY</t>
  </si>
  <si>
    <t>JAMES, BRENDA M</t>
  </si>
  <si>
    <t>LOPEZ, MANUEL R</t>
  </si>
  <si>
    <t>ORTIZ, EVA M</t>
  </si>
  <si>
    <t>RAMIREZ, ROSA E</t>
  </si>
  <si>
    <t>LOCKWOOD, WILLIAM S</t>
  </si>
  <si>
    <t>ACEVEDO, ALFREDO</t>
  </si>
  <si>
    <t>HAGLAND, PAUL I</t>
  </si>
  <si>
    <t>FARR, AVERY W</t>
  </si>
  <si>
    <t>VILLEGAS JR, ROBERT</t>
  </si>
  <si>
    <t>VILLEGAS, PATRICIA B</t>
  </si>
  <si>
    <t>ACOSTA, ANA</t>
  </si>
  <si>
    <t>GONZALEZ, EVANGELINA</t>
  </si>
  <si>
    <t>ESCARSEGA, MICHAEL E</t>
  </si>
  <si>
    <t>ROBINSON, PATRICIA A</t>
  </si>
  <si>
    <t>VALDIVIA, MARIA I</t>
  </si>
  <si>
    <t>PALACIOS, ROMAN</t>
  </si>
  <si>
    <t>VAZQUEZ, ALBERTINA</t>
  </si>
  <si>
    <t>TAPIA, MARTHA N</t>
  </si>
  <si>
    <t>MONROY, MIGUEL</t>
  </si>
  <si>
    <t>OGDEN, ANA T</t>
  </si>
  <si>
    <t>ARROYOS ROJO, ROMELIA</t>
  </si>
  <si>
    <t>OTERO, MARIA I</t>
  </si>
  <si>
    <t>DI PASCUALE, THASMANIA</t>
  </si>
  <si>
    <t>RANGEL, GUADALUPE Q</t>
  </si>
  <si>
    <t>MALDONADO, FRANCES</t>
  </si>
  <si>
    <t>DITIRRO, SHEILA L</t>
  </si>
  <si>
    <t>SALDANA, SANDRA</t>
  </si>
  <si>
    <t>FLORES, MARIA A</t>
  </si>
  <si>
    <t>SALAZAR, CINDY A</t>
  </si>
  <si>
    <t>MORALES, JESUS</t>
  </si>
  <si>
    <t>HOBDY, STARLETTE</t>
  </si>
  <si>
    <t>FIERRO, JOSEPH R</t>
  </si>
  <si>
    <t>CORMIER, RAVONNE P</t>
  </si>
  <si>
    <t>TEST, RECORDS</t>
  </si>
  <si>
    <t>MARTINEZ, KELLY C</t>
  </si>
  <si>
    <t>WILLIAMS, PATRICIA</t>
  </si>
  <si>
    <t>CARRUTHERS, KEOKI K</t>
  </si>
  <si>
    <t>COOPER, PATRICIA A</t>
  </si>
  <si>
    <t>FINKLEA, TERRI</t>
  </si>
  <si>
    <t>SHALLENBERGER, JEAN</t>
  </si>
  <si>
    <t>MOSS, JENNIE G</t>
  </si>
  <si>
    <t>PALMA, KARLA</t>
  </si>
  <si>
    <t>MENDEZ, NOHEMI</t>
  </si>
  <si>
    <t>GARDEA, ROBERT</t>
  </si>
  <si>
    <t>CASTORENA, WILLIAM E</t>
  </si>
  <si>
    <t>ARCHULETA, RITA K</t>
  </si>
  <si>
    <t>JOHNSTON, JOHNNY L</t>
  </si>
  <si>
    <t>PORTILLO, MARIA R</t>
  </si>
  <si>
    <t>URBINA, DOLORES</t>
  </si>
  <si>
    <t>GALLARDO, MARIA D</t>
  </si>
  <si>
    <t>HERNANDEZ, CARLOS J</t>
  </si>
  <si>
    <t>ARMENDARIZ, BEATRIZ</t>
  </si>
  <si>
    <t>MARTIN DEL CAMPO, ALEJANDRO</t>
  </si>
  <si>
    <t>CASTELLANOS, ANTONIO</t>
  </si>
  <si>
    <t>VARGAS, ESPIRIDION</t>
  </si>
  <si>
    <t>PLACENCIA, VICTOR M</t>
  </si>
  <si>
    <t>HERNANDEZ, ALICIA</t>
  </si>
  <si>
    <t>SAMBRANO, ELIZABETH J</t>
  </si>
  <si>
    <t>GARCIA, YOLANDA M</t>
  </si>
  <si>
    <t>CAZARES, MARIA LUISA</t>
  </si>
  <si>
    <t>COLON, ELIZABETH</t>
  </si>
  <si>
    <t>BROWN, EDGAR S</t>
  </si>
  <si>
    <t>LEYVA, ALMA D</t>
  </si>
  <si>
    <t>RIOS, JAIME</t>
  </si>
  <si>
    <t>SAAVEDRA, LORENZO</t>
  </si>
  <si>
    <t>FRAIRE, FERNANDO</t>
  </si>
  <si>
    <t>DOHERTY, WILLIAM</t>
  </si>
  <si>
    <t>GUTIERREZ, OLGA</t>
  </si>
  <si>
    <t>CASAREZ, OSCAR</t>
  </si>
  <si>
    <t>BARRAZA, MARIA E</t>
  </si>
  <si>
    <t>VALENZUELA, LUCY S</t>
  </si>
  <si>
    <t>SALAZAR, MACARIO B</t>
  </si>
  <si>
    <t>LICON DE MALDONADO, NORMA N</t>
  </si>
  <si>
    <t>MOTA, MARIO</t>
  </si>
  <si>
    <t>WILLIAMS, MILDRED</t>
  </si>
  <si>
    <t>AVILA, MARIA</t>
  </si>
  <si>
    <t>RIOS DE SOLIS, MARIA D</t>
  </si>
  <si>
    <t>ALARCON, SAGRARIO</t>
  </si>
  <si>
    <t>LOPEZ, JOSEFINA</t>
  </si>
  <si>
    <t>COOPER, OLGA P</t>
  </si>
  <si>
    <t>DUARTE, ARMANDO</t>
  </si>
  <si>
    <t>VILLALOBOS, DAVID L</t>
  </si>
  <si>
    <t>MOORE, RONNIE F</t>
  </si>
  <si>
    <t>NARVAIZ, BLANCA A</t>
  </si>
  <si>
    <t>BORJAS, LUIS</t>
  </si>
  <si>
    <t>VELIZ PACHECO, MANUEL</t>
  </si>
  <si>
    <t>PASILLAS RIVERA, JESUS A</t>
  </si>
  <si>
    <t>SMITH, SHIRLEY</t>
  </si>
  <si>
    <t>BOCANEGRA, JOSE J</t>
  </si>
  <si>
    <t>CANO SALCIDO, REBECCA</t>
  </si>
  <si>
    <t>GUILLEN, ROBERTO</t>
  </si>
  <si>
    <t>MACIAS, CAROLINA</t>
  </si>
  <si>
    <t>WILHELM, ROBERT K</t>
  </si>
  <si>
    <t>QUINTANA, HECTOR</t>
  </si>
  <si>
    <t>BONNER, HUBERT</t>
  </si>
  <si>
    <t>GONZALEZ, BRENDA</t>
  </si>
  <si>
    <t>POULOS, KATHARINE S</t>
  </si>
  <si>
    <t>RAMIREZ, BELEM</t>
  </si>
  <si>
    <t>CANO, JESSICA M</t>
  </si>
  <si>
    <t>RAMOS-CARMONA, JUAN A</t>
  </si>
  <si>
    <t>ESCOBEDO GUERRERO, SERGIO</t>
  </si>
  <si>
    <t>LOPEZ, NIDIA</t>
  </si>
  <si>
    <t>RICHARDSON, VERONICA</t>
  </si>
  <si>
    <t>MORALES, MARIA E</t>
  </si>
  <si>
    <t>FERNANDEZ, CLAUDIA</t>
  </si>
  <si>
    <t>CASTELLANOS, ANA</t>
  </si>
  <si>
    <t>FARAONE, TAMARA J</t>
  </si>
  <si>
    <t>POULOS, VICTOR F</t>
  </si>
  <si>
    <t>HERNANDEZ, EMMA</t>
  </si>
  <si>
    <t>HERRERA, IVAN</t>
  </si>
  <si>
    <t>FLORES, ENRIQUE</t>
  </si>
  <si>
    <t>PENA, VIRGINIA</t>
  </si>
  <si>
    <t>MUNIZ, ESPERANZA</t>
  </si>
  <si>
    <t>ACOSTA, GERARDO M</t>
  </si>
  <si>
    <t>TORRES, MARIA</t>
  </si>
  <si>
    <t>WIIRRE, LORRAINE</t>
  </si>
  <si>
    <t>TERRELL, JOANNE</t>
  </si>
  <si>
    <t>STEVENS, MICHAEL</t>
  </si>
  <si>
    <t>ZAVALA, SANDRA M</t>
  </si>
  <si>
    <t>ALFARO, JANETH C</t>
  </si>
  <si>
    <t>HERNANDEZ, MARIA G</t>
  </si>
  <si>
    <t>GEMOETS, MARIA A</t>
  </si>
  <si>
    <t>OGBONNA, EBENEZER</t>
  </si>
  <si>
    <t>MELCHOR ARROYO, JUAN F</t>
  </si>
  <si>
    <t>LOUIS, VIVIAN</t>
  </si>
  <si>
    <t>LOPEZ, RICARDO D</t>
  </si>
  <si>
    <t>KONO, DARLENE C</t>
  </si>
  <si>
    <t>SEGURA, ALBERTO</t>
  </si>
  <si>
    <t>KALLEY, CANDIS A</t>
  </si>
  <si>
    <t>HERRERA, MARIA I</t>
  </si>
  <si>
    <t>QUINTANA, MARTHA</t>
  </si>
  <si>
    <t>ROSALES, JUAN P</t>
  </si>
  <si>
    <t>MURPHY, VANESSA C</t>
  </si>
  <si>
    <t>TOSUN, AYSE</t>
  </si>
  <si>
    <t>CRENSHAW, KENNETH R</t>
  </si>
  <si>
    <t>GREEDER, MELISSA</t>
  </si>
  <si>
    <t>GREEN, LAURA</t>
  </si>
  <si>
    <t>HERRERA, RAYMOND</t>
  </si>
  <si>
    <t>SANCHEZ, RICARDO</t>
  </si>
  <si>
    <t>HUERTA MARTINEZ, BERTHA</t>
  </si>
  <si>
    <t>BEILFUSS, MICHAEL E</t>
  </si>
  <si>
    <t>QUINONES, ABIGAIL</t>
  </si>
  <si>
    <t>ARAGON DE SANTACRUZ, IRENE</t>
  </si>
  <si>
    <t>MACIAS, ARMANDO</t>
  </si>
  <si>
    <t>REBNER, MICHAEL</t>
  </si>
  <si>
    <t>SIERRA, RAUL</t>
  </si>
  <si>
    <t>DE ALMEIDA, LUCAS</t>
  </si>
  <si>
    <t>CARREON, SANJUANA</t>
  </si>
  <si>
    <t>MIRANDA, EDWARDO</t>
  </si>
  <si>
    <t>HERNANDEZ, MICAELA</t>
  </si>
  <si>
    <t>GOMEZ, CONSUELO C</t>
  </si>
  <si>
    <t>MADRID, BENJAMIN V</t>
  </si>
  <si>
    <t>CARDENAS, ROSARIO</t>
  </si>
  <si>
    <t>SAUCEDO, MARIA D</t>
  </si>
  <si>
    <t>HICKS, OTIS</t>
  </si>
  <si>
    <t>WHEELER, JACQUELINE</t>
  </si>
  <si>
    <t>RANGEL, OSCAR M</t>
  </si>
  <si>
    <t>TAYLOR, CHARLES</t>
  </si>
  <si>
    <t>GIL, JULIA</t>
  </si>
  <si>
    <t>JERIDO, LADARIUS</t>
  </si>
  <si>
    <t>MACIEL, DANIEL</t>
  </si>
  <si>
    <t>MACIAS, ERNESTO</t>
  </si>
  <si>
    <t>DE LA O, JOSE</t>
  </si>
  <si>
    <t>MAYO, JUDITH A</t>
  </si>
  <si>
    <t>HUERTA, MICHAEL</t>
  </si>
  <si>
    <t>MURDOCK, ROBERT S</t>
  </si>
  <si>
    <t>PEDREGON, LUIS</t>
  </si>
  <si>
    <t>RAGHEB, MOATAZ M</t>
  </si>
  <si>
    <t>CRAMER, JANET I</t>
  </si>
  <si>
    <t>LOPEZ, MANUEL</t>
  </si>
  <si>
    <t>CHAVEZ, VICTOR M</t>
  </si>
  <si>
    <t>GARCIA, CARMEN</t>
  </si>
  <si>
    <t>MUNOZ, CYNTHIA</t>
  </si>
  <si>
    <t>CARRASCO, GREGORIO</t>
  </si>
  <si>
    <t>WINN, REGINALD R</t>
  </si>
  <si>
    <t>PITONES, LUISA</t>
  </si>
  <si>
    <t>HERRERA, MARCO A</t>
  </si>
  <si>
    <t>DIAZ, MARIA</t>
  </si>
  <si>
    <t>ARRIAGA, HECTOR</t>
  </si>
  <si>
    <t>MORALES, JOEL</t>
  </si>
  <si>
    <t>RODRIGUEZ, OSCAR</t>
  </si>
  <si>
    <t>FLORES, CARLOS</t>
  </si>
  <si>
    <t>CHAVIRA, MARIA L</t>
  </si>
  <si>
    <t>RODRIGUEZ, CHRISTINA</t>
  </si>
  <si>
    <t>BUSTAMANTE, DAVID</t>
  </si>
  <si>
    <t>ORMSBY, KAYE</t>
  </si>
  <si>
    <t>MORENO, JOSE M</t>
  </si>
  <si>
    <t>TATE, AMANDA</t>
  </si>
  <si>
    <t>FACIO, MARIA T</t>
  </si>
  <si>
    <t>GONZALEZ, ANTONIO</t>
  </si>
  <si>
    <t>ORTIZ, ORLANDO</t>
  </si>
  <si>
    <t>HERNANDEZ, LAURA S</t>
  </si>
  <si>
    <t>SCARCELLI, JOHN A</t>
  </si>
  <si>
    <t>CHANSON, LAURIE L</t>
  </si>
  <si>
    <t>COLON, BERTHA A</t>
  </si>
  <si>
    <t>SALAZAR, JAIME</t>
  </si>
  <si>
    <t>ALLEN, ELIJAH</t>
  </si>
  <si>
    <t>RODRIGUEZ, SAMUEL</t>
  </si>
  <si>
    <t>LOPEZ, GUADALUPE R</t>
  </si>
  <si>
    <t>RAMIREZ, RICARDO J</t>
  </si>
  <si>
    <t>GARCIA, JUAN M</t>
  </si>
  <si>
    <t>CASTILLO, MARIO B</t>
  </si>
  <si>
    <t>GARCIA, IRMA R</t>
  </si>
  <si>
    <t>EYE, DARLA</t>
  </si>
  <si>
    <t>LOPEZ DE MACIAS, NATIVIDAD</t>
  </si>
  <si>
    <t>GARCIA, SANDRA Y</t>
  </si>
  <si>
    <t>ALDACO, DONNA K</t>
  </si>
  <si>
    <t>MONTGOMERY, LEAMON</t>
  </si>
  <si>
    <t>ESPARZA, VICTOR</t>
  </si>
  <si>
    <t>SILVA, GRACIELA</t>
  </si>
  <si>
    <t>SUA, LYDIA</t>
  </si>
  <si>
    <t>ARMENDARIZ, MONSERRAT C</t>
  </si>
  <si>
    <t>OCHOA, MARIA L</t>
  </si>
  <si>
    <t>REYES, ANTHONY</t>
  </si>
  <si>
    <t>SANCHEZ, MONIQUE</t>
  </si>
  <si>
    <t>MACIAS, JUANITA</t>
  </si>
  <si>
    <t>SANCHEZ PONCE, JUAN</t>
  </si>
  <si>
    <t>SAENZ, RUDY</t>
  </si>
  <si>
    <t>SCROGGS, CLIFTON E</t>
  </si>
  <si>
    <t>GUTIERREZ, SUJEI</t>
  </si>
  <si>
    <t>ANDRADE, ANTONIO</t>
  </si>
  <si>
    <t>SMITH, RICKY</t>
  </si>
  <si>
    <t>FOREMAN, MARIANNE</t>
  </si>
  <si>
    <t>MARTINEZ, ANTONIO B</t>
  </si>
  <si>
    <t>JANOE, DELL</t>
  </si>
  <si>
    <t>HARNEY, JANET L</t>
  </si>
  <si>
    <t>TIPTON, ROBERT</t>
  </si>
  <si>
    <t>BROWN, DESIRIE</t>
  </si>
  <si>
    <t>BROWN, REGINALD</t>
  </si>
  <si>
    <t>RAMIREZ, LUZ C</t>
  </si>
  <si>
    <t>CANALES, RITA</t>
  </si>
  <si>
    <t>CARRILLO, TERESA G</t>
  </si>
  <si>
    <t>ORTEGA, YVONNE</t>
  </si>
  <si>
    <t>AYALA, ROBERT</t>
  </si>
  <si>
    <t>MUNOZ, LORENZA</t>
  </si>
  <si>
    <t>JOHNSON, MONIKA</t>
  </si>
  <si>
    <t>HAWKINS-KIRKHART, GERLINDE</t>
  </si>
  <si>
    <t>JONES, MARY F</t>
  </si>
  <si>
    <t>FRAIRE, IRENE</t>
  </si>
  <si>
    <t>BARRERA, JANET</t>
  </si>
  <si>
    <t>TRILLO, ANTONIO D</t>
  </si>
  <si>
    <t>LUCERO, CRISTINA R</t>
  </si>
  <si>
    <t>LICHARD, JESSY</t>
  </si>
  <si>
    <t>FARNQUIST, DENNIS D</t>
  </si>
  <si>
    <t>ALVAREZ, MARIA D</t>
  </si>
  <si>
    <t>MYERS, KAREN</t>
  </si>
  <si>
    <t>MARTINEZ, CONNIE</t>
  </si>
  <si>
    <t>HERRERA, MARGIE</t>
  </si>
  <si>
    <t>JIMENEZ, JAIME</t>
  </si>
  <si>
    <t>RIZO, MARIA</t>
  </si>
  <si>
    <t>SALAZAR, TERESA</t>
  </si>
  <si>
    <t>WARR, NATALIE</t>
  </si>
  <si>
    <t>TIRADO, RAMON</t>
  </si>
  <si>
    <t>RAMOS, ANTONIO JR</t>
  </si>
  <si>
    <t>PAZ, JORGE R</t>
  </si>
  <si>
    <t>GONZALEZ, RENE</t>
  </si>
  <si>
    <t>ERSKINE, JACQUELINE</t>
  </si>
  <si>
    <t>RYAN, SHAWNA</t>
  </si>
  <si>
    <t>CARRILLO, HORTENCIA</t>
  </si>
  <si>
    <t>TERRAZAS, MARTIN</t>
  </si>
  <si>
    <t>ESTRADA, JOSE</t>
  </si>
  <si>
    <t>AMESQUITA, SANDRA</t>
  </si>
  <si>
    <t>VENZOR, ANDY</t>
  </si>
  <si>
    <t>TAPIA, ANA P</t>
  </si>
  <si>
    <t>ESTRADA, VIRGINIA</t>
  </si>
  <si>
    <t>LOPEZ, RUBEN</t>
  </si>
  <si>
    <t>STEINMEIER, BELINDA</t>
  </si>
  <si>
    <t>CASTILLO, YOLANDA</t>
  </si>
  <si>
    <t>GARCIA, MANUEL</t>
  </si>
  <si>
    <t>SCHEROTTER, HEATHER</t>
  </si>
  <si>
    <t>PORRAS, CLAUDIA</t>
  </si>
  <si>
    <t>MCGILL, REBECCA D</t>
  </si>
  <si>
    <t>DIAZ, MARCELA</t>
  </si>
  <si>
    <t>KASCH, GUADALUPE</t>
  </si>
  <si>
    <t>ORTIZ, LINDA</t>
  </si>
  <si>
    <t>STOUT, STEPHEN D</t>
  </si>
  <si>
    <t>ENRIQUEZ, MIGUEL</t>
  </si>
  <si>
    <t>HESTER, TODD</t>
  </si>
  <si>
    <t>BOURGET, KARI</t>
  </si>
  <si>
    <t>CORELLA, SYLVIA</t>
  </si>
  <si>
    <t>SILVA, MANUEL</t>
  </si>
  <si>
    <t>BACA, CONSUELO F</t>
  </si>
  <si>
    <t>JUAREZ, SYLVIA</t>
  </si>
  <si>
    <t>LOPEZ DE SOTO, GLORIA</t>
  </si>
  <si>
    <t>GONZALEZ, CHRISTOPHER</t>
  </si>
  <si>
    <t>HALL, JEROME</t>
  </si>
  <si>
    <t>MIRANDA, ERNESTINA</t>
  </si>
  <si>
    <t>REYES, VIVIANA</t>
  </si>
  <si>
    <t>MARTINEZ, GABRIELA</t>
  </si>
  <si>
    <t>WRENCHER, PORFIRIA</t>
  </si>
  <si>
    <t>FEDERICO, GUADALUPE</t>
  </si>
  <si>
    <t>STAIGER, NOTHBURGA E</t>
  </si>
  <si>
    <t>LEONGUERRERO, MARIE</t>
  </si>
  <si>
    <t>MARTINEZ, RAFAEL</t>
  </si>
  <si>
    <t>CAMPOS, MERLI</t>
  </si>
  <si>
    <t>RAMIREZ, BERTHA M</t>
  </si>
  <si>
    <t>SAMANIEGO, NORMA</t>
  </si>
  <si>
    <t>BACK, LORENA</t>
  </si>
  <si>
    <t>REYNOLDS, CYNTHIA</t>
  </si>
  <si>
    <t>SIMON, MARK</t>
  </si>
  <si>
    <t>ZUNIGA, MIGUEL A</t>
  </si>
  <si>
    <t>GOMEZ, CHRISTINA</t>
  </si>
  <si>
    <t>GILL, CHERYL</t>
  </si>
  <si>
    <t>JACKMAN, JOSHUA</t>
  </si>
  <si>
    <t>BOGIEL, SHERI</t>
  </si>
  <si>
    <t>DE SANTIAGO DE BAEZA, MARIA D</t>
  </si>
  <si>
    <t>LUNA DE VALLES, ELENA</t>
  </si>
  <si>
    <t>GARCIA, JORGE LUIS</t>
  </si>
  <si>
    <t>HERNANDEZ, JOSE L</t>
  </si>
  <si>
    <t>SANDOVAL, BLANCA</t>
  </si>
  <si>
    <t>MIRANDA, PASCUALA</t>
  </si>
  <si>
    <t>KING, GENEVA</t>
  </si>
  <si>
    <t>BOBADILLA, LUIS</t>
  </si>
  <si>
    <t>SCHMIDT, CHRISTOPHER M</t>
  </si>
  <si>
    <t>RIVERA, MARTHA</t>
  </si>
  <si>
    <t>SHAW, BERTHA</t>
  </si>
  <si>
    <t>AGUILAR, LAURA</t>
  </si>
  <si>
    <t>MORALES, CHRISTINE</t>
  </si>
  <si>
    <t>GUTIERREZ, BERNARDO</t>
  </si>
  <si>
    <t>LICON, SOCORRO</t>
  </si>
  <si>
    <t>HUBACKER, LUANA</t>
  </si>
  <si>
    <t>SAENZ, SALVADOR</t>
  </si>
  <si>
    <t>JOHNSON, ROBIN A</t>
  </si>
  <si>
    <t>AMARO, ESTEBAN</t>
  </si>
  <si>
    <t>PHILLIPS, PATRICIA</t>
  </si>
  <si>
    <t>VALENZUELA, SILVIA</t>
  </si>
  <si>
    <t>BETHEA, RAYNA</t>
  </si>
  <si>
    <t>HAYEN, SERGIO</t>
  </si>
  <si>
    <t>RUIZ, JOEL</t>
  </si>
  <si>
    <t>BRACK, MAYELA</t>
  </si>
  <si>
    <t>ROMERO, CONCEPCION</t>
  </si>
  <si>
    <t>VASQUEZ, DIANA</t>
  </si>
  <si>
    <t>ALLSMAN, EMILY</t>
  </si>
  <si>
    <t>RIVERA, ELVIA</t>
  </si>
  <si>
    <t>BARRAZA, ANA</t>
  </si>
  <si>
    <t>SALLOUM, DIANA</t>
  </si>
  <si>
    <t>RODRIGUEZ, HECTOR</t>
  </si>
  <si>
    <t>FERNANDEZ, JESSICA</t>
  </si>
  <si>
    <t>VENEGAS, FRANCISCO</t>
  </si>
  <si>
    <t>RETANA, LUIS A</t>
  </si>
  <si>
    <t>MERCADO, BENITA G</t>
  </si>
  <si>
    <t>DALY, DONNA</t>
  </si>
  <si>
    <t>GONZALEZ, REBECCA</t>
  </si>
  <si>
    <t>MARTINEZ, ARMANDO</t>
  </si>
  <si>
    <t>LOPEZ, JOSE</t>
  </si>
  <si>
    <t>GRADO, REYMUNDO</t>
  </si>
  <si>
    <t>VALDEZ RODRIGUEZ, MARIA</t>
  </si>
  <si>
    <t>VASQUEZ, STOVAL</t>
  </si>
  <si>
    <t>WHEAT-ERBY, RUTH</t>
  </si>
  <si>
    <t>PEREZ, NATALIE</t>
  </si>
  <si>
    <t>COFFMAN, MARY</t>
  </si>
  <si>
    <t>LARA, JOSEFINA</t>
  </si>
  <si>
    <t>DE LA ROSA, MICHELLE</t>
  </si>
  <si>
    <t>CARRILLO, ANDY</t>
  </si>
  <si>
    <t>ALVAREZ, MARTHA</t>
  </si>
  <si>
    <t>BORI, JOHN C</t>
  </si>
  <si>
    <t>HOLGUIN, NORMA</t>
  </si>
  <si>
    <t>HIGAREDA, LORENA</t>
  </si>
  <si>
    <t>ACOSTA, ERIKA</t>
  </si>
  <si>
    <t>VIGIL, WENDELIN M</t>
  </si>
  <si>
    <t>BEARD, FRANK</t>
  </si>
  <si>
    <t>LABIAGA, PATRICIA</t>
  </si>
  <si>
    <t>GONZALEZ, DANIEL</t>
  </si>
  <si>
    <t>VEGA, JOSE A</t>
  </si>
  <si>
    <t>SMITH, WILLIAM</t>
  </si>
  <si>
    <t>VILLALVA, ISAAC K</t>
  </si>
  <si>
    <t>ARTINO, FABIAN</t>
  </si>
  <si>
    <t>RUIZ, CARMEN G</t>
  </si>
  <si>
    <t>PADILLA, ROSEMARY</t>
  </si>
  <si>
    <t>BOJORQUEZ-MORALES, MARIA O</t>
  </si>
  <si>
    <t>PEREZ, MARIA</t>
  </si>
  <si>
    <t>OLIVER, YOLANDA M</t>
  </si>
  <si>
    <t>SILVA-LEYVA, BIANCA</t>
  </si>
  <si>
    <t>NUNEZ, MARGARET</t>
  </si>
  <si>
    <t>PETRI, RICHARD</t>
  </si>
  <si>
    <t>CALDERON, JOSE</t>
  </si>
  <si>
    <t>VICKERS, LINDA</t>
  </si>
  <si>
    <t>MURPHY, ROGELIO J</t>
  </si>
  <si>
    <t>ALANIS DE HINOJOS, MARIA T</t>
  </si>
  <si>
    <t>LUJAN, ROBERTO N</t>
  </si>
  <si>
    <t>MELENDEZ, SARAH A</t>
  </si>
  <si>
    <t>MENDOZA, MARGARITA</t>
  </si>
  <si>
    <t>ROBERTS, SANTIAGO</t>
  </si>
  <si>
    <t>ANDREWS, THOMAS F</t>
  </si>
  <si>
    <t>HERNANDEZ, JAMES</t>
  </si>
  <si>
    <t>BERNAL, LEONEL</t>
  </si>
  <si>
    <t>NEWELL, DORRIS</t>
  </si>
  <si>
    <t>ZAMORA, MILTON</t>
  </si>
  <si>
    <t>SOTO, CAROLINA</t>
  </si>
  <si>
    <t>ESCOBEDO, ROSALBA</t>
  </si>
  <si>
    <t>ANAYA, JESUS</t>
  </si>
  <si>
    <t>ROBERTS, KIRSTY</t>
  </si>
  <si>
    <t>MARTINEZ, MARY</t>
  </si>
  <si>
    <t>MANZI, CYNTHIA</t>
  </si>
  <si>
    <t>CASTILLO, ANA</t>
  </si>
  <si>
    <t>MARIN, ARTURO</t>
  </si>
  <si>
    <t>PASCHICH, CHRISTINA</t>
  </si>
  <si>
    <t>RUBIO, MARIA VIRGINIA</t>
  </si>
  <si>
    <t>BUSTAMANTE, MIGUEL</t>
  </si>
  <si>
    <t>CRAMER, CHRISTOPHER R</t>
  </si>
  <si>
    <t>LOPEZ, JUAN</t>
  </si>
  <si>
    <t>WOODALL, ROBERT P</t>
  </si>
  <si>
    <t>WACHSMANN, CHRIS E</t>
  </si>
  <si>
    <t>DURAN, LETICIA</t>
  </si>
  <si>
    <t>REYES, EMMA O</t>
  </si>
  <si>
    <t>BORCKY, ROBERT</t>
  </si>
  <si>
    <t>YECANO, JOSE</t>
  </si>
  <si>
    <t>FITZPATRICK, LISA</t>
  </si>
  <si>
    <t>HERNANDEZ, RAMONA</t>
  </si>
  <si>
    <t>GUTIERREZ, ARMIDA</t>
  </si>
  <si>
    <t>ANDRADE, GUADALUPE</t>
  </si>
  <si>
    <t>MOONEY, STARLENE A</t>
  </si>
  <si>
    <t>ARROYO, ALEXIS</t>
  </si>
  <si>
    <t>ALVA DE LOS SANTOS, FERNANDO</t>
  </si>
  <si>
    <t>MAPLES, STEPHEN</t>
  </si>
  <si>
    <t>GONZALEZ, MARTHA GUADALUPE</t>
  </si>
  <si>
    <t>VELEZ, JESSICA</t>
  </si>
  <si>
    <t>MARIN, CLAUDIA ISELA</t>
  </si>
  <si>
    <t>MARTINEZ, EDITH</t>
  </si>
  <si>
    <t>GARCIA, BLANCA E</t>
  </si>
  <si>
    <t>HENDERSON, RICKY</t>
  </si>
  <si>
    <t>SIMONS, GINGER</t>
  </si>
  <si>
    <t>LOPEZ, RONNIE</t>
  </si>
  <si>
    <t>ROMERO, HECTOR</t>
  </si>
  <si>
    <t>URENA, GLORIA L</t>
  </si>
  <si>
    <t>ESPINO, FLOR</t>
  </si>
  <si>
    <t>GALINDO VALDEZ, AIDA</t>
  </si>
  <si>
    <t>VELASQUEZ, SYLVIA</t>
  </si>
  <si>
    <t>LEON GUERRERO, MARIA G</t>
  </si>
  <si>
    <t>PARIENTE, ALICIA</t>
  </si>
  <si>
    <t>BREITAG, DOUGLAS</t>
  </si>
  <si>
    <t>SMITH, WILLIE</t>
  </si>
  <si>
    <t>LESLEY, BARBARA</t>
  </si>
  <si>
    <t>PORRAS, VERONICA</t>
  </si>
  <si>
    <t>ALEMAN, FELIX</t>
  </si>
  <si>
    <t>LOPEZ, DULCE N</t>
  </si>
  <si>
    <t>RAMIREZ, ANTONIO</t>
  </si>
  <si>
    <t>MORALES, ROSEMARY</t>
  </si>
  <si>
    <t>ALMARAZ, NICOLE</t>
  </si>
  <si>
    <t>MACIEL, JUAN</t>
  </si>
  <si>
    <t>CARREON, ROBERTO</t>
  </si>
  <si>
    <t>BROWN, RENEE</t>
  </si>
  <si>
    <t>EVANS AMACKER, ANGELICA</t>
  </si>
  <si>
    <t>GOMEZ, MARIA</t>
  </si>
  <si>
    <t>JASSO, CECILIA</t>
  </si>
  <si>
    <t>CHERRY, LESLIE</t>
  </si>
  <si>
    <t>PLACE, MICHELLE</t>
  </si>
  <si>
    <t>PEREZ, PRISCILLA</t>
  </si>
  <si>
    <t>MUNOZ DE HERNANDEZ, MARIA E</t>
  </si>
  <si>
    <t>HERNANDEZ, ALBERTO</t>
  </si>
  <si>
    <t>ARELLANO, JUAN</t>
  </si>
  <si>
    <t>PINA, ISIDRA</t>
  </si>
  <si>
    <t>ESCOBEDO, JOSE LUIS</t>
  </si>
  <si>
    <t>ACOSTA, NATALIA</t>
  </si>
  <si>
    <t>MCALISTER, THOMAS</t>
  </si>
  <si>
    <t>GOMEZ, ROSALINDA</t>
  </si>
  <si>
    <t>PARKE, ROBERT M</t>
  </si>
  <si>
    <t>BROOKS, MICHELLE</t>
  </si>
  <si>
    <t>HERNANDEZ, CHONG</t>
  </si>
  <si>
    <t>KELLEY, JAMES</t>
  </si>
  <si>
    <t>ALVARADO, ALEJANDRA</t>
  </si>
  <si>
    <t>ALDERETE, GABRIEL DE JESUS</t>
  </si>
  <si>
    <t>MARTINEZ, HECTOR</t>
  </si>
  <si>
    <t>RODRIGUEZ, GILBERTO</t>
  </si>
  <si>
    <t>SHORTER, LAURA</t>
  </si>
  <si>
    <t>RUBALCAVA, CHRISTOPHER</t>
  </si>
  <si>
    <t>TILIAIA, IUTISONE</t>
  </si>
  <si>
    <t>PENA, MARIA</t>
  </si>
  <si>
    <t>SALAS, MARTIN</t>
  </si>
  <si>
    <t>FACIO, CARLOS F</t>
  </si>
  <si>
    <t>RENTERIA, MARIA G</t>
  </si>
  <si>
    <t>GALLARDO, RODOLFO</t>
  </si>
  <si>
    <t>GARCIA, MANUELA</t>
  </si>
  <si>
    <t>WALLIS, PEGGY S</t>
  </si>
  <si>
    <t>CASTILLO, SARAH</t>
  </si>
  <si>
    <t>BARRON, LUCINDA</t>
  </si>
  <si>
    <t>WITHERINGTON, CONNIE</t>
  </si>
  <si>
    <t>GUTIERREZ, SANJUANA</t>
  </si>
  <si>
    <t>NAJERA, ROSA R</t>
  </si>
  <si>
    <t>APODACA, JOHNNY</t>
  </si>
  <si>
    <t>CAMARGO, FLORENCIA</t>
  </si>
  <si>
    <t>URQUIZA, ANTONIO</t>
  </si>
  <si>
    <t>BACA, RODOLFO</t>
  </si>
  <si>
    <t>HERNANDEZ, AIDE G</t>
  </si>
  <si>
    <t>GALLEGOS, THELMA</t>
  </si>
  <si>
    <t>CASTLE, CORY</t>
  </si>
  <si>
    <t>LOYA, IRMA</t>
  </si>
  <si>
    <t>SINGH, VICTORIA</t>
  </si>
  <si>
    <t>ESTRADA, ABRAHAM</t>
  </si>
  <si>
    <t>AVALOS, LUZ</t>
  </si>
  <si>
    <t>PONCE, LIDIA</t>
  </si>
  <si>
    <t>HARRISON, KRISTEN</t>
  </si>
  <si>
    <t>JIMENEZ, HECTOR</t>
  </si>
  <si>
    <t>VANDEBERG, MICHAEL P</t>
  </si>
  <si>
    <t>ROMERO, JOSE</t>
  </si>
  <si>
    <t>JOHNSON, ALFONSO</t>
  </si>
  <si>
    <t>TURCOTTE, ROBERT</t>
  </si>
  <si>
    <t>DAUNCEY, ALAN B</t>
  </si>
  <si>
    <t>PACHECO, CAROLINA</t>
  </si>
  <si>
    <t>DOLLAR, DONNA</t>
  </si>
  <si>
    <t>BUSTAMANTE, LOURDES I</t>
  </si>
  <si>
    <t>LOPEZ, IRMA</t>
  </si>
  <si>
    <t>HERNANDEZ, LINDA</t>
  </si>
  <si>
    <t>JOHNSON, EDITH</t>
  </si>
  <si>
    <t>MENDIA, OFELIA</t>
  </si>
  <si>
    <t>AGUILERA, NATIVIDAD</t>
  </si>
  <si>
    <t>FLORES, FRANCISCO J</t>
  </si>
  <si>
    <t>HICKMAN, SIDNEY</t>
  </si>
  <si>
    <t>GARCIA, GLORIA</t>
  </si>
  <si>
    <t>REYNOSO, MARIA</t>
  </si>
  <si>
    <t>FLORES, ROBERT</t>
  </si>
  <si>
    <t>TENORIO, GUSTAVO</t>
  </si>
  <si>
    <t>BOWLIN, JAMES</t>
  </si>
  <si>
    <t>AGUILAR, SYLVIA</t>
  </si>
  <si>
    <t>VILLANUEVA, MARTHA</t>
  </si>
  <si>
    <t>OLVERA, RAMON</t>
  </si>
  <si>
    <t>MENDEZ, DELIA</t>
  </si>
  <si>
    <t>ARREDONDO, ANGELICA O</t>
  </si>
  <si>
    <t>CANO, FERMINA</t>
  </si>
  <si>
    <t>DEUEL, AMANDA S</t>
  </si>
  <si>
    <t>JOHNSON, THOMAS</t>
  </si>
  <si>
    <t>PINEDA, SARA</t>
  </si>
  <si>
    <t>SERNA, ROBERTO</t>
  </si>
  <si>
    <t>LOPEZ, NATIVIDAD JR</t>
  </si>
  <si>
    <t>PEREZ, ROSALIE A</t>
  </si>
  <si>
    <t>SERRANO, CORA</t>
  </si>
  <si>
    <t>HERRERA, MARIA DE JESUS</t>
  </si>
  <si>
    <t>AVITIA, OSBALDO R</t>
  </si>
  <si>
    <t>HERRERA, CARMEN M</t>
  </si>
  <si>
    <t>SANCHEZ, MARIA</t>
  </si>
  <si>
    <t>MONTOYA, BELEM</t>
  </si>
  <si>
    <t>CAJAS, MATILDE</t>
  </si>
  <si>
    <t>REYES, ARMIDA N</t>
  </si>
  <si>
    <t>CEPEDA, ALICIA</t>
  </si>
  <si>
    <t>ESPINO, YOLANDA</t>
  </si>
  <si>
    <t>ELLIOTT, TANIA L</t>
  </si>
  <si>
    <t>CALVIN, ROY</t>
  </si>
  <si>
    <t>MENDOZA, OTILIA</t>
  </si>
  <si>
    <t>SANCHEZ, JOSE G</t>
  </si>
  <si>
    <t>GRAJEDA, LORENA D</t>
  </si>
  <si>
    <t>ROMAN, DAVID F</t>
  </si>
  <si>
    <t>SALAS, LETICIA</t>
  </si>
  <si>
    <t>ALCALA, JUAN</t>
  </si>
  <si>
    <t>CARRILLO MAGALLANES, ALBERTO</t>
  </si>
  <si>
    <t>PELLETIER, KELLY</t>
  </si>
  <si>
    <t>ANAYA, MARIA ELENA</t>
  </si>
  <si>
    <t>MARTINEZ, RICARDO A</t>
  </si>
  <si>
    <t>JACQUEZ, CLEMENCIA</t>
  </si>
  <si>
    <t>VALENZUELA, GLORIA</t>
  </si>
  <si>
    <t>PEREYRA, KENNETH</t>
  </si>
  <si>
    <t>CASTILLO, ROGELIO</t>
  </si>
  <si>
    <t>MARTINEZ, DEANA</t>
  </si>
  <si>
    <t>CHRISTENSON, MARGARITA</t>
  </si>
  <si>
    <t>SAENZ, CIRO J</t>
  </si>
  <si>
    <t>HETZEL, SONIA</t>
  </si>
  <si>
    <t>ANDREWS, RAMONA</t>
  </si>
  <si>
    <t>MORA, ALBERTO</t>
  </si>
  <si>
    <t>ANCHONDO, BRENDA L</t>
  </si>
  <si>
    <t>TERRAZAS, JOSE</t>
  </si>
  <si>
    <t>MORLAND, CECILIA N</t>
  </si>
  <si>
    <t>ORNELAS, SERGIO A</t>
  </si>
  <si>
    <t>CANO, OLGA</t>
  </si>
  <si>
    <t>MAJOR, MARLENA G</t>
  </si>
  <si>
    <t>SIKES, SAWYER B</t>
  </si>
  <si>
    <t>STRACKBEIN, JULIE</t>
  </si>
  <si>
    <t>SCOTT-MORENO, ROSA G</t>
  </si>
  <si>
    <t>NAVARRO, MARIA</t>
  </si>
  <si>
    <t>NAVAR, BERTHA A</t>
  </si>
  <si>
    <t>CALDWELL, SHERYL L</t>
  </si>
  <si>
    <t>VASQUEZ, ROBERT</t>
  </si>
  <si>
    <t>SAUCEDO, JANET</t>
  </si>
  <si>
    <t>GARCIA, LUCIO</t>
  </si>
  <si>
    <t>CORRAL, SONIA</t>
  </si>
  <si>
    <t>VOGEL, JOYCE ANN</t>
  </si>
  <si>
    <t>DIXON, VAVLENE L</t>
  </si>
  <si>
    <t>CANO, YVONNE</t>
  </si>
  <si>
    <t>REAVIS, SANDRA J</t>
  </si>
  <si>
    <t>ESPINOZA VITELA, LUIS</t>
  </si>
  <si>
    <t>JONES, FAYE J</t>
  </si>
  <si>
    <t>ENRIQUEZ, FABIAN</t>
  </si>
  <si>
    <t>EVANS, APRIL</t>
  </si>
  <si>
    <t>EVANS, DANIEL W</t>
  </si>
  <si>
    <t>HEPLER, CHAD</t>
  </si>
  <si>
    <t>VALDEZ, IRMA</t>
  </si>
  <si>
    <t>GONZALEZ, ARTURO</t>
  </si>
  <si>
    <t>PERALTA, CYNTHIA C</t>
  </si>
  <si>
    <t>VILLALOBOS, BELINDA</t>
  </si>
  <si>
    <t>HERNANDEZ, ELENA</t>
  </si>
  <si>
    <t>SIFUENTES, CARLOS G</t>
  </si>
  <si>
    <t>SILVA, PEDRO</t>
  </si>
  <si>
    <t>LOPEZ, RICARDO</t>
  </si>
  <si>
    <t>GANDARA, ISIDRA</t>
  </si>
  <si>
    <t>RAMIREZ, ROSENDA</t>
  </si>
  <si>
    <t>NUNEZ, NATTALY S</t>
  </si>
  <si>
    <t>PARKE, BIRGITT H</t>
  </si>
  <si>
    <t>CORRAL, DAVID</t>
  </si>
  <si>
    <t>DOMINGUEZ, MARIA A</t>
  </si>
  <si>
    <t>MOLINA, MARIA E</t>
  </si>
  <si>
    <t>HERNANDEZ DE PEREZ, IRENE</t>
  </si>
  <si>
    <t>MORALES, IRMA</t>
  </si>
  <si>
    <t>HESLOP, RACHQUEL</t>
  </si>
  <si>
    <t>BRAINARD, HAROLD</t>
  </si>
  <si>
    <t>WREN, PAMELA</t>
  </si>
  <si>
    <t>BACA, NORMA</t>
  </si>
  <si>
    <t>MANRIQUEZ, ELOISA</t>
  </si>
  <si>
    <t>MENDOZA, EDDIE A</t>
  </si>
  <si>
    <t>CARRILLO, VICTOR</t>
  </si>
  <si>
    <t>GUTIERREZ, ARTURO</t>
  </si>
  <si>
    <t>RAFFERTY, MICHAEL B</t>
  </si>
  <si>
    <t>LOPEZ, MERCEDES G</t>
  </si>
  <si>
    <t>DORANTES, LORENA</t>
  </si>
  <si>
    <t>JAQUEZ, HORTENSIA</t>
  </si>
  <si>
    <t>VILLALOBOS, ALFREDO</t>
  </si>
  <si>
    <t>RUSH, MARINA</t>
  </si>
  <si>
    <t>SERNA, JOSE R</t>
  </si>
  <si>
    <t>QUINTERO, LAZARO</t>
  </si>
  <si>
    <t>FLORES, FEDERICO</t>
  </si>
  <si>
    <t>ARCHULETA, AURORA</t>
  </si>
  <si>
    <t>MENDOZA DE PROVENCIO, JULIETA</t>
  </si>
  <si>
    <t>ALLEN, HERSHEL</t>
  </si>
  <si>
    <t>AMAYA, MARIA L</t>
  </si>
  <si>
    <t>CASTANEDA, OLGA</t>
  </si>
  <si>
    <t>WALLACE, IMELDA</t>
  </si>
  <si>
    <t>GAYTAN, MARIA</t>
  </si>
  <si>
    <t>RIVERA, LORRAINE</t>
  </si>
  <si>
    <t>GONZALEZ, DAVID</t>
  </si>
  <si>
    <t>MERCADO, PEDRO</t>
  </si>
  <si>
    <t>MARTINEZ, MARIA L</t>
  </si>
  <si>
    <t>DELGADO, SUSIE</t>
  </si>
  <si>
    <t>GARCIA, JESSIE J</t>
  </si>
  <si>
    <t>EVANS, JACINTA</t>
  </si>
  <si>
    <t>FERNANDEZ, SOCORRO</t>
  </si>
  <si>
    <t>SMITH, ZEYNA</t>
  </si>
  <si>
    <t>CLAYCOMB, AMANDA M</t>
  </si>
  <si>
    <t>PATTERSON, MICHAEL</t>
  </si>
  <si>
    <t>RAMIREZ, LISA</t>
  </si>
  <si>
    <t>MATA VARGAS, FERNANDO</t>
  </si>
  <si>
    <t>ARIAS, ROXANNE</t>
  </si>
  <si>
    <t>ROSAS, FRANK</t>
  </si>
  <si>
    <t>RIOS, FRANCISCO</t>
  </si>
  <si>
    <t>CASTILLO BUSTAMANTE, NORMA</t>
  </si>
  <si>
    <t>RODRIGUEZ, HENNAH E</t>
  </si>
  <si>
    <t>GARCIA, SALVADOR</t>
  </si>
  <si>
    <t>CLAYPOOL, JESSICA</t>
  </si>
  <si>
    <t>CANALES, ARMANDO</t>
  </si>
  <si>
    <t>DEJESUSSOTO, REINALDO</t>
  </si>
  <si>
    <t>NUNEZ, BRENDA</t>
  </si>
  <si>
    <t>HERNANDEZ, JAIME</t>
  </si>
  <si>
    <t>VALDEZ, MARIA A</t>
  </si>
  <si>
    <t>JURADO JR, ELMO</t>
  </si>
  <si>
    <t>RAMIREZ, MARIA</t>
  </si>
  <si>
    <t>RIZO, LAURA</t>
  </si>
  <si>
    <t>VASQUEZ, DANIEL</t>
  </si>
  <si>
    <t>CORREA, JUAN</t>
  </si>
  <si>
    <t>OLIVAS, MARIA</t>
  </si>
  <si>
    <t>RODARTE, ANGELA</t>
  </si>
  <si>
    <t>ALVARADO, DANIEL</t>
  </si>
  <si>
    <t>AYALA, MARTHA</t>
  </si>
  <si>
    <t>COFFEY, ARTHUR</t>
  </si>
  <si>
    <t>JUAREZ, PRISCILLA</t>
  </si>
  <si>
    <t>SOZA, WILLIAM</t>
  </si>
  <si>
    <t>KLINGENBERG, VINCE</t>
  </si>
  <si>
    <t>WALDVOGEL, ESPERANZA</t>
  </si>
  <si>
    <t>MUNOZ, ARTURO</t>
  </si>
  <si>
    <t>MARTINEZ, SANDRA M</t>
  </si>
  <si>
    <t>GRADO, EUSTOLIA</t>
  </si>
  <si>
    <t>ARZATE, ROGELIO R</t>
  </si>
  <si>
    <t>HOWELL, ALISHA</t>
  </si>
  <si>
    <t>MITCHELL, BECKY</t>
  </si>
  <si>
    <t>SWANSON, RONALD</t>
  </si>
  <si>
    <t>RUIZ, HECTOR</t>
  </si>
  <si>
    <t>SCHMIDT, AMY</t>
  </si>
  <si>
    <t>ESTRADA, PAULA R</t>
  </si>
  <si>
    <t>LUCERO, EVANGELINA</t>
  </si>
  <si>
    <t>RAMIREZ, MARTIN</t>
  </si>
  <si>
    <t>GUTIERREZ, RAUL</t>
  </si>
  <si>
    <t>VENEGAS, BERTA</t>
  </si>
  <si>
    <t>BENITEZ, PEDRO</t>
  </si>
  <si>
    <t>RODARTE, FRANCISCO</t>
  </si>
  <si>
    <t>LOPEZ, MARIA</t>
  </si>
  <si>
    <t>INGLE, AMBER M</t>
  </si>
  <si>
    <t>ORTIZ, ALBERTO</t>
  </si>
  <si>
    <t>VALADEZ, IRENE</t>
  </si>
  <si>
    <t>GUTIERREZ, WENDY</t>
  </si>
  <si>
    <t>KEITH, DIANA</t>
  </si>
  <si>
    <t>AGUILAR, HUMBERTO</t>
  </si>
  <si>
    <t>HORNER, CONSTANCE M</t>
  </si>
  <si>
    <t>PENA, ERNESTINA</t>
  </si>
  <si>
    <t>CORRELL, SHERRI L</t>
  </si>
  <si>
    <t>BAILEY, COREY</t>
  </si>
  <si>
    <t>VAN RUITEN, MARIA A</t>
  </si>
  <si>
    <t>RUIZ, CLEOTILDE</t>
  </si>
  <si>
    <t>MEDINA, YSIDRO D</t>
  </si>
  <si>
    <t>DE LA CRUZ, LUIS</t>
  </si>
  <si>
    <t>CHAVEZ, RIGOBERTO</t>
  </si>
  <si>
    <t>BACA, SILAS</t>
  </si>
  <si>
    <t>LUNA, MANUEL</t>
  </si>
  <si>
    <t>VALADEZ, JUANITA</t>
  </si>
  <si>
    <t>SHUGART, GAIL M</t>
  </si>
  <si>
    <t>GARCIA, JOHN</t>
  </si>
  <si>
    <t>GARCIA, ELIZABETH</t>
  </si>
  <si>
    <t>MUNOZ, GLORIA</t>
  </si>
  <si>
    <t>RENTERIA, RAYMUNDO</t>
  </si>
  <si>
    <t>BALL, JAMES</t>
  </si>
  <si>
    <t>CHAVEZ, GUADALUPE</t>
  </si>
  <si>
    <t>DENIS, VICTOR</t>
  </si>
  <si>
    <t>MUNIZ, CONNIE M</t>
  </si>
  <si>
    <t>AMBRIZ NUNEZ, ANGEL</t>
  </si>
  <si>
    <t>AUSTIN, WALLACE</t>
  </si>
  <si>
    <t>CONOR, VIVIAN</t>
  </si>
  <si>
    <t>MARTINEZ, ROSA M</t>
  </si>
  <si>
    <t>TAYLOR, PATRICIA</t>
  </si>
  <si>
    <t>SOLIS, HILARIO</t>
  </si>
  <si>
    <t>FACIO, TERESITA D</t>
  </si>
  <si>
    <t>JUDY, FAVIOLA</t>
  </si>
  <si>
    <t>TELLES, ERNESTO</t>
  </si>
  <si>
    <t>HERNANDEZ, LUIS</t>
  </si>
  <si>
    <t>ROSALES, JACK</t>
  </si>
  <si>
    <t>VALDEZ, LUCIA</t>
  </si>
  <si>
    <t>GOMEZ, LUIS</t>
  </si>
  <si>
    <t>SOLIS, RICARDO</t>
  </si>
  <si>
    <t>CORONADO, JOSEFINA</t>
  </si>
  <si>
    <t>VALENZUELA, FERNANDO</t>
  </si>
  <si>
    <t>SOTO, MARY</t>
  </si>
  <si>
    <t>BORJAS, TRINIDAD</t>
  </si>
  <si>
    <t>MENDEZ, JOSE</t>
  </si>
  <si>
    <t>MCDOWELL, KENNETH R</t>
  </si>
  <si>
    <t>ARELLANO, AURORA</t>
  </si>
  <si>
    <t>BECK, MICHAEL</t>
  </si>
  <si>
    <t>PEREZ, VICTOR</t>
  </si>
  <si>
    <t>SALAZAR, EVANGELINA</t>
  </si>
  <si>
    <t>ROULEAU, ANITA</t>
  </si>
  <si>
    <t>FOUNTAIN-BELLFUSS, LAUREL</t>
  </si>
  <si>
    <t>SERVIN, LISETTE</t>
  </si>
  <si>
    <t>DOMINGUEZ, ALEX</t>
  </si>
  <si>
    <t>MAYO, ELMER</t>
  </si>
  <si>
    <t>RAMIREZ, JOSE</t>
  </si>
  <si>
    <t>IGLESIAS, LUIS</t>
  </si>
  <si>
    <t>SULLIVAN, DEBORAH</t>
  </si>
  <si>
    <t>GAXIOLA, MANUEL</t>
  </si>
  <si>
    <t>TRONCOSO, BERTHA</t>
  </si>
  <si>
    <t>BUEHLER, MANUELA</t>
  </si>
  <si>
    <t>TIENDA, IRASEMA</t>
  </si>
  <si>
    <t>NORWOOD, LARRY</t>
  </si>
  <si>
    <t>SMYERS, CODY E</t>
  </si>
  <si>
    <t>GARCIA, RAQUEL</t>
  </si>
  <si>
    <t>OLSEN, SANDRA</t>
  </si>
  <si>
    <t>MELENDEZ, DOLORES</t>
  </si>
  <si>
    <t>WASHINGTON, VERNON M</t>
  </si>
  <si>
    <t>LUJAN, SASCHA</t>
  </si>
  <si>
    <t>DOMINGUEZ, JOSE G</t>
  </si>
  <si>
    <t>JORDAN, CHRISTINA</t>
  </si>
  <si>
    <t>ALVARADO, ROBERT</t>
  </si>
  <si>
    <t>PALACIOS, MICHAEL</t>
  </si>
  <si>
    <t>PHILLIPS, TONYA</t>
  </si>
  <si>
    <t>BROWN, DEBORAH K</t>
  </si>
  <si>
    <t>VAZQUEZ-ZIMMERMANN, DIANE</t>
  </si>
  <si>
    <t>AGUAYO, SAMUEL</t>
  </si>
  <si>
    <t>JAQUEZ, FELIX</t>
  </si>
  <si>
    <t>BELTRAN, ALICIA</t>
  </si>
  <si>
    <t>AKWABOAH, EVANS</t>
  </si>
  <si>
    <t>PEREZ, AMELIA</t>
  </si>
  <si>
    <t>DIAZ, ANTELMA A</t>
  </si>
  <si>
    <t>MARTINEZ PEREZ, PERLA</t>
  </si>
  <si>
    <t>PARRAL, JOSE</t>
  </si>
  <si>
    <t>RIVERA, SANDRA B</t>
  </si>
  <si>
    <t>SIERRA, ARMANDO</t>
  </si>
  <si>
    <t>CASTILLO, CONCEPCION</t>
  </si>
  <si>
    <t>VALDEZ, TONY</t>
  </si>
  <si>
    <t>LAWSON, SEAN</t>
  </si>
  <si>
    <t>MARTINEZ, ALEJANDRO</t>
  </si>
  <si>
    <t>MEDRANO, JUAN</t>
  </si>
  <si>
    <t>CARTER, SARAH A</t>
  </si>
  <si>
    <t>WILSON, DOUGLAS</t>
  </si>
  <si>
    <t>LOPEZ, ENRIQUE</t>
  </si>
  <si>
    <t>ACOSTA, CARLOS</t>
  </si>
  <si>
    <t>ACOSTA, ALEJANDRINA</t>
  </si>
  <si>
    <t>EZELL, JOHN</t>
  </si>
  <si>
    <t>ARCOS, MARTHA</t>
  </si>
  <si>
    <t>BOMBELA, KATHRYN</t>
  </si>
  <si>
    <t>MAYO, TINA M</t>
  </si>
  <si>
    <t>DAVILA, MARIA R</t>
  </si>
  <si>
    <t>BOISSELIER, VERONICA</t>
  </si>
  <si>
    <t>VELASQUEZ SOLIS, VALERIE</t>
  </si>
  <si>
    <t>FELICIANOPESANTE, KEVIN</t>
  </si>
  <si>
    <t>ORTIZ, VELVET</t>
  </si>
  <si>
    <t>SARABIA, RAMON</t>
  </si>
  <si>
    <t>TORRES-LUNA, GERALDO</t>
  </si>
  <si>
    <t>MENDOZA, CARLOS</t>
  </si>
  <si>
    <t>SOTO CONTRERAS, EVA</t>
  </si>
  <si>
    <t>GILBERT, OLIVER</t>
  </si>
  <si>
    <t>GARCIA, EUSTOLIA</t>
  </si>
  <si>
    <t>GONZALEZ, RODOLFO</t>
  </si>
  <si>
    <t>SANTACRUZ, VIRGINIA</t>
  </si>
  <si>
    <t>PUENTES, LUZ</t>
  </si>
  <si>
    <t>CHAVEZ, TIMOTHY G</t>
  </si>
  <si>
    <t>VALENCIA, MARGARITA C</t>
  </si>
  <si>
    <t>SOLIS, CHRISTOPHER</t>
  </si>
  <si>
    <t>SOLARES, RAMONA</t>
  </si>
  <si>
    <t>VARELA, GABRIELA</t>
  </si>
  <si>
    <t>HIGAREDA, ODETE</t>
  </si>
  <si>
    <t>MIRANDA, NANCY A</t>
  </si>
  <si>
    <t>DEMASSEY, DAVID</t>
  </si>
  <si>
    <t>MARQUEZ, MARTHA</t>
  </si>
  <si>
    <t>GARCIA, ARMANDO</t>
  </si>
  <si>
    <t>ROLDAN, EVA M</t>
  </si>
  <si>
    <t>MEDINA, GLORIA</t>
  </si>
  <si>
    <t>MONTES, EDWARD</t>
  </si>
  <si>
    <t>TEJADA DE RUEDA, BERTHA</t>
  </si>
  <si>
    <t>KIRKWOOD, DOUGLAS</t>
  </si>
  <si>
    <t>GARCIA, INES</t>
  </si>
  <si>
    <t>SOTO, BLANCA</t>
  </si>
  <si>
    <t>TURNER, ESTELA</t>
  </si>
  <si>
    <t>LUJAN, ABDON</t>
  </si>
  <si>
    <t>AGUILAR, PEARL B</t>
  </si>
  <si>
    <t>MARTIN, PATRICK</t>
  </si>
  <si>
    <t>PRIETO, BEDA</t>
  </si>
  <si>
    <t>HAWKINS, SYLVIA</t>
  </si>
  <si>
    <t>RHEAUME, SCOTT</t>
  </si>
  <si>
    <t>CHAVEZ, LETICIA</t>
  </si>
  <si>
    <t>HERNANDEZ, JESUS</t>
  </si>
  <si>
    <t>AVICTIA, ALFONSO</t>
  </si>
  <si>
    <t>ZELAYA DE GUARDADO, LORENA</t>
  </si>
  <si>
    <t>CONTRERAS, EDUARDO T</t>
  </si>
  <si>
    <t>VERDIER, GRACIELA</t>
  </si>
  <si>
    <t>MEDINA, GEORGINA</t>
  </si>
  <si>
    <t>MCDONALD, MARY J</t>
  </si>
  <si>
    <t>CLICK, ALICIA</t>
  </si>
  <si>
    <t>DIAZ, CHRISTOPHER A</t>
  </si>
  <si>
    <t>RASCON, EVA</t>
  </si>
  <si>
    <t>GONZALEZ, JESUS</t>
  </si>
  <si>
    <t>GARZA-PENA, SOCORRO</t>
  </si>
  <si>
    <t>ARCOS, LUIS</t>
  </si>
  <si>
    <t>TORRES, ROSA MARIA</t>
  </si>
  <si>
    <t>DURR, OTIS</t>
  </si>
  <si>
    <t>DUARTE, SANDRA</t>
  </si>
  <si>
    <t>RODRIGUEZ, LORRIE</t>
  </si>
  <si>
    <t>GARDEA, LUZ MARIA</t>
  </si>
  <si>
    <t>MENDEZ, TIRSO</t>
  </si>
  <si>
    <t>FLUGMACHER, JAMES</t>
  </si>
  <si>
    <t>TOY, DAIGORO</t>
  </si>
  <si>
    <t>ARCHULETA, OSCAR</t>
  </si>
  <si>
    <t>BARRAZA, MARIA</t>
  </si>
  <si>
    <t>BROWN, MARGIE</t>
  </si>
  <si>
    <t>SANTANA, ANA</t>
  </si>
  <si>
    <t>ARREOLA, MARTHA</t>
  </si>
  <si>
    <t>HOLGUIN, SOCORRO</t>
  </si>
  <si>
    <t>GALLEGOS, RUDY</t>
  </si>
  <si>
    <t>MARTINEZ, ADELINA</t>
  </si>
  <si>
    <t>MUNOZ, JORGE</t>
  </si>
  <si>
    <t>RODRIGUEZ, LAURA</t>
  </si>
  <si>
    <t>LOPEZ, PATRICIA</t>
  </si>
  <si>
    <t>LIU, HSIU CHING</t>
  </si>
  <si>
    <t>LOVE, NORMAN</t>
  </si>
  <si>
    <t>IBARRA, MARIA DEL CARMEN</t>
  </si>
  <si>
    <t>CRUZ, MARTHA</t>
  </si>
  <si>
    <t>RONQUILLO, GABRIEL M</t>
  </si>
  <si>
    <t>PENBERG, JANE M</t>
  </si>
  <si>
    <t>SUIDIKAS, BEATRICE</t>
  </si>
  <si>
    <t>SANCHEZ, CARMEN MARIA</t>
  </si>
  <si>
    <t>ROBERTS, RENE</t>
  </si>
  <si>
    <t>PEDROZO, YOLANDA ISABEL</t>
  </si>
  <si>
    <t>ERWIN, JEFFREY</t>
  </si>
  <si>
    <t>AVILA, ANDRES</t>
  </si>
  <si>
    <t>ACOSTA, ESPERANZA</t>
  </si>
  <si>
    <t>VALLE, IBRAHIM</t>
  </si>
  <si>
    <t>CASTRO, RODRIGO</t>
  </si>
  <si>
    <t>VASQUEZ DE PONCE, MARIVEL</t>
  </si>
  <si>
    <t>PONCE, JESUS</t>
  </si>
  <si>
    <t>CAVINESS, SANDRA</t>
  </si>
  <si>
    <t>CABAN, MILAGROS</t>
  </si>
  <si>
    <t>CAMPO, OLGA</t>
  </si>
  <si>
    <t>WILLIAMS, MARTHA P</t>
  </si>
  <si>
    <t>ARRIAGA, ISIDRO</t>
  </si>
  <si>
    <t>SALAMANCA, SELESTE</t>
  </si>
  <si>
    <t>MCNULTY, MARGARET M</t>
  </si>
  <si>
    <t>HERNANDEZ, MARIA L</t>
  </si>
  <si>
    <t>DUGAS, AMANDA</t>
  </si>
  <si>
    <t>OROPEZA, CARLOS</t>
  </si>
  <si>
    <t>HARPER, LINDA</t>
  </si>
  <si>
    <t>RAMEY, MARK</t>
  </si>
  <si>
    <t>SOSA, JOHNNY</t>
  </si>
  <si>
    <t>ACOSTA, MIKE</t>
  </si>
  <si>
    <t>REBELES, ROSE</t>
  </si>
  <si>
    <t>SLOAN, CONNIE L</t>
  </si>
  <si>
    <t>MEINECKE, GAYLE</t>
  </si>
  <si>
    <t>CAZARES, MANUELA</t>
  </si>
  <si>
    <t>EDMUNDS, PAULINA</t>
  </si>
  <si>
    <t>OROZCO, TOMAZ</t>
  </si>
  <si>
    <t>IRIGOYEN, MARIO</t>
  </si>
  <si>
    <t>BARRON, ALBERTO</t>
  </si>
  <si>
    <t>GEIMER, ALBERT</t>
  </si>
  <si>
    <t>DIAZ, JORGE</t>
  </si>
  <si>
    <t>ZAVALA, KARLI</t>
  </si>
  <si>
    <t>GUERRA, JON</t>
  </si>
  <si>
    <t>ORTLUND, RANDOLPH H</t>
  </si>
  <si>
    <t>MITCHELL, PATRICIA</t>
  </si>
  <si>
    <t>MARQUEZ, LETICIA</t>
  </si>
  <si>
    <t>COOK, JANICE E</t>
  </si>
  <si>
    <t>ROJAS, SYLVIA Z</t>
  </si>
  <si>
    <t>WOODALL, PHYLLIS</t>
  </si>
  <si>
    <t>HAMILTON, AGNIESZKA</t>
  </si>
  <si>
    <t>BERGE, VERNON</t>
  </si>
  <si>
    <t>ROBLEDO, CYNTHIA</t>
  </si>
  <si>
    <t>BELL, WILMA</t>
  </si>
  <si>
    <t>GARCIA, SILVIA T</t>
  </si>
  <si>
    <t>TAPIA, EMMA</t>
  </si>
  <si>
    <t>KROBOT, ANDREW W</t>
  </si>
  <si>
    <t>CABRERA, JOE O</t>
  </si>
  <si>
    <t>LAFARELLE, CARMEN</t>
  </si>
  <si>
    <t>MOORE, ROBERTA F</t>
  </si>
  <si>
    <t>PONCE, APOLONIA</t>
  </si>
  <si>
    <t>MUELLER, MARGARITA</t>
  </si>
  <si>
    <t>MONTOYA, SERGIO P</t>
  </si>
  <si>
    <t>HERNANDEZ PEDROZA, FEDERICO</t>
  </si>
  <si>
    <t>RIOS, GRACIANO G</t>
  </si>
  <si>
    <t>PANIAGUA, RAFAEL</t>
  </si>
  <si>
    <t>ESTRADA, LUCILA</t>
  </si>
  <si>
    <t>ALFONSO, HERNAN C</t>
  </si>
  <si>
    <t>CONTRERAS, VERONICA</t>
  </si>
  <si>
    <t>LEYVA, MARIA J</t>
  </si>
  <si>
    <t>RIVEROLL, HECTOR</t>
  </si>
  <si>
    <t>CIAK, DESIREE</t>
  </si>
  <si>
    <t>GUILLEN, ALONZO</t>
  </si>
  <si>
    <t>SIERRA, AMANDA</t>
  </si>
  <si>
    <t>GOODELL, SUSAN</t>
  </si>
  <si>
    <t>SANCHEZ, ROSA</t>
  </si>
  <si>
    <t>COUTTA, JEANNIE S</t>
  </si>
  <si>
    <t>MELLO, ANNA</t>
  </si>
  <si>
    <t>FIALA, THIAGO</t>
  </si>
  <si>
    <t>GOMEZ, BENITO D</t>
  </si>
  <si>
    <t>FERNANDEZ, TERESA</t>
  </si>
  <si>
    <t>JEDDERY, CHARLES</t>
  </si>
  <si>
    <t>RODRIGUEZ, ELIZABETH</t>
  </si>
  <si>
    <t>HEATH, WALLACE</t>
  </si>
  <si>
    <t>LOPEZ, ROBERT</t>
  </si>
  <si>
    <t>AGUIRRE, MARIA</t>
  </si>
  <si>
    <t>BENITEZ, ROBERT</t>
  </si>
  <si>
    <t>RUIZ, JESUS</t>
  </si>
  <si>
    <t>PARTRIDGE, MARY K</t>
  </si>
  <si>
    <t>MARTINEZ, ROSA</t>
  </si>
  <si>
    <t>SANCHEZ, SOCORRO</t>
  </si>
  <si>
    <t>GARNICA, PATRICIA</t>
  </si>
  <si>
    <t>GONZALEZ, SOFIA A</t>
  </si>
  <si>
    <t>ROYSDON, CHERYL</t>
  </si>
  <si>
    <t>VALDEZ, ESTHER</t>
  </si>
  <si>
    <t>CLARK, MICHAEL</t>
  </si>
  <si>
    <t>RIOS, DANIEL</t>
  </si>
  <si>
    <t>ALVARADO, ROSA M</t>
  </si>
  <si>
    <t>ALVARADO, ARMANDO</t>
  </si>
  <si>
    <t>GAYTAN, ALMA DELIA</t>
  </si>
  <si>
    <t>ARENAS, ISAAC</t>
  </si>
  <si>
    <t>HUMBLE, EDDIE</t>
  </si>
  <si>
    <t>RODRIGUEZ, AARON A</t>
  </si>
  <si>
    <t>ALVARADO, MANUEL</t>
  </si>
  <si>
    <t>FLORES, MARTHA</t>
  </si>
  <si>
    <t>FELIPE, ERIKA</t>
  </si>
  <si>
    <t>GUZMAN ROCHA, ELIZABETH</t>
  </si>
  <si>
    <t>SOLIZ, MARTHA</t>
  </si>
  <si>
    <t>JIMENEZ, JOEL</t>
  </si>
  <si>
    <t>MOLINAR, BLANCA</t>
  </si>
  <si>
    <t>ENGELBAUM, KIMBERLEY</t>
  </si>
  <si>
    <t>STONE, RONNIE</t>
  </si>
  <si>
    <t>GONZALEZ, GIGI I</t>
  </si>
  <si>
    <t>HOPPER, CAROLYN</t>
  </si>
  <si>
    <t>GONZALEZ, CHRISTINA</t>
  </si>
  <si>
    <t>GUTIERREZ, OSCAR</t>
  </si>
  <si>
    <t>SEXTON, WILLIAM</t>
  </si>
  <si>
    <t>HARTMAN, PAUL</t>
  </si>
  <si>
    <t>MORALES, REYMUNDO</t>
  </si>
  <si>
    <t>LIU, PEI-HENG</t>
  </si>
  <si>
    <t>GARCIA, JORGE</t>
  </si>
  <si>
    <t>YORK, TRAVIS</t>
  </si>
  <si>
    <t>AGUIRRE, SYLVIA</t>
  </si>
  <si>
    <t>HERNANDEZ, GREGORIA</t>
  </si>
  <si>
    <t>KELLER, ANNMARIE</t>
  </si>
  <si>
    <t>GONZALEZ, CONCEPCION</t>
  </si>
  <si>
    <t>MELENDEZ, ALICIA</t>
  </si>
  <si>
    <t>AGUILAR, JOSE L</t>
  </si>
  <si>
    <t>GONZALEZ, MARIA T</t>
  </si>
  <si>
    <t>BETHKE, ROSIE</t>
  </si>
  <si>
    <t>VELEZ, VALERIA</t>
  </si>
  <si>
    <t>GUILLEN, RAMON</t>
  </si>
  <si>
    <t>PARRISH, LARRY D</t>
  </si>
  <si>
    <t>MENDEZ, LYNETTE</t>
  </si>
  <si>
    <t>TREVINO CARRILLO, JAIME</t>
  </si>
  <si>
    <t>BECERRA, ANA MARIA</t>
  </si>
  <si>
    <t>VEAL, ALLENE</t>
  </si>
  <si>
    <t>AVITIA, AZUCENA</t>
  </si>
  <si>
    <t>RED, JOSE R</t>
  </si>
  <si>
    <t>FISHER, IRA</t>
  </si>
  <si>
    <t>SMITH, CYNTHIA</t>
  </si>
  <si>
    <t>ULLOA, SANDRA</t>
  </si>
  <si>
    <t>HANSEN, TAMMY</t>
  </si>
  <si>
    <t>KERWIN, MARIA</t>
  </si>
  <si>
    <t>VASQUEZ, RICHARD</t>
  </si>
  <si>
    <t>BROWN, ANDREW</t>
  </si>
  <si>
    <t>CARLOS, MIGUEL</t>
  </si>
  <si>
    <t>ALVARADO, MARTHA</t>
  </si>
  <si>
    <t>GONZALEZ, FRANCISCO</t>
  </si>
  <si>
    <t>RODRIGUEZ, MARTHA L</t>
  </si>
  <si>
    <t>ARROYO, DELFINO</t>
  </si>
  <si>
    <t>ROMAN, SUE</t>
  </si>
  <si>
    <t>VAZQUEZ, GLORIA</t>
  </si>
  <si>
    <t>CHAIREZ, CECILIA</t>
  </si>
  <si>
    <t>GUERRERO, THOMAS</t>
  </si>
  <si>
    <t>RIVERA, ALFONSO</t>
  </si>
  <si>
    <t>WALLS, STEVEN</t>
  </si>
  <si>
    <t>GONZALEZ, MARIA D</t>
  </si>
  <si>
    <t>LADD, JOSHUA</t>
  </si>
  <si>
    <t>ESPINO, RAUL</t>
  </si>
  <si>
    <t>PARKE, ROBERT J</t>
  </si>
  <si>
    <t>SALCIDO, LARRY</t>
  </si>
  <si>
    <t>LIEURANCE, ASHLEY</t>
  </si>
  <si>
    <t>GONZALEZ, MARIA DE LA LUZ</t>
  </si>
  <si>
    <t>DUQUE, ALEJANDRINA</t>
  </si>
  <si>
    <t>ENRIQUEZ, SANDRA</t>
  </si>
  <si>
    <t>MANQUEROS, GREGORIO</t>
  </si>
  <si>
    <t>VILLALOVOS, DORA O</t>
  </si>
  <si>
    <t>GONZALEZ GARCIA, ORLANDO</t>
  </si>
  <si>
    <t>LATIMER, WILLARD</t>
  </si>
  <si>
    <t>APODACA, JORGE</t>
  </si>
  <si>
    <t>JONES, HARRY</t>
  </si>
  <si>
    <t>ORTEGA, ESPERANZA</t>
  </si>
  <si>
    <t>AGUILAR, STEVE B</t>
  </si>
  <si>
    <t>BRISENO, ANTONIO</t>
  </si>
  <si>
    <t>MORENO, CESAR</t>
  </si>
  <si>
    <t>SERNA, RAMON</t>
  </si>
  <si>
    <t>SOROA SIGALA, ALBERTO</t>
  </si>
  <si>
    <t>CARAVEO, YOLANDA</t>
  </si>
  <si>
    <t>BOHANNON, ERIKA</t>
  </si>
  <si>
    <t>GARZA, SYLVIA M</t>
  </si>
  <si>
    <t>HINOJOS, JONATHAN</t>
  </si>
  <si>
    <t>TORRES, JOSE</t>
  </si>
  <si>
    <t>RUTLEDGE, MARIA</t>
  </si>
  <si>
    <t>KOONCE, CAROLYN</t>
  </si>
  <si>
    <t>AGUINAGA, ELISA</t>
  </si>
  <si>
    <t>SAMANIEGO, ABEL</t>
  </si>
  <si>
    <t>CISNEROS, CECILIA</t>
  </si>
  <si>
    <t>DIAZ, JOHANNA</t>
  </si>
  <si>
    <t>SOSA, JUANITA C</t>
  </si>
  <si>
    <t>MARESTEIN, OSCAR A</t>
  </si>
  <si>
    <t>CENICEROS, ELIZABETH</t>
  </si>
  <si>
    <t>ROJAS, MARIA C</t>
  </si>
  <si>
    <t>ZENKER, SUSAN</t>
  </si>
  <si>
    <t>SNIVELY, MORGAN</t>
  </si>
  <si>
    <t>SANTILLAN, VICTOR</t>
  </si>
  <si>
    <t>KUEHN, CLAYTON M</t>
  </si>
  <si>
    <t>BRUNK, ROBERT E</t>
  </si>
  <si>
    <t>CASTRELLON, ALEJANDRA</t>
  </si>
  <si>
    <t>DAVIS, MARY</t>
  </si>
  <si>
    <t>PERICLES, KETTELA</t>
  </si>
  <si>
    <t>OCHOA, FERNANDO</t>
  </si>
  <si>
    <t>SOSA, MARY</t>
  </si>
  <si>
    <t>SANCHEZ, MIGUEL</t>
  </si>
  <si>
    <t>BELTRAN, CONSUELO</t>
  </si>
  <si>
    <t>DIAZ, ROSA M</t>
  </si>
  <si>
    <t>TORRES, LAURA A</t>
  </si>
  <si>
    <t>BUNDREN, JAMES</t>
  </si>
  <si>
    <t>RODRIGUEZ, JORGE</t>
  </si>
  <si>
    <t>SHAW, FRED</t>
  </si>
  <si>
    <t>LUNA, ELSA</t>
  </si>
  <si>
    <t>MACIAS, MIGUEL</t>
  </si>
  <si>
    <t>HERNANDEZ, ALBERTA</t>
  </si>
  <si>
    <t>RAMIREZ, JOSE H</t>
  </si>
  <si>
    <t>CALDERON, ARACELI</t>
  </si>
  <si>
    <t>MARTIN, CHRISTINE</t>
  </si>
  <si>
    <t>RIVERA, JUAN</t>
  </si>
  <si>
    <t>MONCRIEF, CAROLYN W</t>
  </si>
  <si>
    <t>SANCHEZ, JOANN</t>
  </si>
  <si>
    <t>VALENCIA, CHRISTA A</t>
  </si>
  <si>
    <t>GURROLA, JAIME A</t>
  </si>
  <si>
    <t>NOGUEIRA, OMAR</t>
  </si>
  <si>
    <t>POBLANO, DOLORES</t>
  </si>
  <si>
    <t>CASTORENA, MARIA ELENA</t>
  </si>
  <si>
    <t>BALLESTEROS, ARTURO</t>
  </si>
  <si>
    <t>MCDONALD, JOHN J</t>
  </si>
  <si>
    <t>ULTRERAS, JOSEFINA S</t>
  </si>
  <si>
    <t>WILCOX, LARRY</t>
  </si>
  <si>
    <t>TORRES, CATALINA D</t>
  </si>
  <si>
    <t>TORRES, JORGE</t>
  </si>
  <si>
    <t>VALENZUELA, GERARDO</t>
  </si>
  <si>
    <t>AVILES DE VALENZUELA, MARIA</t>
  </si>
  <si>
    <t>MENDOZA, ARMIDA</t>
  </si>
  <si>
    <t>POLLARD, HENRY</t>
  </si>
  <si>
    <t>MARSHALL, TERESA</t>
  </si>
  <si>
    <t>PORRAS, MARIO</t>
  </si>
  <si>
    <t>BAQUERA, CYNTHIA</t>
  </si>
  <si>
    <t>CABRERA, LUPE G</t>
  </si>
  <si>
    <t>ONTIVEROS, JOSE C</t>
  </si>
  <si>
    <t>MORALES, JUAN</t>
  </si>
  <si>
    <t>HICKS, JOSE</t>
  </si>
  <si>
    <t>CORTEZ, JESSE</t>
  </si>
  <si>
    <t>RIVAS, FRANCISCO</t>
  </si>
  <si>
    <t>MANQUEROS, AURELIA</t>
  </si>
  <si>
    <t>TILLMAN, CANDICE</t>
  </si>
  <si>
    <t>SOSA, MARIA L</t>
  </si>
  <si>
    <t>RODRIGUEZ, SARA</t>
  </si>
  <si>
    <t>FLORES, MARICELA</t>
  </si>
  <si>
    <t>JOHNSON, MARC</t>
  </si>
  <si>
    <t>URIAS PEREZ, ANTONIO</t>
  </si>
  <si>
    <t>WILES, SHARON</t>
  </si>
  <si>
    <t>MORALES, ANITA</t>
  </si>
  <si>
    <t>GUERRERO, ROBERT</t>
  </si>
  <si>
    <t>BREYER, RALPH</t>
  </si>
  <si>
    <t>BONETTI, CHARLES</t>
  </si>
  <si>
    <t>OROPEZA, ESPERANZA</t>
  </si>
  <si>
    <t>MUNOZ, IRMA</t>
  </si>
  <si>
    <t>MUNOZ, ALEXA</t>
  </si>
  <si>
    <t>ARAUJO, MARTHA</t>
  </si>
  <si>
    <t>GUZMAN, JAIME</t>
  </si>
  <si>
    <t>MONTELONGO, GLORIA</t>
  </si>
  <si>
    <t>HERNANDEZ, YURI</t>
  </si>
  <si>
    <t>PALOMINO-MENDEZ, YOLANDA G</t>
  </si>
  <si>
    <t>MENDEZ, MARIA F</t>
  </si>
  <si>
    <t>NAVARRO, MARTHA</t>
  </si>
  <si>
    <t>OROZCO, LAURA</t>
  </si>
  <si>
    <t>FLORES, JACKIE</t>
  </si>
  <si>
    <t>LANCASTER, CARMEN</t>
  </si>
  <si>
    <t>PETERSON, SANDY</t>
  </si>
  <si>
    <t>LUJAN, PATRICIA</t>
  </si>
  <si>
    <t>ESCANDON, GLORIA</t>
  </si>
  <si>
    <t>GONZALEZ, OFELIA</t>
  </si>
  <si>
    <t>HALLBERG, EDITH E</t>
  </si>
  <si>
    <t>COPELAND, JOHN</t>
  </si>
  <si>
    <t>HERNANDEZ, GUADALUPE M</t>
  </si>
  <si>
    <t>VAZQUEZ ROSADO, EDGARDO</t>
  </si>
  <si>
    <t>FLETCHER, TOMEKIA</t>
  </si>
  <si>
    <t>RODRIGUEZ, EMILIA YOLANDA</t>
  </si>
  <si>
    <t>ARELLANO, FRANCES</t>
  </si>
  <si>
    <t>GUERRERO, BERTHA</t>
  </si>
  <si>
    <t>ALVIDREZ, MARCELA D</t>
  </si>
  <si>
    <t>LUNA, CATALINA</t>
  </si>
  <si>
    <t>DOMINGUEZ, CARMEN O</t>
  </si>
  <si>
    <t>LEANOS, JOSE</t>
  </si>
  <si>
    <t>ROMERO HERNANDEZ, MIGUEL</t>
  </si>
  <si>
    <t>VELASCO, JOSE L</t>
  </si>
  <si>
    <t>EPSTEIN, STEVEN</t>
  </si>
  <si>
    <t>DE LA ROSA, FRANCISCO J</t>
  </si>
  <si>
    <t>TOZIER, TYLER</t>
  </si>
  <si>
    <t>BURLESON, MICHAEL D</t>
  </si>
  <si>
    <t>SALAZAR, BALDOMAR</t>
  </si>
  <si>
    <t>MENDOZA, MARIA R</t>
  </si>
  <si>
    <t>PEREZ DE GOMEZ, MARGARITA</t>
  </si>
  <si>
    <t>GIROSKY GARIBY, JAIME</t>
  </si>
  <si>
    <t>FELGER, BRANDON</t>
  </si>
  <si>
    <t>DOMINGUEZ GRADO, SERGIO</t>
  </si>
  <si>
    <t>WILLIAMS, CARL</t>
  </si>
  <si>
    <t>LATORREOJEDA, ADIELYS</t>
  </si>
  <si>
    <t>CHARLES, PATRICK</t>
  </si>
  <si>
    <t>ANZARA, MARY A</t>
  </si>
  <si>
    <t>ESTRADA, TERESA</t>
  </si>
  <si>
    <t>MELLADO, ERNESTO</t>
  </si>
  <si>
    <t>NAVEJAS, ABEL</t>
  </si>
  <si>
    <t>VIOLETTE, RYAN A</t>
  </si>
  <si>
    <t>ABEYTA, DAVID</t>
  </si>
  <si>
    <t>SANDOVAL, GLORIA L</t>
  </si>
  <si>
    <t>JASPER, GINA</t>
  </si>
  <si>
    <t>PARRY, MARK</t>
  </si>
  <si>
    <t>CORONADO, GLORIA</t>
  </si>
  <si>
    <t>GONZALES, MAGDA S</t>
  </si>
  <si>
    <t>MONRREAL, CHRISTINA A</t>
  </si>
  <si>
    <t>CORTINAS, MANUEL</t>
  </si>
  <si>
    <t>MORALES, ROSALVA</t>
  </si>
  <si>
    <t>OGUEGBU, AMAECHI</t>
  </si>
  <si>
    <t>STRAIGHT, CORA</t>
  </si>
  <si>
    <t>LOPEZ, MARGARITA</t>
  </si>
  <si>
    <t>LUCERO, MANUEL A</t>
  </si>
  <si>
    <t>LOPEZ, RAUL C</t>
  </si>
  <si>
    <t>HERNANDEZ GONZALEZ, JOSE</t>
  </si>
  <si>
    <t>TOLKMITT, EUGENE</t>
  </si>
  <si>
    <t>MIRANDA, ESTELA VDA</t>
  </si>
  <si>
    <t>MUNOZ, ROGELIO</t>
  </si>
  <si>
    <t>SPILLER, LINDA G</t>
  </si>
  <si>
    <t>VARGAS, SAMUEL</t>
  </si>
  <si>
    <t>DIAZ, CYNTHIA</t>
  </si>
  <si>
    <t>GONZALES, PETRA D</t>
  </si>
  <si>
    <t>CARRASCO, HECTOR S</t>
  </si>
  <si>
    <t>AGUILAR, JESUS H</t>
  </si>
  <si>
    <t>MARTINEZ, VIRGINIA F</t>
  </si>
  <si>
    <t>ROTHMAN, ANN</t>
  </si>
  <si>
    <t>ENRIQUEZ, JORGE</t>
  </si>
  <si>
    <t>FORE, SANDRA</t>
  </si>
  <si>
    <t>DODGE, JASON M</t>
  </si>
  <si>
    <t>ALANIS, NORMAN L</t>
  </si>
  <si>
    <t>DUNSAVAGE, MICHAEL A</t>
  </si>
  <si>
    <t>FARLEY, ROBERTA</t>
  </si>
  <si>
    <t>EDWARDS, TANYA</t>
  </si>
  <si>
    <t>CHA, JEWELS</t>
  </si>
  <si>
    <t>DE SANTIAGO, LIZETTE</t>
  </si>
  <si>
    <t>PORRAS, NOE</t>
  </si>
  <si>
    <t>CASTILLO, ESPERANZA</t>
  </si>
  <si>
    <t>ACOSTA, TERESA P</t>
  </si>
  <si>
    <t>BUCKMASTER, FRANCES</t>
  </si>
  <si>
    <t>PEINADO, MARTHA</t>
  </si>
  <si>
    <t>SALINAS, RAMON</t>
  </si>
  <si>
    <t>RUBIO, HECTOR</t>
  </si>
  <si>
    <t>CAMPBELL, VIRGINIA</t>
  </si>
  <si>
    <t>CEDILLO, MARIA</t>
  </si>
  <si>
    <t>BELTRAN, MONICA</t>
  </si>
  <si>
    <t>WOO, WAH</t>
  </si>
  <si>
    <t>BRITO, NORMA</t>
  </si>
  <si>
    <t>CHA, DAVID</t>
  </si>
  <si>
    <t>PATTERSON, GEORGE</t>
  </si>
  <si>
    <t>LOPEZ DE GONZALEZ, ESTHER</t>
  </si>
  <si>
    <t>NUNEZ, GRACIELA A</t>
  </si>
  <si>
    <t>PANKO, SUSAN</t>
  </si>
  <si>
    <t>TORRES, GEORGE R</t>
  </si>
  <si>
    <t>BURFORD, HARRY</t>
  </si>
  <si>
    <t>SHORTER, JOEL</t>
  </si>
  <si>
    <t>GUILLEN, MARK</t>
  </si>
  <si>
    <t>TEST, ALFREDO</t>
  </si>
  <si>
    <t>ROMERO, YVETTE</t>
  </si>
  <si>
    <t>MIRELES, EUSTOLIO</t>
  </si>
  <si>
    <t>WASIEWSKI, ANDREA</t>
  </si>
  <si>
    <t>ESPARZA, IRENE</t>
  </si>
  <si>
    <t>REVELES, LUIS</t>
  </si>
  <si>
    <t>RIVAS, MARK</t>
  </si>
  <si>
    <t>MORENO, VIRGINIA</t>
  </si>
  <si>
    <t>ROCHA, MARIA</t>
  </si>
  <si>
    <t>HUSSIEN, GAMAL M</t>
  </si>
  <si>
    <t>KAYMAN, HASAN</t>
  </si>
  <si>
    <t>ALE, ENOCABIMELECH J</t>
  </si>
  <si>
    <t>PEDRAZA, AURORA</t>
  </si>
  <si>
    <t>RODRIGUEZ, DORA</t>
  </si>
  <si>
    <t>BACA, BLANCA</t>
  </si>
  <si>
    <t>RAYAS, VALERIA</t>
  </si>
  <si>
    <t>GARZA, HECTOR</t>
  </si>
  <si>
    <t>PAEZ, CARMEN</t>
  </si>
  <si>
    <t>CANTU, LUCIA</t>
  </si>
  <si>
    <t>BROOKER, LAURA</t>
  </si>
  <si>
    <t>GALAVIZ, BERTHA</t>
  </si>
  <si>
    <t>MORGAN, MCCARTHY</t>
  </si>
  <si>
    <t>VIGIL DE GALLEGOS, OLGA</t>
  </si>
  <si>
    <t>MARTINEZ, WILLIAM</t>
  </si>
  <si>
    <t>CHAVEZ, MARIA T</t>
  </si>
  <si>
    <t>LOTT, ALVIN B</t>
  </si>
  <si>
    <t>DELGADO, HECTOR M</t>
  </si>
  <si>
    <t>WHITEHEAD, CHRISTOPHER D</t>
  </si>
  <si>
    <t>OZIMEK, CLAUDIA</t>
  </si>
  <si>
    <t>MORALES, MARIA</t>
  </si>
  <si>
    <t>LIRA, ALBERTO</t>
  </si>
  <si>
    <t>ORTIZ, ESTEBAN</t>
  </si>
  <si>
    <t>GUTIERREZ, JOSE</t>
  </si>
  <si>
    <t>VINA, ROSA</t>
  </si>
  <si>
    <t>GARCIA, MATHEW</t>
  </si>
  <si>
    <t>MARTINEZ, CARMELO</t>
  </si>
  <si>
    <t>BORJON DE SALAIS, MARIA D</t>
  </si>
  <si>
    <t>WILSON, DOLLY</t>
  </si>
  <si>
    <t>GARCIA, JOSE J</t>
  </si>
  <si>
    <t>ESPINOZA, LETICIA</t>
  </si>
  <si>
    <t>ABURTO, JAIME</t>
  </si>
  <si>
    <t>TREVIZO, CLAUDIA</t>
  </si>
  <si>
    <t>FULLER, VERONICA S</t>
  </si>
  <si>
    <t>FLORES, ANTONIA</t>
  </si>
  <si>
    <t>RODRIGUEZ, CAROLYN</t>
  </si>
  <si>
    <t>RODRIGUEZ, MIGUEL A</t>
  </si>
  <si>
    <t>MENDIVIL, IRIS</t>
  </si>
  <si>
    <t>VILLAGOMEZ, LAURA L</t>
  </si>
  <si>
    <t>GALLEGOS, JUAN</t>
  </si>
  <si>
    <t>SANDOVAL, TANIA</t>
  </si>
  <si>
    <t>LUCERO, MARGARITA</t>
  </si>
  <si>
    <t>DELGADO, SYLVIA</t>
  </si>
  <si>
    <t>WHITEHEAD, YESMIN L</t>
  </si>
  <si>
    <t>HUERTA, SALVADOR</t>
  </si>
  <si>
    <t>SAPIEN, JAIME</t>
  </si>
  <si>
    <t>GONZALEZ-DEROMAN, MARICRUZ</t>
  </si>
  <si>
    <t>GOOD, JOHN</t>
  </si>
  <si>
    <t>RIOS, DELIA</t>
  </si>
  <si>
    <t>RIVERA-FEBRES, LUIS</t>
  </si>
  <si>
    <t>HAYES, AMY</t>
  </si>
  <si>
    <t>MERCADO, MANUEL JR</t>
  </si>
  <si>
    <t>DILLON, BERT</t>
  </si>
  <si>
    <t>GONZALEZ, BETTY</t>
  </si>
  <si>
    <t>HERNANDO, HECTOR</t>
  </si>
  <si>
    <t>PENA, LEWIS</t>
  </si>
  <si>
    <t>PUGA, DELFINA</t>
  </si>
  <si>
    <t>GAENZLE, STEVE</t>
  </si>
  <si>
    <t>ROMERO, ABRAHAM</t>
  </si>
  <si>
    <t>MENA, NOEMI</t>
  </si>
  <si>
    <t>SOTO, MARISELA</t>
  </si>
  <si>
    <t>BRYANT, DENNIS L</t>
  </si>
  <si>
    <t>FRANCO, JOANNA E</t>
  </si>
  <si>
    <t>MENDOZA, NORMA</t>
  </si>
  <si>
    <t>BENITEZ, BELIA</t>
  </si>
  <si>
    <t>FUENTES, ARMANDO</t>
  </si>
  <si>
    <t>DURAN, ROSA</t>
  </si>
  <si>
    <t>RAMOS GUZMAN, NORMA L</t>
  </si>
  <si>
    <t>PEREZ, RODOLFO</t>
  </si>
  <si>
    <t>GLENN, MIREYA</t>
  </si>
  <si>
    <t>CHENEY, ERICA</t>
  </si>
  <si>
    <t>SOLORZANO, VALERIA</t>
  </si>
  <si>
    <t>MARTINEZ, VICTOR</t>
  </si>
  <si>
    <t>ALVARADO, FERNANDO</t>
  </si>
  <si>
    <t>BARRERA, JULIAN</t>
  </si>
  <si>
    <t>BADILLO, MARIA A</t>
  </si>
  <si>
    <t>RANDLE, TERRY L</t>
  </si>
  <si>
    <t>CAZARES, PATRICIA</t>
  </si>
  <si>
    <t>MARTINEZ, ELIZABETH</t>
  </si>
  <si>
    <t>BOUSHKA, ELAINE</t>
  </si>
  <si>
    <t>ORNELAS CARBAJAL, BENJAMIN</t>
  </si>
  <si>
    <t>CHAVEZ, LINDA B</t>
  </si>
  <si>
    <t>CARRILLO, SAMUEL</t>
  </si>
  <si>
    <t>MONTES, RAUL</t>
  </si>
  <si>
    <t>RUCOBO, AMADA</t>
  </si>
  <si>
    <t>CARDEN, JOSELE</t>
  </si>
  <si>
    <t>CARRILLO, PATSY A</t>
  </si>
  <si>
    <t>CISNEROS, GUADALUPE</t>
  </si>
  <si>
    <t>CRUZ LOPEZ, TOMAS</t>
  </si>
  <si>
    <t>STEFFENS, DANNY</t>
  </si>
  <si>
    <t>HAVENS, ROY</t>
  </si>
  <si>
    <t>PEREZ, SANDRA</t>
  </si>
  <si>
    <t>GONZALEZ, RAUL</t>
  </si>
  <si>
    <t>CHAVIRA DE MEDINA, VERONICA</t>
  </si>
  <si>
    <t>TORREY, DAQUAN</t>
  </si>
  <si>
    <t>PUENTES, ELIZABETH</t>
  </si>
  <si>
    <t>SANDOVAL, MARGARITA</t>
  </si>
  <si>
    <t>HOPSON, JESSICA M</t>
  </si>
  <si>
    <t>MARTINEZ, MARIA D</t>
  </si>
  <si>
    <t>TRASPENA, BLANCA</t>
  </si>
  <si>
    <t>PINON, JO</t>
  </si>
  <si>
    <t>MAESTAS, LYDIA</t>
  </si>
  <si>
    <t>TORRES, NORA</t>
  </si>
  <si>
    <t>PADILLA, LARRY S</t>
  </si>
  <si>
    <t>CLEAVER, FRANCISCA</t>
  </si>
  <si>
    <t>DIDRICKSON, SHARON</t>
  </si>
  <si>
    <t>FAVELA, JUAN CARLOS</t>
  </si>
  <si>
    <t>ZAPATA, JOSEFINA</t>
  </si>
  <si>
    <t>REYES, AIDA</t>
  </si>
  <si>
    <t>GARCIA, RAMON</t>
  </si>
  <si>
    <t>MENDOZA, GUSTAVO</t>
  </si>
  <si>
    <t>ORTIZ, ISABEL</t>
  </si>
  <si>
    <t>ALMAGUER, NAOMI</t>
  </si>
  <si>
    <t>WALKER, BRANDON</t>
  </si>
  <si>
    <t>VERA, MICHELLE</t>
  </si>
  <si>
    <t>GUTIERREZ, ELKO R</t>
  </si>
  <si>
    <t>RHYMES, CECILIA</t>
  </si>
  <si>
    <t>BOND, CORWIN</t>
  </si>
  <si>
    <t>CASARES, MARIA</t>
  </si>
  <si>
    <t>CERON, ANDREA</t>
  </si>
  <si>
    <t>RIOS, ELOIN</t>
  </si>
  <si>
    <t>MBAKU NYAH, MARGARET</t>
  </si>
  <si>
    <t>MENDIOLA, MARIA ALICIA</t>
  </si>
  <si>
    <t>RANGEL, MARTIN</t>
  </si>
  <si>
    <t>LANDIS, MATTHEW</t>
  </si>
  <si>
    <t>REYNA, CONSUELO</t>
  </si>
  <si>
    <t>PAUL, JEFFREY</t>
  </si>
  <si>
    <t>KEMZAN, HOLLICIA</t>
  </si>
  <si>
    <t>LAGARDA-ITURRALDE, MARGARITA</t>
  </si>
  <si>
    <t>NIETO, MONICA JO</t>
  </si>
  <si>
    <t>GARCES HERNANDEZ, HUMBERTO E</t>
  </si>
  <si>
    <t>ALARCON, ROSA</t>
  </si>
  <si>
    <t>VILLA, FRANCISCA</t>
  </si>
  <si>
    <t>DITTRICH, MARIA</t>
  </si>
  <si>
    <t>GONZALEZ, CARLOS</t>
  </si>
  <si>
    <t>VALERIO, PABLO</t>
  </si>
  <si>
    <t>WASKO, WENDY</t>
  </si>
  <si>
    <t>MORALES, CARLOS</t>
  </si>
  <si>
    <t>ORTIZ, PAULA</t>
  </si>
  <si>
    <t>GONZALEZ, FELIPE</t>
  </si>
  <si>
    <t>GARCIA-VALENTINO, VANESSA C</t>
  </si>
  <si>
    <t>CLOUD, SANDRA J</t>
  </si>
  <si>
    <t>RAMIREZ, ENRIQUE</t>
  </si>
  <si>
    <t>MACIAS, MARIA A</t>
  </si>
  <si>
    <t>TRUJILLO, RICARDO</t>
  </si>
  <si>
    <t>MUNOZ, EDMUNDO E</t>
  </si>
  <si>
    <t>MEDINA, JUAN C</t>
  </si>
  <si>
    <t>LEE, FRANCISCA</t>
  </si>
  <si>
    <t>ATILANO, MARIA</t>
  </si>
  <si>
    <t>ALTHEIDE, MARIE</t>
  </si>
  <si>
    <t>ZAMORA, LUIS F</t>
  </si>
  <si>
    <t>SCHNEIDER, KEITH</t>
  </si>
  <si>
    <t>PEREZ, ANDRES</t>
  </si>
  <si>
    <t>STOKES, LAWRENCE</t>
  </si>
  <si>
    <t>VALENZUELA, LORENZO</t>
  </si>
  <si>
    <t>REY, OSCAR</t>
  </si>
  <si>
    <t>DURAN, GERARDO</t>
  </si>
  <si>
    <t>REYES, MARIA E</t>
  </si>
  <si>
    <t>RODRIGUES, ARTURO</t>
  </si>
  <si>
    <t>RAMIREZ, OLIVIA</t>
  </si>
  <si>
    <t>WALSMITH, SHEILA K</t>
  </si>
  <si>
    <t>NIETO, MICHAEL</t>
  </si>
  <si>
    <t>ORTEGA, ANTHONY</t>
  </si>
  <si>
    <t>BERARD, TIMOTHY</t>
  </si>
  <si>
    <t>MARTINEZ, MERCEDES</t>
  </si>
  <si>
    <t>ISAAC, JAMES J</t>
  </si>
  <si>
    <t>GRANADOS, RAUL</t>
  </si>
  <si>
    <t>ALARCON, VICTOR</t>
  </si>
  <si>
    <t>PAYAN, MARIA S</t>
  </si>
  <si>
    <t>ANDERSON, LAUREN</t>
  </si>
  <si>
    <t>DUFFY, RYAN</t>
  </si>
  <si>
    <t>HERNANDEZ, BENITO J</t>
  </si>
  <si>
    <t>OSHEA, RYAN P</t>
  </si>
  <si>
    <t>CAMPOS, CUITLAHUAC</t>
  </si>
  <si>
    <t>BOBADILLA, MONICA</t>
  </si>
  <si>
    <t>BELTRAN, ANTONIA</t>
  </si>
  <si>
    <t>OCHOA, JOSE</t>
  </si>
  <si>
    <t>AZEVEDO, APRIL D</t>
  </si>
  <si>
    <t>TRUJILLO, HORTENCIA</t>
  </si>
  <si>
    <t>BARTON, GEMETTE</t>
  </si>
  <si>
    <t>COSTA, ROSA</t>
  </si>
  <si>
    <t>MONTERO, MARGARITA</t>
  </si>
  <si>
    <t>GRANADOS, RAMON</t>
  </si>
  <si>
    <t>ADAME, CARLOS</t>
  </si>
  <si>
    <t>CARDENAS DE PINA, TERESA</t>
  </si>
  <si>
    <t>FLORES, MARIA ELENA</t>
  </si>
  <si>
    <t>UNGER JR, ALBERT</t>
  </si>
  <si>
    <t>FIERRO, ARTURO</t>
  </si>
  <si>
    <t>HADDAD, FRED</t>
  </si>
  <si>
    <t>DOMINGUEZ, JOSE</t>
  </si>
  <si>
    <t>LEAL, LORENZO</t>
  </si>
  <si>
    <t>HOLGUIN, BLANCA</t>
  </si>
  <si>
    <t>GALLEGOS, MAXIMIANO</t>
  </si>
  <si>
    <t>SILERIO ENRIQUEZ, MARIA C</t>
  </si>
  <si>
    <t>WEST, MARY LYNN</t>
  </si>
  <si>
    <t>FONDER, CRYSTAL G</t>
  </si>
  <si>
    <t>HEDRICK, DARIN B</t>
  </si>
  <si>
    <t>PONCE, MARIA S</t>
  </si>
  <si>
    <t>GOMEZ LEON, ARMANDO</t>
  </si>
  <si>
    <t>FLORES, SOFIA</t>
  </si>
  <si>
    <t>MORALES, MANUEL</t>
  </si>
  <si>
    <t>ALVARADO, YSELA</t>
  </si>
  <si>
    <t>MCCARTHY, DESERAE K</t>
  </si>
  <si>
    <t>CAMPOS, LESLIE</t>
  </si>
  <si>
    <t>RODRIQUEZ, LOUIE</t>
  </si>
  <si>
    <t>MARTINEZ RASCON, FRANCISCA</t>
  </si>
  <si>
    <t>WILLIAMS, DAVID</t>
  </si>
  <si>
    <t>MARTINEZ-JUAREZ, REBECCA</t>
  </si>
  <si>
    <t>RAFAEL, HENRY</t>
  </si>
  <si>
    <t>AUSTIN, ANDY L</t>
  </si>
  <si>
    <t>RIVAS, ALFREDO</t>
  </si>
  <si>
    <t>CARRASCO, ROBERTO</t>
  </si>
  <si>
    <t>ROMERO, MARCOS</t>
  </si>
  <si>
    <t>RAMIREZ, MANUEL A</t>
  </si>
  <si>
    <t>VEGA, LUIS</t>
  </si>
  <si>
    <t>RAMOS AGUERO, PERFECTO F</t>
  </si>
  <si>
    <t>ARREOLA, JOSE A</t>
  </si>
  <si>
    <t>DE LA PENA, DELIA</t>
  </si>
  <si>
    <t>GAMEZ, JORGE</t>
  </si>
  <si>
    <t>RAMON PEREZ, JOSE</t>
  </si>
  <si>
    <t>EIDSCHUN, JOHNNIE</t>
  </si>
  <si>
    <t>PRESLEY, KYONG</t>
  </si>
  <si>
    <t>CHAVEZ, ANA B</t>
  </si>
  <si>
    <t>MILLER, DELORES</t>
  </si>
  <si>
    <t>CHAVEZ, CHRISTINA</t>
  </si>
  <si>
    <t>BONILLA, LUZ I</t>
  </si>
  <si>
    <t>MCDELL, DORETHA</t>
  </si>
  <si>
    <t>TRIANA, ANA M</t>
  </si>
  <si>
    <t>MARTINEZ, MIGUEL</t>
  </si>
  <si>
    <t>QUINONES, FRANCISCO</t>
  </si>
  <si>
    <t>MARTINEZ, LILIANA</t>
  </si>
  <si>
    <t>POLENDO, RUBEN T</t>
  </si>
  <si>
    <t>ORDONEZ, ELVIRA</t>
  </si>
  <si>
    <t>ARREDONDO, MARIA</t>
  </si>
  <si>
    <t>RENTERIA, RICARDO</t>
  </si>
  <si>
    <t>GARCIA, PETER</t>
  </si>
  <si>
    <t>COSGROVE, SOLEDAD</t>
  </si>
  <si>
    <t>KRUG, BARBARA</t>
  </si>
  <si>
    <t>BENITEZ, JESUS</t>
  </si>
  <si>
    <t>RIVERA, JAIME</t>
  </si>
  <si>
    <t>MIRANDA, MARIA ELENA</t>
  </si>
  <si>
    <t>NAVA, OBDULIA</t>
  </si>
  <si>
    <t>ARRIAGA, CARLO</t>
  </si>
  <si>
    <t>GUEVARA, JANICE</t>
  </si>
  <si>
    <t>GALAN, RUBEN</t>
  </si>
  <si>
    <t>GARCIA, OSCAR</t>
  </si>
  <si>
    <t>ALEJO, ARTURO</t>
  </si>
  <si>
    <t>ROBLES, MARTHA I</t>
  </si>
  <si>
    <t>PENALOZA, GRACE E</t>
  </si>
  <si>
    <t>RIOS, BETTY J</t>
  </si>
  <si>
    <t>NORMAN, JONATHON I</t>
  </si>
  <si>
    <t>BARRON, DAVID J</t>
  </si>
  <si>
    <t>COLLINS, MICHAEL</t>
  </si>
  <si>
    <t>MARTINEZ, MARGARITA</t>
  </si>
  <si>
    <t>DE LA GARZA, VALERIA</t>
  </si>
  <si>
    <t>CEPEDA, LUCIO</t>
  </si>
  <si>
    <t>SALCIDO, JAVIER DANIEL</t>
  </si>
  <si>
    <t>FLORES, YELENA</t>
  </si>
  <si>
    <t>GARCIA, JESUS</t>
  </si>
  <si>
    <t>WEST, WAYNE</t>
  </si>
  <si>
    <t>MOODY, SANTIAGO</t>
  </si>
  <si>
    <t>MACHADO, ROBIN K</t>
  </si>
  <si>
    <t>TERRAZA DE ROJAS, BASILISA</t>
  </si>
  <si>
    <t>STIPE, BEVERLY</t>
  </si>
  <si>
    <t>PEREZ, BERTHA</t>
  </si>
  <si>
    <t>WRIGHT, WARREN</t>
  </si>
  <si>
    <t>MADERA, JOSE</t>
  </si>
  <si>
    <t>GONZALEZ, JOSE</t>
  </si>
  <si>
    <t>FLORES, FELICITAS</t>
  </si>
  <si>
    <t>LAMPRON, TROY L</t>
  </si>
  <si>
    <t>TOVAR, EMMA</t>
  </si>
  <si>
    <t>ANDRADE, ANA L</t>
  </si>
  <si>
    <t>BACA DOMINGUEZ, PEDRO</t>
  </si>
  <si>
    <t>DELGADO, MARTHA</t>
  </si>
  <si>
    <t>MENA, KARLA</t>
  </si>
  <si>
    <t>ALEXANDER, SHEILA</t>
  </si>
  <si>
    <t>FEINSTEIN, ELYSE</t>
  </si>
  <si>
    <t>MAYA, ALAN</t>
  </si>
  <si>
    <t>ALFARO, HERMELINDA</t>
  </si>
  <si>
    <t>SCROGGS, MILDRED</t>
  </si>
  <si>
    <t>WOOD, ANTONIO</t>
  </si>
  <si>
    <t>SOTO, YOLANDA</t>
  </si>
  <si>
    <t>ARZATE, RICARDO</t>
  </si>
  <si>
    <t>FLORES, SOLEDAD</t>
  </si>
  <si>
    <t>DIAZ, RUBEN</t>
  </si>
  <si>
    <t>AGUILAR, SYNDI A</t>
  </si>
  <si>
    <t>BRANNEN, JAMES</t>
  </si>
  <si>
    <t>CAMACHO, CARMEN</t>
  </si>
  <si>
    <t>NUNEZ, SERGIO</t>
  </si>
  <si>
    <t>MASSEY, GUS</t>
  </si>
  <si>
    <t>GUZMAN, CRUZ A</t>
  </si>
  <si>
    <t>ARRIAGA, CRISTINA</t>
  </si>
  <si>
    <t>MILAM, ALFRED</t>
  </si>
  <si>
    <t>PEREZ, CATHERINE Y</t>
  </si>
  <si>
    <t>ACEVEDO, SOCORRO</t>
  </si>
  <si>
    <t>ERIVES, MARIO</t>
  </si>
  <si>
    <t>DURAN CASTILLO, ARMANDO</t>
  </si>
  <si>
    <t>MONTANEZ, ANGELA</t>
  </si>
  <si>
    <t>PACHECO, ANGELA</t>
  </si>
  <si>
    <t>ZUBIA, ADRIANA</t>
  </si>
  <si>
    <t>HESS, ERIC</t>
  </si>
  <si>
    <t>GUADIAN HERNANDEZ, SOTERO</t>
  </si>
  <si>
    <t>SMITH, JOSE</t>
  </si>
  <si>
    <t>CAMPOS, SANDRA</t>
  </si>
  <si>
    <t>VALLECILLO, MARIA</t>
  </si>
  <si>
    <t>MCDONALD, THERESA</t>
  </si>
  <si>
    <t>PEREZ, ADRIANA</t>
  </si>
  <si>
    <t>LOPEZ, ESTELA</t>
  </si>
  <si>
    <t>SHELTON, JAMES</t>
  </si>
  <si>
    <t>SNOW, LINDA</t>
  </si>
  <si>
    <t>RIZO, DAVID</t>
  </si>
  <si>
    <t>RODRIGUEZ, SOCORRO</t>
  </si>
  <si>
    <t>GUERRA, TERESA M</t>
  </si>
  <si>
    <t>ROBINSON, MARK</t>
  </si>
  <si>
    <t>CEBALLOS, RAMON</t>
  </si>
  <si>
    <t>PEDROZA, ELVA</t>
  </si>
  <si>
    <t>DOMINGUEZ, MATILDE</t>
  </si>
  <si>
    <t>SOLEDAD, ALICIA</t>
  </si>
  <si>
    <t>TORRES, DAGOBERTO</t>
  </si>
  <si>
    <t>GUTIERREZ, JUAN R</t>
  </si>
  <si>
    <t>HOWARD, DEBRA</t>
  </si>
  <si>
    <t>CANALES, GRACIELA</t>
  </si>
  <si>
    <t>CHAVIRA, JOHN G</t>
  </si>
  <si>
    <t>ATILANO, REYMUNDO</t>
  </si>
  <si>
    <t>TORRES, MARIA D</t>
  </si>
  <si>
    <t>CRESPO, GABRIEL</t>
  </si>
  <si>
    <t>HARP, TERESA</t>
  </si>
  <si>
    <t>FALCON, CECILIA</t>
  </si>
  <si>
    <t>LOPEZ, ROSA</t>
  </si>
  <si>
    <t>RODRIGUEZ, MARIA</t>
  </si>
  <si>
    <t>PEARCE, TAM</t>
  </si>
  <si>
    <t>REYES, LOURDES</t>
  </si>
  <si>
    <t>MEJIA MARTINEZ, MARIO</t>
  </si>
  <si>
    <t>HARPER, FRANCES B</t>
  </si>
  <si>
    <t>WRIGHT, ANGIE</t>
  </si>
  <si>
    <t>ROBINSON, JEFFREY</t>
  </si>
  <si>
    <t>ONTIVEROS, MARTHA</t>
  </si>
  <si>
    <t>HERNANDEZ, ADELA</t>
  </si>
  <si>
    <t>GONZALEZ, ROBERTO</t>
  </si>
  <si>
    <t>TREVINO, JOSHUA</t>
  </si>
  <si>
    <t>DE LA MORA, NORMA</t>
  </si>
  <si>
    <t>NOLLES, NIKI</t>
  </si>
  <si>
    <t>SCOUTEN, MARIA ANGELES</t>
  </si>
  <si>
    <t>SOLORZANO, ARMANDO</t>
  </si>
  <si>
    <t>PRICE, PEGGY</t>
  </si>
  <si>
    <t>GUERRERO, JOSE DE JESUS</t>
  </si>
  <si>
    <t>AGUILAR, FREDDY</t>
  </si>
  <si>
    <t>GONZALEZ SAENZ, ARNULFO</t>
  </si>
  <si>
    <t>MILLS, DOUGLAS W</t>
  </si>
  <si>
    <t>VILLA, RUBY</t>
  </si>
  <si>
    <t>OLSEN, KRISTOPHER</t>
  </si>
  <si>
    <t>SANDOVAL DE HERNANDEZ, ROSA MARIA</t>
  </si>
  <si>
    <t>MEDINA, FERNANDO</t>
  </si>
  <si>
    <t>CARRILLO FLORES, ROSALINDA</t>
  </si>
  <si>
    <t>SOTO, MARTHA</t>
  </si>
  <si>
    <t>PORRAS, EDUARDO</t>
  </si>
  <si>
    <t>TYQUIENGCO, MELVIN</t>
  </si>
  <si>
    <t>HERRERA, BRENDA T</t>
  </si>
  <si>
    <t>ESPINOZA, JACQUELINE</t>
  </si>
  <si>
    <t>CAMPOS, LIZA</t>
  </si>
  <si>
    <t>ROBLES ORTEGA, LAURA ELENA</t>
  </si>
  <si>
    <t>VARGAS, JACQUELINE</t>
  </si>
  <si>
    <t>GAMBOA, HERMILO ANTONIO</t>
  </si>
  <si>
    <t>RUBIO ACOSTA, GLORIA</t>
  </si>
  <si>
    <t>MADRID, MICHAEL</t>
  </si>
  <si>
    <t>PARGA, JULIA</t>
  </si>
  <si>
    <t>MARTINEZ, RUDOLFO</t>
  </si>
  <si>
    <t>DYE, MARY</t>
  </si>
  <si>
    <t>GUERRA, ERIKA M</t>
  </si>
  <si>
    <t>RAMOS, ELVA M</t>
  </si>
  <si>
    <t>GOMEZ, ROSA M</t>
  </si>
  <si>
    <t>TREJO, EDGAR</t>
  </si>
  <si>
    <t>MILLER, CHASON</t>
  </si>
  <si>
    <t>JOSLYN, CRYSTAL</t>
  </si>
  <si>
    <t>SPECK, SHARON</t>
  </si>
  <si>
    <t>SOTO, PRISCILLA</t>
  </si>
  <si>
    <t>ACEVEDO, LETICIA</t>
  </si>
  <si>
    <t>CALDERON-GRIFFIN, ALICE</t>
  </si>
  <si>
    <t>GUERRERO, MARTHA</t>
  </si>
  <si>
    <t>ONTIVEROS, HILDA</t>
  </si>
  <si>
    <t>HERNANDEZ, MANUEL</t>
  </si>
  <si>
    <t>COPELAND, COLTON</t>
  </si>
  <si>
    <t>VERA, RAMONA</t>
  </si>
  <si>
    <t>CONTRERAS, ANA</t>
  </si>
  <si>
    <t>JOHNSON, ERNEST</t>
  </si>
  <si>
    <t>DIAZ, MARGARITA</t>
  </si>
  <si>
    <t>STAFFORD, JEFFREY L</t>
  </si>
  <si>
    <t>BAYLON, BRENDA</t>
  </si>
  <si>
    <t>ZINTER, ALAN</t>
  </si>
  <si>
    <t>OCHOA, ELVIA N</t>
  </si>
  <si>
    <t>ALVAREZ, MARIA</t>
  </si>
  <si>
    <t>GUERRERO, MARIA</t>
  </si>
  <si>
    <t>GREEN, SHARON</t>
  </si>
  <si>
    <t>RAMIREZ, LUCIA</t>
  </si>
  <si>
    <t>GRADO, JOSEFINA</t>
  </si>
  <si>
    <t>ZEMMOUCHE, JADE</t>
  </si>
  <si>
    <t>BARRAGAN, BONNIE</t>
  </si>
  <si>
    <t>ELORDUY, ROBERTA</t>
  </si>
  <si>
    <t>MONCAYO, PAULA R</t>
  </si>
  <si>
    <t>DUNCAN, RICHARD</t>
  </si>
  <si>
    <t>LUJAN, GUADALUPE</t>
  </si>
  <si>
    <t>AVILA, EMMANUEL</t>
  </si>
  <si>
    <t>LIMON, GILBERT</t>
  </si>
  <si>
    <t>PEREZ, MANUEL ARTURO</t>
  </si>
  <si>
    <t>DE PEREZ, MARISELA ARREOLA</t>
  </si>
  <si>
    <t>REGISTER, JAMES</t>
  </si>
  <si>
    <t>STOKES, DIANE</t>
  </si>
  <si>
    <t>PAGANO, JOSEPH</t>
  </si>
  <si>
    <t>VARGAS, LIDIA</t>
  </si>
  <si>
    <t>ARRIETA, GLORIA</t>
  </si>
  <si>
    <t>ESQUIVEL, TERESA</t>
  </si>
  <si>
    <t>REYNA, FRANK</t>
  </si>
  <si>
    <t>BACA, ARMANDO</t>
  </si>
  <si>
    <t>BENAVIDEZ, EVA</t>
  </si>
  <si>
    <t>CORNWELL, KARIN</t>
  </si>
  <si>
    <t>REYES, DANIELSON</t>
  </si>
  <si>
    <t>ROMERO, MANUEL</t>
  </si>
  <si>
    <t>HERNANDEZ, JOSE J</t>
  </si>
  <si>
    <t>RASCON, ALICIA</t>
  </si>
  <si>
    <t>MENDOZA, ABEL</t>
  </si>
  <si>
    <t>INFANTE, ISABEL</t>
  </si>
  <si>
    <t>RAMIREZ, VICENTE</t>
  </si>
  <si>
    <t>SANCHEZ, ANNETTE</t>
  </si>
  <si>
    <t>BANDA, ARIEL</t>
  </si>
  <si>
    <t>DELGADO, TERESSA</t>
  </si>
  <si>
    <t>SANTILLAN, MAGDA</t>
  </si>
  <si>
    <t>DYKES, KRISTIN</t>
  </si>
  <si>
    <t>RAMIREZ, JESUS</t>
  </si>
  <si>
    <t>BEARDEN, KAREN</t>
  </si>
  <si>
    <t>HERNANDEZ, JUANA</t>
  </si>
  <si>
    <t>CARRILLO, JOSE</t>
  </si>
  <si>
    <t>FLORES, LUIS</t>
  </si>
  <si>
    <t>GONZALEZ, MARIA V</t>
  </si>
  <si>
    <t>BOCANEGRA, MARIA C</t>
  </si>
  <si>
    <t>RISLEY, HARRY</t>
  </si>
  <si>
    <t>MARTINEZ LOPEZ, BARBARA</t>
  </si>
  <si>
    <t>CARNERA, HECTOR</t>
  </si>
  <si>
    <t>SALAS, MARCELA</t>
  </si>
  <si>
    <t>CHASCO, VALENTINA</t>
  </si>
  <si>
    <t>VANDERPOOL, TERESA</t>
  </si>
  <si>
    <t>LEFFMAN, DAVID</t>
  </si>
  <si>
    <t>ORIGINALES, JUAN</t>
  </si>
  <si>
    <t>COUSINS, ERNIE</t>
  </si>
  <si>
    <t>GONZALES, ROBERTO</t>
  </si>
  <si>
    <t>CROSS, STEPHANIE</t>
  </si>
  <si>
    <t>BODISON, DORA</t>
  </si>
  <si>
    <t>CAHILL, SUSAN</t>
  </si>
  <si>
    <t>RUIZ, HUMBERTO</t>
  </si>
  <si>
    <t>ALVAREZ, GERARDO</t>
  </si>
  <si>
    <t>GRANADOS, JUAN</t>
  </si>
  <si>
    <t>MARTINEZ, MARTHA</t>
  </si>
  <si>
    <t>BAKER, FREDERICK</t>
  </si>
  <si>
    <t>BROWN, FRANCOISE</t>
  </si>
  <si>
    <t>DIAZ, GUILLERMO</t>
  </si>
  <si>
    <t>HARSHBERGER, ALBINA C</t>
  </si>
  <si>
    <t>HERNANDEZ, SOCORRO</t>
  </si>
  <si>
    <t>BUSTILLOS, PATRICIA</t>
  </si>
  <si>
    <t>MARQUEZ, VIRGINIA</t>
  </si>
  <si>
    <t>RODRIGUEZ, JESUS R</t>
  </si>
  <si>
    <t>AYALA, APOLONIA</t>
  </si>
  <si>
    <t>ACOSTA, GUADALUPE S</t>
  </si>
  <si>
    <t>CARRILLO, PRISCILLA J</t>
  </si>
  <si>
    <t>ORTEGA, CARLOS A</t>
  </si>
  <si>
    <t>GARCIA, MARIA</t>
  </si>
  <si>
    <t>WALDEN, MELINDA</t>
  </si>
  <si>
    <t>VALENZUELA, STEVEN</t>
  </si>
  <si>
    <t>BENNETT, MELISSA</t>
  </si>
  <si>
    <t>WIX, JESSICA</t>
  </si>
  <si>
    <t>BUSTILLOS, ANDRES</t>
  </si>
  <si>
    <t>GREEN, MATTHEW W</t>
  </si>
  <si>
    <t>GRISSON, TARA</t>
  </si>
  <si>
    <t>LARA, ANTONIO</t>
  </si>
  <si>
    <t>LUNA, APOLINAR P</t>
  </si>
  <si>
    <t>PEREZ, LAURA</t>
  </si>
  <si>
    <t>ARRIOLA, JOSE I</t>
  </si>
  <si>
    <t>BARRERAS, LORENZO</t>
  </si>
  <si>
    <t>CORONADO, RICHARD</t>
  </si>
  <si>
    <t>BROWN, CASEY</t>
  </si>
  <si>
    <t>MELENDEZ, BRENDA</t>
  </si>
  <si>
    <t>DIAZ, DIANA</t>
  </si>
  <si>
    <t>VASQUEZ, FRANCISCA</t>
  </si>
  <si>
    <t>SEGURA, EDGAR</t>
  </si>
  <si>
    <t>CORRAL, ROSEMARY</t>
  </si>
  <si>
    <t>LOPEZ, OSCAR</t>
  </si>
  <si>
    <t>ERNEWAYN, MARIA J</t>
  </si>
  <si>
    <t>SALAZAR, MAYRA</t>
  </si>
  <si>
    <t>CHAVEZ, CESAR</t>
  </si>
  <si>
    <t>MCSWAIN, CHARLES</t>
  </si>
  <si>
    <t>CARRILLO, MARIA</t>
  </si>
  <si>
    <t>MARQUEZ, PEDRO</t>
  </si>
  <si>
    <t>COLLAZO, MARTHA L</t>
  </si>
  <si>
    <t>ROMAN, TERESA</t>
  </si>
  <si>
    <t>SALDACO, NORA</t>
  </si>
  <si>
    <t>MARQUEZ DE BERNAL, LETICIA</t>
  </si>
  <si>
    <t>DINICOLA, BRUNO M</t>
  </si>
  <si>
    <t>YANEZ, THELMA</t>
  </si>
  <si>
    <t>SOLANO, IRENE</t>
  </si>
  <si>
    <t>ARREDONDO, GLORIA</t>
  </si>
  <si>
    <t>ENRIQUEZ, DULCE</t>
  </si>
  <si>
    <t>TURNER, ROGER</t>
  </si>
  <si>
    <t>ROJAS, RAMON</t>
  </si>
  <si>
    <t>RODRIGUEZ, SYLVIA</t>
  </si>
  <si>
    <t>MADRID, LYDIA</t>
  </si>
  <si>
    <t>HAYWARD, JOLENE</t>
  </si>
  <si>
    <t>DOMINGUEZ, NARCISA M</t>
  </si>
  <si>
    <t>BREELAND, DEANDRE</t>
  </si>
  <si>
    <t>FIERRO, MANUEL</t>
  </si>
  <si>
    <t>BERNAL, MARIA</t>
  </si>
  <si>
    <t>GURANY, ROSALBA</t>
  </si>
  <si>
    <t>KITCHEN, BERTHA</t>
  </si>
  <si>
    <t>JONES, RAMONA</t>
  </si>
  <si>
    <t>TALAMANTES, CATALINA</t>
  </si>
  <si>
    <t>RODRIGUEZ, LUIS F</t>
  </si>
  <si>
    <t>RIVAS, CHELINDA</t>
  </si>
  <si>
    <t>HUERTA, OFELIA</t>
  </si>
  <si>
    <t>CHAVEZ, IRMA</t>
  </si>
  <si>
    <t>JORDAN, GILBERT</t>
  </si>
  <si>
    <t>RAMIREZ, ESTELLA</t>
  </si>
  <si>
    <t>CADWELL, DOROTHY L</t>
  </si>
  <si>
    <t>MACIAS, EDWARD</t>
  </si>
  <si>
    <t>MACK, CYNTHIA</t>
  </si>
  <si>
    <t>CHAVEZ, ARTHUR</t>
  </si>
  <si>
    <t>GEDDES, LAWRENCE C</t>
  </si>
  <si>
    <t>CHAVEZ JR, DAVID</t>
  </si>
  <si>
    <t>LAMOTTE, DESIREE</t>
  </si>
  <si>
    <t>NEVAREZ, EMILIANO</t>
  </si>
  <si>
    <t>URIBE, GABRIEL</t>
  </si>
  <si>
    <t>GEYER, DARRIN</t>
  </si>
  <si>
    <t>RODRIGUEZ, FELICIDAD</t>
  </si>
  <si>
    <t>BARRERAS, HERMAN</t>
  </si>
  <si>
    <t>HERNANDEZ, FRANK</t>
  </si>
  <si>
    <t>MONTGOMERY, STACY</t>
  </si>
  <si>
    <t>ESTRADA, ELSA</t>
  </si>
  <si>
    <t>VALLES, SUSAN</t>
  </si>
  <si>
    <t>MORENO, MERCEDES CATALINA</t>
  </si>
  <si>
    <t>ALVARADO, JAVIER I</t>
  </si>
  <si>
    <t>MARQUEZ, JOSE</t>
  </si>
  <si>
    <t>LOZANO, MARIA D</t>
  </si>
  <si>
    <t>GALLEGOS, GLENDA I</t>
  </si>
  <si>
    <t>CERVANTES DE LIRA, JULIA</t>
  </si>
  <si>
    <t>PENOYER, STEVE</t>
  </si>
  <si>
    <t>ESTRADA, GERARDO</t>
  </si>
  <si>
    <t>ARANDA, ELVA</t>
  </si>
  <si>
    <t>LEY, LETICIA</t>
  </si>
  <si>
    <t>SANDERS, DITRICK</t>
  </si>
  <si>
    <t>STUCKWISCH, HORTENSIA</t>
  </si>
  <si>
    <t>RUBIO, MARIA</t>
  </si>
  <si>
    <t>SANCHEZ, ELVIA A</t>
  </si>
  <si>
    <t>PARISH, CHARLES</t>
  </si>
  <si>
    <t>PINALES, BRITTANY</t>
  </si>
  <si>
    <t>ONTIVEROS, ARTURO</t>
  </si>
  <si>
    <t>GANDARA, PEDRO</t>
  </si>
  <si>
    <t>CASAS, ELIA</t>
  </si>
  <si>
    <t>RODRIGUEZ, RAFAEL</t>
  </si>
  <si>
    <t>RENTERIA, RAMONA</t>
  </si>
  <si>
    <t>ESPARZA, ALFREDO</t>
  </si>
  <si>
    <t>DELGADO, ALEXANDER</t>
  </si>
  <si>
    <t>ALVA, SYLVIA</t>
  </si>
  <si>
    <t>ESPARZA, JAVIER</t>
  </si>
  <si>
    <t>RODRIGUEZ, ESTELA</t>
  </si>
  <si>
    <t>RODRIGUEZ, RAYMUNDO</t>
  </si>
  <si>
    <t>AGUILAR, ENGRACIA</t>
  </si>
  <si>
    <t>DURAN, FELIPE</t>
  </si>
  <si>
    <t>POINDEXTER, LASHAWNTA R</t>
  </si>
  <si>
    <t>RAMIREZ, ERIKA</t>
  </si>
  <si>
    <t>CANDELA, JONATHAN</t>
  </si>
  <si>
    <t>SNUDAT, MARTHA</t>
  </si>
  <si>
    <t>QUINONES, IRMA</t>
  </si>
  <si>
    <t>LUNA, ARMANDO</t>
  </si>
  <si>
    <t>ZARAGOZA, IRASEMA</t>
  </si>
  <si>
    <t>TARANGO, MARIA</t>
  </si>
  <si>
    <t>ALARCON, MARCELO G</t>
  </si>
  <si>
    <t>PALOMO, JOSE L</t>
  </si>
  <si>
    <t>DOMINGUEZ, GLORIA</t>
  </si>
  <si>
    <t>CHAIDES, ROGER</t>
  </si>
  <si>
    <t>TOOZE, MARGARITA</t>
  </si>
  <si>
    <t>THOMPSON, LAWRENCE</t>
  </si>
  <si>
    <t>RIVERA, ARTURO</t>
  </si>
  <si>
    <t>AGUILERA, RAMON</t>
  </si>
  <si>
    <t>SILVAS, ANTONIO L</t>
  </si>
  <si>
    <t>SIANEZ, VIRGINIA</t>
  </si>
  <si>
    <t>SOLIS, ABELARDO A</t>
  </si>
  <si>
    <t>AVILA, ADOLFO</t>
  </si>
  <si>
    <t>TOMIELLO, ROBERT</t>
  </si>
  <si>
    <t>ROBLES, MARIA</t>
  </si>
  <si>
    <t>YEPEZ, OSVALDO</t>
  </si>
  <si>
    <t>CARRIZALES, SANDRA</t>
  </si>
  <si>
    <t>FLORES, HECTOR</t>
  </si>
  <si>
    <t>GUILLEN, ARGENDIS</t>
  </si>
  <si>
    <t>MARQUEZ, MARIA E</t>
  </si>
  <si>
    <t>GANDARA, ALICIA</t>
  </si>
  <si>
    <t>PICKNELL, CONCEPCION</t>
  </si>
  <si>
    <t>VILLESCAS, HECTOR</t>
  </si>
  <si>
    <t>FRAUSTO, SILVIA E</t>
  </si>
  <si>
    <t>OSORIO, ALEJANDRO</t>
  </si>
  <si>
    <t>LOPEZ, BENITO</t>
  </si>
  <si>
    <t>ARELLANO, ROSALIO</t>
  </si>
  <si>
    <t>CHAVEZ, ELVA</t>
  </si>
  <si>
    <t>ALMARAZ, REYNA R</t>
  </si>
  <si>
    <t>NUNEZ, MARTHA</t>
  </si>
  <si>
    <t>OROZCO, MARIA</t>
  </si>
  <si>
    <t>ITURRALDE, GABRIEL</t>
  </si>
  <si>
    <t>CAMACHO, JORGE</t>
  </si>
  <si>
    <t>GUTIERREZ, BONNIE</t>
  </si>
  <si>
    <t>GUTIERREZ, NANCY</t>
  </si>
  <si>
    <t>MENDOZA, KATY</t>
  </si>
  <si>
    <t>PORTILLO, DALIA</t>
  </si>
  <si>
    <t>JONE, ROLAN G</t>
  </si>
  <si>
    <t>BAQUERA, CARMEN</t>
  </si>
  <si>
    <t>MORENO, ELIZABETH</t>
  </si>
  <si>
    <t>FUENTES, HECTOR</t>
  </si>
  <si>
    <t>VIGIL, NANCY W</t>
  </si>
  <si>
    <t>PORTILLO, AIDA C</t>
  </si>
  <si>
    <t>SHADBURNE, REBECCA</t>
  </si>
  <si>
    <t>DELEON, SULEMA</t>
  </si>
  <si>
    <t>HINOJOSA, MANUELA</t>
  </si>
  <si>
    <t>RETANA, ALFREDO</t>
  </si>
  <si>
    <t>HOWARD, AYNSLEY</t>
  </si>
  <si>
    <t>ESTE, ALEXUS</t>
  </si>
  <si>
    <t>HERNANDEZ, ALFREDO</t>
  </si>
  <si>
    <t>GRADY, MICHELLE</t>
  </si>
  <si>
    <t>LUNA, ROBERT</t>
  </si>
  <si>
    <t>FUENTES, GUSTAVO</t>
  </si>
  <si>
    <t>PANTOJA, REFUGIO</t>
  </si>
  <si>
    <t>SOTO, MARIA</t>
  </si>
  <si>
    <t>RUIZZARCO, JOSE M</t>
  </si>
  <si>
    <t>RUBALCAVA, MARIA</t>
  </si>
  <si>
    <t>MEDINA, IRMA E</t>
  </si>
  <si>
    <t>HEALD, MARC</t>
  </si>
  <si>
    <t>MORALES, RUBY</t>
  </si>
  <si>
    <t>PILTZ, DOUGLAS WAYNE</t>
  </si>
  <si>
    <t>POTTER, WILLIAM</t>
  </si>
  <si>
    <t>FONSECA, PRINCESS</t>
  </si>
  <si>
    <t>HARNETT, WILLIE T</t>
  </si>
  <si>
    <t>FACIO, RODOLFO</t>
  </si>
  <si>
    <t>HOLGUIN, MARIA ELENA</t>
  </si>
  <si>
    <t>CANO, JESUS</t>
  </si>
  <si>
    <t>HERNANDEZ, PAULA</t>
  </si>
  <si>
    <t>MONSIVAIS, MARIA C</t>
  </si>
  <si>
    <t>ARANA, NORMA</t>
  </si>
  <si>
    <t>MONTANEZ, ANDY</t>
  </si>
  <si>
    <t>CLARKE, MONTAE</t>
  </si>
  <si>
    <t>GONZALEZ, LISA ANN</t>
  </si>
  <si>
    <t>DILL, DOUGLAS</t>
  </si>
  <si>
    <t>MORATA MURO, ARACELI</t>
  </si>
  <si>
    <t>ALARCON, NORMANDO D</t>
  </si>
  <si>
    <t>VELASQUEZ, ALEJANDRO M</t>
  </si>
  <si>
    <t>CARRILLO, BARBARA</t>
  </si>
  <si>
    <t>JONES, THEOREDOR</t>
  </si>
  <si>
    <t>MULLIN, KEVIN</t>
  </si>
  <si>
    <t>PONCE, CARMEN</t>
  </si>
  <si>
    <t>MURGUIA, MARICARMEN</t>
  </si>
  <si>
    <t>VEILLEUX, KIMBERLY</t>
  </si>
  <si>
    <t>CARRASCO, JOSE</t>
  </si>
  <si>
    <t>DELGADO, MARIA</t>
  </si>
  <si>
    <t>DE LA TORRE, IRMA</t>
  </si>
  <si>
    <t>AVALOS, LORENZA</t>
  </si>
  <si>
    <t>RODARTE, BERNARDO</t>
  </si>
  <si>
    <t>STUART, HERLINDA</t>
  </si>
  <si>
    <t>LUCKY, JUDITH</t>
  </si>
  <si>
    <t>EDWARDS, WILLIAM</t>
  </si>
  <si>
    <t>VARELA, MARIA</t>
  </si>
  <si>
    <t>LUEKE, DIANA</t>
  </si>
  <si>
    <t>FLORES, MANUEL</t>
  </si>
  <si>
    <t>SHIPLEY, DONALD E</t>
  </si>
  <si>
    <t>BRIONES, MARCOS</t>
  </si>
  <si>
    <t>GUZMAN ORTIZ, JORGE</t>
  </si>
  <si>
    <t>JASSO, PERLA</t>
  </si>
  <si>
    <t>HERNANDEZ PEREZ, JOSE</t>
  </si>
  <si>
    <t>ESPARZA, MARIO</t>
  </si>
  <si>
    <t>PACHECO, EMMA</t>
  </si>
  <si>
    <t>DIAZ, PAULINA</t>
  </si>
  <si>
    <t>GARNER, EDWARD</t>
  </si>
  <si>
    <t>MONCADA, MARIA GUADALUPE</t>
  </si>
  <si>
    <t>LOPEZ, ALICIA</t>
  </si>
  <si>
    <t>ESCOBAR, DAMIANA M</t>
  </si>
  <si>
    <t>GUEVARA, MARIA</t>
  </si>
  <si>
    <t>PAUL, JOHN</t>
  </si>
  <si>
    <t>GOMEZ, VIRGINIA</t>
  </si>
  <si>
    <t>RODRIGUEZ, HELENA</t>
  </si>
  <si>
    <t>LOPEZ, ARACELI</t>
  </si>
  <si>
    <t>PEASE, EVA</t>
  </si>
  <si>
    <t>PUENTES, ROBERTO</t>
  </si>
  <si>
    <t>RAMOS, GEORGE C</t>
  </si>
  <si>
    <t>LE, HONG</t>
  </si>
  <si>
    <t>CARRASCO, PETE</t>
  </si>
  <si>
    <t>PRECIADO, VIRGINIA</t>
  </si>
  <si>
    <t>FIGUERORA, CLAUDIA</t>
  </si>
  <si>
    <t>SALAS, JUANA</t>
  </si>
  <si>
    <t>BROUILLET, JESSICA</t>
  </si>
  <si>
    <t>CAMPOS SAENZ, ALMA</t>
  </si>
  <si>
    <t>IBARRA, GUSTAVO</t>
  </si>
  <si>
    <t>ORTEGA, ARTURO</t>
  </si>
  <si>
    <t>JORDAN, OLGA</t>
  </si>
  <si>
    <t>VELASCO, ELIZABETH</t>
  </si>
  <si>
    <t>CUELLAR, LUCIO</t>
  </si>
  <si>
    <t>SILVA, DIANE M</t>
  </si>
  <si>
    <t>VALDEZ, ESEQUIEL V</t>
  </si>
  <si>
    <t>ORTIZ, MARIA</t>
  </si>
  <si>
    <t>OLAGUIVEL, ROSA</t>
  </si>
  <si>
    <t>BLIZZARD, WILLIAM H</t>
  </si>
  <si>
    <t>OLVERA, COSME</t>
  </si>
  <si>
    <t>GUILLEN, HORTENSIA O</t>
  </si>
  <si>
    <t>STAIGER, GERHARD</t>
  </si>
  <si>
    <t>ALCANTAR, JUANA</t>
  </si>
  <si>
    <t>REY RUIZ, LUIS C</t>
  </si>
  <si>
    <t>CONTRERAS PEDREGON, TIMOTEA</t>
  </si>
  <si>
    <t>HERRERA, ANA M</t>
  </si>
  <si>
    <t>HARPER, JUSTIN E</t>
  </si>
  <si>
    <t>GONZALES, ESCAMILLA</t>
  </si>
  <si>
    <t>SANTOS, SONIA</t>
  </si>
  <si>
    <t>OCHOA, ALICIA</t>
  </si>
  <si>
    <t>CAMPOS, ISABEL</t>
  </si>
  <si>
    <t>PEREZDECARDEN, MAGDALENA</t>
  </si>
  <si>
    <t>PAUL, PATRICIA M</t>
  </si>
  <si>
    <t>NAVARRO, MARIA SOCORRO</t>
  </si>
  <si>
    <t>WILSON, BYRON</t>
  </si>
  <si>
    <t>FLYNT, DEBORAH</t>
  </si>
  <si>
    <t>BACA, CELIA</t>
  </si>
  <si>
    <t>CORRAL, GUADALUPE E</t>
  </si>
  <si>
    <t>REYES-MANRIQUEZ, JOSE</t>
  </si>
  <si>
    <t>MOLINA, LETICIA</t>
  </si>
  <si>
    <t>MAING, NAM IL</t>
  </si>
  <si>
    <t>JOHNSON EVANS, KALEISHA M</t>
  </si>
  <si>
    <t>FLORES, SANTIAGO</t>
  </si>
  <si>
    <t>BARAY, BRENDA L</t>
  </si>
  <si>
    <t>RODRIGUEZ, MARIA C</t>
  </si>
  <si>
    <t>SANCHEZ, CHRISTINA M</t>
  </si>
  <si>
    <t>SIFUENTES, SALVADOR K</t>
  </si>
  <si>
    <t>MEDINA, CELIA</t>
  </si>
  <si>
    <t>ROHRBAUGH, EVELYN</t>
  </si>
  <si>
    <t>DE LA ROSA, MARIA H</t>
  </si>
  <si>
    <t>VENAR, THADDEUS Y</t>
  </si>
  <si>
    <t>VALDEZ, VICTOR</t>
  </si>
  <si>
    <t>ARCOS, LEONARD</t>
  </si>
  <si>
    <t>DE LA ROSA, CARLOS</t>
  </si>
  <si>
    <t>CALDERON, MARTHA</t>
  </si>
  <si>
    <t>CARDONA, WILLINTON</t>
  </si>
  <si>
    <t>CURTIS, JEFFERY</t>
  </si>
  <si>
    <t>STUBBS, APRIL</t>
  </si>
  <si>
    <t>CHAPARRO, CARLOS H</t>
  </si>
  <si>
    <t>MARQUEZ, JESUS</t>
  </si>
  <si>
    <t>MARQUEZ, ROMUALDA</t>
  </si>
  <si>
    <t>PALYU, MARIA</t>
  </si>
  <si>
    <t>AGUIRRE, JUAN</t>
  </si>
  <si>
    <t>OLAGUE ROSALES, MARIA CRISTINA</t>
  </si>
  <si>
    <t>CHAVEZ, VELIA</t>
  </si>
  <si>
    <t>BROWN, DARREN</t>
  </si>
  <si>
    <t>MONTES, OFELIA E</t>
  </si>
  <si>
    <t>VAZQUEZ-LEAL, JOSE</t>
  </si>
  <si>
    <t>FORE, JOE</t>
  </si>
  <si>
    <t>CANDELARIA, MELISSA</t>
  </si>
  <si>
    <t>ROSARIO, KARLA GABRIELA</t>
  </si>
  <si>
    <t>REYES, MAKAYLA</t>
  </si>
  <si>
    <t>ZARAZUA, MARIA</t>
  </si>
  <si>
    <t>MCDONALD, KEELY E</t>
  </si>
  <si>
    <t>RIVERA, AMELIA B</t>
  </si>
  <si>
    <t>KENDALL, KARL O</t>
  </si>
  <si>
    <t>STARK, CARMEN</t>
  </si>
  <si>
    <t>AWUOR, STEPHEN O</t>
  </si>
  <si>
    <t>GURROLA, BERTHA</t>
  </si>
  <si>
    <t>GONZALEZ, MARIA GUADALUPE</t>
  </si>
  <si>
    <t>WOLFE, PEGGY M</t>
  </si>
  <si>
    <t>HARO, MARIA E</t>
  </si>
  <si>
    <t>RODRIGUEZ, RENE</t>
  </si>
  <si>
    <t>TREVIZO, ROBERTO</t>
  </si>
  <si>
    <t>GOMEZ, FELIPE</t>
  </si>
  <si>
    <t>REEL, LYNSEY</t>
  </si>
  <si>
    <t>HART, GAYLE</t>
  </si>
  <si>
    <t>GALLEGOS, PRISCILLA</t>
  </si>
  <si>
    <t>RASCON, CARLOS</t>
  </si>
  <si>
    <t>GAVILANE, ELIZABETH</t>
  </si>
  <si>
    <t>MAYNES, LUIS C</t>
  </si>
  <si>
    <t>FERNANDEZ, OLGA</t>
  </si>
  <si>
    <t>ACOSTA, JUAN A</t>
  </si>
  <si>
    <t>SEALEY, OTILIA</t>
  </si>
  <si>
    <t>GALINDO GUANGORENA, DOLORES</t>
  </si>
  <si>
    <t>MARTINEZ, MAYRA</t>
  </si>
  <si>
    <t>COSTAS ORTIZ, MIGUEL</t>
  </si>
  <si>
    <t>ARDEN, ALEXANDER</t>
  </si>
  <si>
    <t>WALTON, KIMBERLI</t>
  </si>
  <si>
    <t>HODGES, BRIAN</t>
  </si>
  <si>
    <t>RODRIGUEZ, JOSHUA</t>
  </si>
  <si>
    <t>TURNER, YOLANDA</t>
  </si>
  <si>
    <t>ERNEWAYN, ESTHER</t>
  </si>
  <si>
    <t>ESPINOZA, YOLANDA</t>
  </si>
  <si>
    <t>SILVIA, MARIA</t>
  </si>
  <si>
    <t>REY, SOFIA</t>
  </si>
  <si>
    <t>RAMOS VELAZQUEZ, MARTIN</t>
  </si>
  <si>
    <t>HOOKS, TAWANDA</t>
  </si>
  <si>
    <t>MEJIA, SIRENA E</t>
  </si>
  <si>
    <t>PETERSON, WILLIAM</t>
  </si>
  <si>
    <t>PERALTA, JAYSON KEVIN</t>
  </si>
  <si>
    <t>SPURGEON, AMOS J</t>
  </si>
  <si>
    <t>VILLAGRAN, HUGO</t>
  </si>
  <si>
    <t>ROMAN, RAUL</t>
  </si>
  <si>
    <t>MEZA, MARIA</t>
  </si>
  <si>
    <t>TORRES, LOURDES</t>
  </si>
  <si>
    <t>AGUIRRE, IVONNE</t>
  </si>
  <si>
    <t>SWIDERSKI, BRENNON</t>
  </si>
  <si>
    <t>MURILLO, MARIA F</t>
  </si>
  <si>
    <t>BAKER, GREGORY LEE</t>
  </si>
  <si>
    <t>GLASCO, STEVEN E</t>
  </si>
  <si>
    <t>REY, LISA</t>
  </si>
  <si>
    <t>DEMOSS, ROSA MARIA</t>
  </si>
  <si>
    <t>RUBIO, LILIA E</t>
  </si>
  <si>
    <t>SANDOVAL, MARIA D</t>
  </si>
  <si>
    <t>SMITH, WALTER E</t>
  </si>
  <si>
    <t>SANCHEZ, MARGARITA</t>
  </si>
  <si>
    <t>HOLLENBACH, LAURIE</t>
  </si>
  <si>
    <t>GONZALEZ, VELIA</t>
  </si>
  <si>
    <t>SAAVEDRA, GABRIELA</t>
  </si>
  <si>
    <t>TRUJILLO, MARIA</t>
  </si>
  <si>
    <t>DOLZINBYRD, CHARLES</t>
  </si>
  <si>
    <t>SHUTT, STEVEN</t>
  </si>
  <si>
    <t>PUENTES, RICHARD</t>
  </si>
  <si>
    <t>ROBINSON, VALERIE</t>
  </si>
  <si>
    <t>UDOH, OBON I</t>
  </si>
  <si>
    <t>CASILLAS, MARIA GUADALUPE</t>
  </si>
  <si>
    <t>STEPHENS, ADAM</t>
  </si>
  <si>
    <t>HERRERA, MARLON</t>
  </si>
  <si>
    <t>BERNAL, ANA MARIA</t>
  </si>
  <si>
    <t>HOUCK, STEPHANIE M</t>
  </si>
  <si>
    <t>FRIAS, RAMONA M</t>
  </si>
  <si>
    <t>MARTINEZ, BEATRIZ</t>
  </si>
  <si>
    <t>BARRON, ANTONIO</t>
  </si>
  <si>
    <t>MONTESDEOCA, REYNA</t>
  </si>
  <si>
    <t>MARRUFO, JESSE A</t>
  </si>
  <si>
    <t>MADRID, ADELINA</t>
  </si>
  <si>
    <t>VELOZ, ALICIA</t>
  </si>
  <si>
    <t>ALVARADO, GLORIA</t>
  </si>
  <si>
    <t>CASTANEDA, CARLOS H</t>
  </si>
  <si>
    <t>SCHEPPS, LESLIE</t>
  </si>
  <si>
    <t>GANDARA, ARTURO A</t>
  </si>
  <si>
    <t>DAVIS, KYLE C</t>
  </si>
  <si>
    <t>MADDOX, BERNADETTE L</t>
  </si>
  <si>
    <t>RITT, SYLVIA</t>
  </si>
  <si>
    <t>PARGA, MARIA</t>
  </si>
  <si>
    <t>DIAZ, JAVIER</t>
  </si>
  <si>
    <t>CASILLAS, JOSHUA</t>
  </si>
  <si>
    <t>LOERA, ELEAZAR</t>
  </si>
  <si>
    <t>SABINAS SANCHEZ, IRENE</t>
  </si>
  <si>
    <t>LOPEZ, SYLVIA</t>
  </si>
  <si>
    <t>GUTIERREZ, ESPERANZA</t>
  </si>
  <si>
    <t>RODRIGUEZ, SONIA</t>
  </si>
  <si>
    <t>GONZALEZ, CLEMENTE</t>
  </si>
  <si>
    <t>VELASQUEZ, JUAN</t>
  </si>
  <si>
    <t>DESIMONE, SHEILA</t>
  </si>
  <si>
    <t>WELLS, LEONARD E</t>
  </si>
  <si>
    <t>MIRELES, ANA SYLVIA</t>
  </si>
  <si>
    <t>GOMEZ, ELSA</t>
  </si>
  <si>
    <t>SELMON, LAUREN</t>
  </si>
  <si>
    <t>BARRERA, ALFREDO</t>
  </si>
  <si>
    <t>CAMPUZANO, FRANCESCA</t>
  </si>
  <si>
    <t>VELASQUEZ, EDUARDO</t>
  </si>
  <si>
    <t>SHADRICK, MANUEL</t>
  </si>
  <si>
    <t>NAVARRETE, JAVIER</t>
  </si>
  <si>
    <t>ROUYER, JANE</t>
  </si>
  <si>
    <t>GRAHAM, HALBERT</t>
  </si>
  <si>
    <t>GAMEZ, GUADALUPE C</t>
  </si>
  <si>
    <t>NUNEZ, ENEDINA</t>
  </si>
  <si>
    <t>QUINTANAR, RANULFO M</t>
  </si>
  <si>
    <t>MONTOYA, CASANDRA</t>
  </si>
  <si>
    <t>RODRIGUEZ, MANUEL</t>
  </si>
  <si>
    <t>UTLEY, TRAVIS</t>
  </si>
  <si>
    <t>DERRICK, ELIZABETH ANNE</t>
  </si>
  <si>
    <t>TRAUTMAN, LANA</t>
  </si>
  <si>
    <t>MACIAS, JESSICA</t>
  </si>
  <si>
    <t>BURROWS, VICTORIA</t>
  </si>
  <si>
    <t>RIVERA, ANTONIO</t>
  </si>
  <si>
    <t>PINKINS, PATRICIA</t>
  </si>
  <si>
    <t>ZWITTAG, JENNETTE H</t>
  </si>
  <si>
    <t>MORALES, MARIA DEL CARMEN</t>
  </si>
  <si>
    <t>GONZALEZ, RAYMUNDO</t>
  </si>
  <si>
    <t>VASQUEZ, ESTHER C</t>
  </si>
  <si>
    <t>SERRANO, ROSALIO</t>
  </si>
  <si>
    <t>REYES, SUSANA</t>
  </si>
  <si>
    <t>CAMACHO, MARY</t>
  </si>
  <si>
    <t>TORREZ, MARK</t>
  </si>
  <si>
    <t>MARTINEZ, PATRICIA</t>
  </si>
  <si>
    <t>BELTRAN, JORGE A</t>
  </si>
  <si>
    <t>TURNER, SHERRI</t>
  </si>
  <si>
    <t>QUEZADA, MARIA</t>
  </si>
  <si>
    <t>NACHISON, JOSEPHINE</t>
  </si>
  <si>
    <t>SANCHEZ, LETICIA G</t>
  </si>
  <si>
    <t>AGUIRRE GARCIA, JORGE</t>
  </si>
  <si>
    <t>SEGOVIA-WAGNER, LEAH</t>
  </si>
  <si>
    <t>ZUBIA, JASON</t>
  </si>
  <si>
    <t>DAVILA, FILIBERTO</t>
  </si>
  <si>
    <t>FERRELL, YVONNE</t>
  </si>
  <si>
    <t>MONTELONGO, ALMA A</t>
  </si>
  <si>
    <t>SALDIVAR, JOSE S</t>
  </si>
  <si>
    <t>BAUERKEMPER, SHARON</t>
  </si>
  <si>
    <t>RODRIGUEZ, MARTHA A</t>
  </si>
  <si>
    <t>CARLIN, COULTER</t>
  </si>
  <si>
    <t>STEVENSON, TODD</t>
  </si>
  <si>
    <t>BAKER, CHRISTIANNA L</t>
  </si>
  <si>
    <t>YBARRA, CANDIDA R</t>
  </si>
  <si>
    <t>AGUAYO, MARIA</t>
  </si>
  <si>
    <t>FIGUEROA, JAVIER</t>
  </si>
  <si>
    <t>VASQUEZ, FRANCISCO</t>
  </si>
  <si>
    <t>RODGERS, THANH</t>
  </si>
  <si>
    <t>GOMEZ, FRANCISCO</t>
  </si>
  <si>
    <t>CAMPOS, RAFAEL</t>
  </si>
  <si>
    <t>JOHNSON- VIERRA, PATRICIA</t>
  </si>
  <si>
    <t>GARCIA, EVA</t>
  </si>
  <si>
    <t>HERNANDEZ, EMMA D</t>
  </si>
  <si>
    <t>VOEPEL, LEO F</t>
  </si>
  <si>
    <t>GUTIERREZ, CONCEPCION</t>
  </si>
  <si>
    <t>LOFLIN, ROSA</t>
  </si>
  <si>
    <t>DE LA TORRE, DANNY</t>
  </si>
  <si>
    <t>FITZGERALD, ROSA</t>
  </si>
  <si>
    <t>WATERS, JOHN</t>
  </si>
  <si>
    <t>DELGADO, RICARDO</t>
  </si>
  <si>
    <t>HERNANDEZ, EVANGELINA</t>
  </si>
  <si>
    <t>BRYANT JOHNSON, JOHNNIE</t>
  </si>
  <si>
    <t>CANTU, ROCIO</t>
  </si>
  <si>
    <t>LANGDON, DAVID</t>
  </si>
  <si>
    <t>GUTIERREZ, IRMA</t>
  </si>
  <si>
    <t>MORALES, FRANK T</t>
  </si>
  <si>
    <t>PENA, LUIS</t>
  </si>
  <si>
    <t>WINSLETT, CHRISTIAN</t>
  </si>
  <si>
    <t>TETERS, AUNDREA</t>
  </si>
  <si>
    <t>VALENZUELA, LAURA J</t>
  </si>
  <si>
    <t>LOPEZ-RIOS, ELIZABETH</t>
  </si>
  <si>
    <t>PONCE, RANDY</t>
  </si>
  <si>
    <t>BARAY, CRUZ</t>
  </si>
  <si>
    <t>GARCIA, FERNANDO</t>
  </si>
  <si>
    <t>AGUILERA, CHRISTIAN</t>
  </si>
  <si>
    <t>MORA, IVAN</t>
  </si>
  <si>
    <t>MENA, ESTHER</t>
  </si>
  <si>
    <t>SANCHEZ, RUDY</t>
  </si>
  <si>
    <t>ALCALA, IRMA</t>
  </si>
  <si>
    <t>VARGAS, ADRIAN</t>
  </si>
  <si>
    <t>AGUIRRE, NANCY I</t>
  </si>
  <si>
    <t>VARELA, CRUZ</t>
  </si>
  <si>
    <t>RANGEL, ANA G</t>
  </si>
  <si>
    <t>SOTO, ALFREDO</t>
  </si>
  <si>
    <t>GARAY, ALICIA</t>
  </si>
  <si>
    <t>RAYOS, SYLVIA</t>
  </si>
  <si>
    <t>MIRELES, ALBERTO</t>
  </si>
  <si>
    <t>KAULBACH, KENNETH</t>
  </si>
  <si>
    <t>THOMAS, WILLIAM R</t>
  </si>
  <si>
    <t>OROZCO, MARIA G</t>
  </si>
  <si>
    <t>MURRAY, TROY T</t>
  </si>
  <si>
    <t>HIGGINS, CINDY K</t>
  </si>
  <si>
    <t>GALANTE, MONICA</t>
  </si>
  <si>
    <t>KIMBALL, JACQUELINE</t>
  </si>
  <si>
    <t>TARANGO, YOLANDA</t>
  </si>
  <si>
    <t>ALVARADO, JUAN A</t>
  </si>
  <si>
    <t>RIVERA, DAVID F</t>
  </si>
  <si>
    <t>WENGEL, DARLENE</t>
  </si>
  <si>
    <t>CASTRUITA, SILVINA</t>
  </si>
  <si>
    <t>NATIVIDAD, VICTOR</t>
  </si>
  <si>
    <t>CAMPBELL, PATRICIA D</t>
  </si>
  <si>
    <t>STARK, SOCORRO</t>
  </si>
  <si>
    <t>MCCLENNAN, KATHLEEN</t>
  </si>
  <si>
    <t>ZAMORA, JESUS</t>
  </si>
  <si>
    <t>GRIDLEY, JULIE R</t>
  </si>
  <si>
    <t>FERNANDEZ, RITA</t>
  </si>
  <si>
    <t>PAREDES, RUBEN</t>
  </si>
  <si>
    <t>MARTINEZ, ANGELICA</t>
  </si>
  <si>
    <t>MCCOWAN, BETTY JO</t>
  </si>
  <si>
    <t>LOPEZ, ESPERANZA</t>
  </si>
  <si>
    <t>CANDELARIA, SANDRA L</t>
  </si>
  <si>
    <t>VELARDE, JOSE L</t>
  </si>
  <si>
    <t>RAMOS, DAVID</t>
  </si>
  <si>
    <t>MILLER, ASHLEY N</t>
  </si>
  <si>
    <t>MOYE, BERNARD R</t>
  </si>
  <si>
    <t>SANCHEZ, OLGA G</t>
  </si>
  <si>
    <t>KNIGHTS, ANTHONY N</t>
  </si>
  <si>
    <t>STALLWORTH, CHRISTOPHER</t>
  </si>
  <si>
    <t>BALLESTEROS, FRANCISCO</t>
  </si>
  <si>
    <t>ESCAPITE, CHRISTIAN B</t>
  </si>
  <si>
    <t>LANDEROS, OLDIFONSO</t>
  </si>
  <si>
    <t>NELSON, MARGARET L</t>
  </si>
  <si>
    <t>LUGO, FRANCISCA</t>
  </si>
  <si>
    <t>CORTEZ, LUIS</t>
  </si>
  <si>
    <t>RICHARDSON, SIOMARA G</t>
  </si>
  <si>
    <t>CASILLAS HERNANDEZ, JAFRETTE</t>
  </si>
  <si>
    <t>CLARKE, DONATO</t>
  </si>
  <si>
    <t>WARNER, TAMIKQUA E</t>
  </si>
  <si>
    <t>AVILA, MARGARITA</t>
  </si>
  <si>
    <t>MENDIOLA, ROSA A</t>
  </si>
  <si>
    <t>ESPINOZA, JUAN ONISEMO</t>
  </si>
  <si>
    <t>ZLOMKE, RONALD</t>
  </si>
  <si>
    <t>NUNEZ DE GARCIA, MARIA</t>
  </si>
  <si>
    <t>LOPEZ, MONICA</t>
  </si>
  <si>
    <t>BRANNON, MARICRUZ</t>
  </si>
  <si>
    <t>HERNANDEZ, FRANSISCA</t>
  </si>
  <si>
    <t>GAMBOA, LISA D</t>
  </si>
  <si>
    <t>KAISER, BERTHA A</t>
  </si>
  <si>
    <t>IGLECIAS, SERGIO</t>
  </si>
  <si>
    <t>CORREA, EVA V</t>
  </si>
  <si>
    <t>DELGADO, LUIS</t>
  </si>
  <si>
    <t>SERVIN, DANNY</t>
  </si>
  <si>
    <t>LUJAN, JESUS</t>
  </si>
  <si>
    <t>KELLY, JOSEPHINE V</t>
  </si>
  <si>
    <t>MCLAUGHLIN, RICHARD</t>
  </si>
  <si>
    <t>CASTRO, CRYSTAL A</t>
  </si>
  <si>
    <t>LUNA-RAMOS, RUBEN</t>
  </si>
  <si>
    <t>DAVILA, JENNIE</t>
  </si>
  <si>
    <t>JACOBO, ELVIA R</t>
  </si>
  <si>
    <t>DAVIDSON, ADRIANA</t>
  </si>
  <si>
    <t>HEREDIA, HORTENCIA</t>
  </si>
  <si>
    <t>PALACIOS, MARTHA A</t>
  </si>
  <si>
    <t>SAENZ, ELSA F</t>
  </si>
  <si>
    <t>SANDOVAL, ADELAIDA</t>
  </si>
  <si>
    <t>BARRETT, STARLA M</t>
  </si>
  <si>
    <t>MANGLONA, JUNELLA</t>
  </si>
  <si>
    <t>SANCHEZ, LOURDES</t>
  </si>
  <si>
    <t>REY, MARIA</t>
  </si>
  <si>
    <t>MENA, OCTAVIO</t>
  </si>
  <si>
    <t>LOPEZ, CONSUELO</t>
  </si>
  <si>
    <t>MUNOZ, TRISHA</t>
  </si>
  <si>
    <t>ARTALEJO, MARINA</t>
  </si>
  <si>
    <t>SANCHEZ MARTINEZ, MARIA</t>
  </si>
  <si>
    <t>BANUELOS, CHRIS A</t>
  </si>
  <si>
    <t>BARON, KRISTINE M</t>
  </si>
  <si>
    <t>JONES, MARY D</t>
  </si>
  <si>
    <t>FONSECA, ORLANDO ROBERT</t>
  </si>
  <si>
    <t>GUTIERREZ, AGUSTIN</t>
  </si>
  <si>
    <t>DE LA ROSA, MARIA D</t>
  </si>
  <si>
    <t>SAENZ, MARIA E</t>
  </si>
  <si>
    <t>ZUNIGA, DEBBIE</t>
  </si>
  <si>
    <t>CARRILLO, ANTONIA</t>
  </si>
  <si>
    <t>TOVAR, ALFREDO V</t>
  </si>
  <si>
    <t>TALAVERA, RICARDO A</t>
  </si>
  <si>
    <t>PEREZ, GUADALUPE</t>
  </si>
  <si>
    <t>GARCIA, VICTORIANO</t>
  </si>
  <si>
    <t>KRIMMER, RANDY J</t>
  </si>
  <si>
    <t>FLORES, RICHARD</t>
  </si>
  <si>
    <t>LUCERO, LINDA M</t>
  </si>
  <si>
    <t>CASTRO, LITZZI A</t>
  </si>
  <si>
    <t>GUILLEN, ALFRED</t>
  </si>
  <si>
    <t>MALDONADO, NORMA A</t>
  </si>
  <si>
    <t>PENA, JONATHAN</t>
  </si>
  <si>
    <t>SANCHEZ, JESSICA C</t>
  </si>
  <si>
    <t>GARCIA, YANET E</t>
  </si>
  <si>
    <t>DE SERRATO, LUZ MARIA</t>
  </si>
  <si>
    <t>RANGEL, ALICIA</t>
  </si>
  <si>
    <t>BORJON, SANJUANA</t>
  </si>
  <si>
    <t>ESCALANTE, POQUI A</t>
  </si>
  <si>
    <t>CRUZ, NORMA</t>
  </si>
  <si>
    <t>DOMINGUEZ ALONZO, LUIS R</t>
  </si>
  <si>
    <t>PENA, ROSA</t>
  </si>
  <si>
    <t>LOPEZ, MARIA ELENA</t>
  </si>
  <si>
    <t>VELAZQUEZ, ELSA O</t>
  </si>
  <si>
    <t>PONCE, SERGIO</t>
  </si>
  <si>
    <t>BUTTNER, CARISA</t>
  </si>
  <si>
    <t>HERRERA, BERTHA A</t>
  </si>
  <si>
    <t>MAGANA, JUANA D</t>
  </si>
  <si>
    <t>DE LA PENA, RYAN</t>
  </si>
  <si>
    <t>SIFUENTES, GRACIELA T</t>
  </si>
  <si>
    <t>BAUTISTA, EVANGELINA</t>
  </si>
  <si>
    <t>GARCIA, HECTOR</t>
  </si>
  <si>
    <t>WILLIAMSON, MICHAEL</t>
  </si>
  <si>
    <t>RENTERIA, VANESSA</t>
  </si>
  <si>
    <t>RENTERIA, ANA MARIA</t>
  </si>
  <si>
    <t>RODARTE, MARIA</t>
  </si>
  <si>
    <t>GARRICK, ROBERT B</t>
  </si>
  <si>
    <t>BRIDGES, ALVIN</t>
  </si>
  <si>
    <t>HINOJOSA, MARTHA P</t>
  </si>
  <si>
    <t>GARCIA, MARIA D</t>
  </si>
  <si>
    <t>MALDONADO, RUBEN</t>
  </si>
  <si>
    <t>GANDARA, EILEEN</t>
  </si>
  <si>
    <t>ROSAS, MARIA A</t>
  </si>
  <si>
    <t>AHUMADA, ALBERT</t>
  </si>
  <si>
    <t>TRUJILLO, YURY</t>
  </si>
  <si>
    <t>HIDALGO, MARIO</t>
  </si>
  <si>
    <t>LEYVA, BERTHA</t>
  </si>
  <si>
    <t>MARTINEZ, NORMA</t>
  </si>
  <si>
    <t>RIOS, GLORIA A</t>
  </si>
  <si>
    <t>TINOCO, VERONICA</t>
  </si>
  <si>
    <t>SASSO, ROBERT A</t>
  </si>
  <si>
    <t>RAMIREZ, GILBERTO</t>
  </si>
  <si>
    <t>THOMPSON, MAHRIA M</t>
  </si>
  <si>
    <t>CAMPOS, DANIEL M</t>
  </si>
  <si>
    <t>MOSHER, CLAUDIA</t>
  </si>
  <si>
    <t>ROBISON, MICHAEL R</t>
  </si>
  <si>
    <t>STARKS, SHER'RYAN</t>
  </si>
  <si>
    <t>DOMINGUEZ, DANIEL</t>
  </si>
  <si>
    <t>RIVERA CRUZ, MARTHA</t>
  </si>
  <si>
    <t>NAVARRO, JANIE</t>
  </si>
  <si>
    <t>VIGIL, JESUS</t>
  </si>
  <si>
    <t>MORALES, JORGE</t>
  </si>
  <si>
    <t>VELARDE, NICOLE C</t>
  </si>
  <si>
    <t>SOTO, DENISE</t>
  </si>
  <si>
    <t>CAMPOS, NAPOLEON</t>
  </si>
  <si>
    <t>AGUILAR, REYNALDO</t>
  </si>
  <si>
    <t>MACIAS, REFUGIO</t>
  </si>
  <si>
    <t>OLIVARES, GILBERTO</t>
  </si>
  <si>
    <t>MOORE, LEEDONAL</t>
  </si>
  <si>
    <t>VERDUGO RENTERIA, LORENZO</t>
  </si>
  <si>
    <t>LUNA, JOSE</t>
  </si>
  <si>
    <t>HERNANDEZ, MARCO A</t>
  </si>
  <si>
    <t>VASQUEZ, ABELARDO</t>
  </si>
  <si>
    <t>HERNANDEZ, REBECA</t>
  </si>
  <si>
    <t>CHRISTENSEN, TEMECKA K</t>
  </si>
  <si>
    <t>HERNANDEZ, ROSE</t>
  </si>
  <si>
    <t>GONZALEZ, ALBERT</t>
  </si>
  <si>
    <t>RICHARDSON, YUN J</t>
  </si>
  <si>
    <t>OBERMEYER, LISA</t>
  </si>
  <si>
    <t>PRIETO, LYDIA</t>
  </si>
  <si>
    <t>GONZALEZ, ROXANNA</t>
  </si>
  <si>
    <t>RODRIGUEZ, MONICA</t>
  </si>
  <si>
    <t>CAMARENA, MARISELA</t>
  </si>
  <si>
    <t>RODRIGUEZ, BLANCA</t>
  </si>
  <si>
    <t>QUINTANA, JULIAN</t>
  </si>
  <si>
    <t>LOY, OSCAR</t>
  </si>
  <si>
    <t>HERNANDEZ, LAURA</t>
  </si>
  <si>
    <t>HERNANDEZ-FISHER, JOANNE</t>
  </si>
  <si>
    <t>FLORES, JOSE L</t>
  </si>
  <si>
    <t>HIPOLITO, RODOLFO</t>
  </si>
  <si>
    <t>KELLY, THOMAS B</t>
  </si>
  <si>
    <t>CHAVEZ DE URENDA, OFELIA</t>
  </si>
  <si>
    <t>ANCHONDO, JESUS S</t>
  </si>
  <si>
    <t>BARROSO, RENAN</t>
  </si>
  <si>
    <t>TOQUINTO, MARIA</t>
  </si>
  <si>
    <t>TOQUINTO, GUILLERMO</t>
  </si>
  <si>
    <t>OSBERG, MATT</t>
  </si>
  <si>
    <t>DURAN, SYLVIA</t>
  </si>
  <si>
    <t>SAVAGE, JOSEPH</t>
  </si>
  <si>
    <t>MIRANDA, PALOMA</t>
  </si>
  <si>
    <t>SANCHEZ, MANUEL</t>
  </si>
  <si>
    <t>MARQUEZ, ROSA</t>
  </si>
  <si>
    <t>LOPEZ, LILY ROSE</t>
  </si>
  <si>
    <t>FONSECA, JOSEFINA</t>
  </si>
  <si>
    <t>ALANIS, AURORA A</t>
  </si>
  <si>
    <t>BERNAL, FRANCES</t>
  </si>
  <si>
    <t>BANUELOS, MARIA</t>
  </si>
  <si>
    <t>LAUER, MICHAEL R</t>
  </si>
  <si>
    <t>MORGAN, CATALINA</t>
  </si>
  <si>
    <t>SANCHEZ RODRIGUEZ, LUPITA</t>
  </si>
  <si>
    <t>MACIEL, LETICIA</t>
  </si>
  <si>
    <t>GONZALEZ, GRACIELA DE</t>
  </si>
  <si>
    <t>PILTZECKER, SEAN</t>
  </si>
  <si>
    <t>KEATING, LINDA</t>
  </si>
  <si>
    <t>BOOTH, MYRANDA M</t>
  </si>
  <si>
    <t>LERMA, JESUS</t>
  </si>
  <si>
    <t>BORJON, JOSE</t>
  </si>
  <si>
    <t>GONZALEZ, IRENE</t>
  </si>
  <si>
    <t>BARRAZA, ALICIA A</t>
  </si>
  <si>
    <t>SCHLESINGER, WILLIAM D</t>
  </si>
  <si>
    <t>LOPEZ, VICTORIA</t>
  </si>
  <si>
    <t>MUNOZ, MARIA G</t>
  </si>
  <si>
    <t>DARLING, STEPHEN W</t>
  </si>
  <si>
    <t>ESCOBEDO DE ROEL, ELIZABETH</t>
  </si>
  <si>
    <t>BAILEY, EBONY</t>
  </si>
  <si>
    <t>SHAFFER, NOLA ANN</t>
  </si>
  <si>
    <t>GANDARA, RICARDO</t>
  </si>
  <si>
    <t>SCHOOP, MARIE</t>
  </si>
  <si>
    <t>MARTINEZ, OLGA M</t>
  </si>
  <si>
    <t>MARTIN, GLENN</t>
  </si>
  <si>
    <t>PALADICHUK, TAYLOR</t>
  </si>
  <si>
    <t>GRANT, MICHAEL</t>
  </si>
  <si>
    <t>RAMIREZ, SERGIO E</t>
  </si>
  <si>
    <t>SOTO, JOSE L</t>
  </si>
  <si>
    <t>DEL TORO RUBIO, SUSANA</t>
  </si>
  <si>
    <t>HELMAN, STEPHAN</t>
  </si>
  <si>
    <t>MESA, LUZ</t>
  </si>
  <si>
    <t>KOONANKEIL, EMANUEL</t>
  </si>
  <si>
    <t>MONTES, HECTOR</t>
  </si>
  <si>
    <t>CORRAL, OFELIA</t>
  </si>
  <si>
    <t>CANO, FELIX</t>
  </si>
  <si>
    <t>RIVAS, ALANNA</t>
  </si>
  <si>
    <t>LECHUGA, BELINDA</t>
  </si>
  <si>
    <t>RODRIGUEZ, YVONNE</t>
  </si>
  <si>
    <t>RODRIGUEZ, JAIME</t>
  </si>
  <si>
    <t>REYNOSO, CHRISTOPHER G</t>
  </si>
  <si>
    <t>ESTELA GUTIERREZ, VERONICA</t>
  </si>
  <si>
    <t>ALVARADO, MYRNA</t>
  </si>
  <si>
    <t>VILLAREAL, LUISA</t>
  </si>
  <si>
    <t>ORTIZ, ALFREDO L</t>
  </si>
  <si>
    <t>BRIGGINS, KENDALL</t>
  </si>
  <si>
    <t>MENA, VERONICA</t>
  </si>
  <si>
    <t>CARRASCO, JORGE</t>
  </si>
  <si>
    <t>SULLIVAN, REBECCA A</t>
  </si>
  <si>
    <t>SAGE, GREGORY J</t>
  </si>
  <si>
    <t>LUJAN, ELIZABETH</t>
  </si>
  <si>
    <t>MACIAS, CONSUELO</t>
  </si>
  <si>
    <t>CONTRERAS, JESUS</t>
  </si>
  <si>
    <t>UNTALAN, MIKE</t>
  </si>
  <si>
    <t>PONCEBENJAMIN, JEANETTE</t>
  </si>
  <si>
    <t>GATLIN, FRITZ</t>
  </si>
  <si>
    <t>NUNEZ, SOCORRO</t>
  </si>
  <si>
    <t>SHAW, ALMA</t>
  </si>
  <si>
    <t>NAVARRO, IRENE</t>
  </si>
  <si>
    <t>LOCKETT, LEONTAE</t>
  </si>
  <si>
    <t>FAULK, LORI D</t>
  </si>
  <si>
    <t>CAIRE, EMILIO</t>
  </si>
  <si>
    <t>SARIEDDINE, NEHMAT</t>
  </si>
  <si>
    <t>ORTIZ, BENIGNA</t>
  </si>
  <si>
    <t>LOZOYA, ISELA</t>
  </si>
  <si>
    <t>CASAREZ, MARIA A</t>
  </si>
  <si>
    <t>CERECERES, OLGA</t>
  </si>
  <si>
    <t>SIMMONS, ZACKARY C</t>
  </si>
  <si>
    <t>LEFEBVERE, LESLIE</t>
  </si>
  <si>
    <t>ANDREWS, BENNY G</t>
  </si>
  <si>
    <t>TAPIA, HERMELINDA M</t>
  </si>
  <si>
    <t>POARCH, ELIZABETH L</t>
  </si>
  <si>
    <t>AMARO, LINO B</t>
  </si>
  <si>
    <t>GOMEZ, MARIA R</t>
  </si>
  <si>
    <t>GANDARA, JOSE</t>
  </si>
  <si>
    <t>CHAVARRIA, CRUZ</t>
  </si>
  <si>
    <t>PEREZ-CARDONA, CHRISTOPHER</t>
  </si>
  <si>
    <t>NAGIES, THOMAS A</t>
  </si>
  <si>
    <t>NYGAARD, JILL</t>
  </si>
  <si>
    <t>WALKER, DONNA K</t>
  </si>
  <si>
    <t>MUNOS, MANUAL</t>
  </si>
  <si>
    <t>BOWMAN, CHARLES B</t>
  </si>
  <si>
    <t>SHEGOW, FADUMA</t>
  </si>
  <si>
    <t>PADILLA, RENEE I</t>
  </si>
  <si>
    <t>VILLALOBOS, SOFIA</t>
  </si>
  <si>
    <t>SHAWLINSKI, RACHEL</t>
  </si>
  <si>
    <t>OLIVAS, ALFREDO</t>
  </si>
  <si>
    <t>PENDELTON, STEPHEN M</t>
  </si>
  <si>
    <t>JUAREZ, ALMA</t>
  </si>
  <si>
    <t>NAJERA, ANDREA</t>
  </si>
  <si>
    <t>URQUIZO, JESUS M</t>
  </si>
  <si>
    <t>SILOS, PATRICIA</t>
  </si>
  <si>
    <t>MACPHERSON, KATHLEEN M</t>
  </si>
  <si>
    <t>MONTES, RAMON</t>
  </si>
  <si>
    <t>HERNANDEZ, CONCEPCION</t>
  </si>
  <si>
    <t>MONTOYA, DAVID</t>
  </si>
  <si>
    <t>BALANDRAN, ADRIANA</t>
  </si>
  <si>
    <t>PELL, JUAN</t>
  </si>
  <si>
    <t>LEON, ANA M</t>
  </si>
  <si>
    <t>MACIAS, ALFREDO</t>
  </si>
  <si>
    <t>RASCON, MARCELA</t>
  </si>
  <si>
    <t>CUSKEY, LARRY</t>
  </si>
  <si>
    <t>URANGA-MAHAR, ANTHONY</t>
  </si>
  <si>
    <t>BROWN, STEVEN</t>
  </si>
  <si>
    <t>URANGA, PAOLA</t>
  </si>
  <si>
    <t>PEREZ SAPIEN, MANUEL L</t>
  </si>
  <si>
    <t>DOMINGUEZ, MARIA</t>
  </si>
  <si>
    <t>DEGARCIA, MARIA D</t>
  </si>
  <si>
    <t>SAVAGE, WILMA</t>
  </si>
  <si>
    <t>MOOR, TINA M</t>
  </si>
  <si>
    <t>BACA, VICTOR</t>
  </si>
  <si>
    <t>RAMIREZ, ROSA I</t>
  </si>
  <si>
    <t>ONTIVEROS, CARMEN D</t>
  </si>
  <si>
    <t>CAMACHO, WANDA</t>
  </si>
  <si>
    <t>PAGE, TYLER</t>
  </si>
  <si>
    <t>CONTRERAS, KAREN</t>
  </si>
  <si>
    <t>LOPEZ HERNANDEZ, JOSE G</t>
  </si>
  <si>
    <t>MORENO, DANIEL</t>
  </si>
  <si>
    <t>SOLIS, ROSA I</t>
  </si>
  <si>
    <t>SANCHEZ, REBECCA</t>
  </si>
  <si>
    <t>GUTIERREZ, MARK A</t>
  </si>
  <si>
    <t>KANEY, JAQUELINE</t>
  </si>
  <si>
    <t>EROVENCIO, GEORGE</t>
  </si>
  <si>
    <t>HALFHILL, MATTHEW</t>
  </si>
  <si>
    <t>EVANS, DAVID E</t>
  </si>
  <si>
    <t>VAZQUEZ, RICARDO</t>
  </si>
  <si>
    <t>RODRIGUEZ, WILFREDO</t>
  </si>
  <si>
    <t>VACIO, IDA</t>
  </si>
  <si>
    <t>REINHART, ERNEST J</t>
  </si>
  <si>
    <t>MUCINO, ELISA</t>
  </si>
  <si>
    <t>MENDOZA, BERTHA</t>
  </si>
  <si>
    <t>MADRIGAL, ABELINA</t>
  </si>
  <si>
    <t>WALSH, MARTHA</t>
  </si>
  <si>
    <t>OLIVAS, MARGARITA C</t>
  </si>
  <si>
    <t>NUNEZ NORIEGA, ROBERTO</t>
  </si>
  <si>
    <t>BINGHAM, LINDA K</t>
  </si>
  <si>
    <t>ORTEGA, JESUS</t>
  </si>
  <si>
    <t>MARTINEZ, HORACIO</t>
  </si>
  <si>
    <t>CRAWFORD, DONALD B</t>
  </si>
  <si>
    <t>CHAVEZ, ANGIE</t>
  </si>
  <si>
    <t>HERRERA, LETICIA</t>
  </si>
  <si>
    <t>CASTRUITA, FRED</t>
  </si>
  <si>
    <t>ROJAS, NORMA</t>
  </si>
  <si>
    <t>INGRAM, FRANCISCA</t>
  </si>
  <si>
    <t>RENZ, GARY J</t>
  </si>
  <si>
    <t>BURTON, CAROL</t>
  </si>
  <si>
    <t>HUIZAR, DIANA</t>
  </si>
  <si>
    <t>QUINN, MICHAEL R</t>
  </si>
  <si>
    <t>ALCANTAR, MARIA S</t>
  </si>
  <si>
    <t>RIVERA, JANETH G</t>
  </si>
  <si>
    <t>NIETO, LORENZO</t>
  </si>
  <si>
    <t>GARDEA, IGNACIO</t>
  </si>
  <si>
    <t>ROY, CATHERINE</t>
  </si>
  <si>
    <t>GUERRA, MARIA</t>
  </si>
  <si>
    <t>SANCHEZ, CYNTHIA</t>
  </si>
  <si>
    <t>OVALLE, MARIA</t>
  </si>
  <si>
    <t>AVILA, FRANCISCA</t>
  </si>
  <si>
    <t>JACQUES, MARTIN</t>
  </si>
  <si>
    <t>MORALES, SHIRLEY</t>
  </si>
  <si>
    <t>ENRIQUEZ, ENRIQUE</t>
  </si>
  <si>
    <t>LEYVA, BEATRIZ</t>
  </si>
  <si>
    <t>COLONAPONTE, LEONARDO</t>
  </si>
  <si>
    <t>HOSEIN, AYESHA</t>
  </si>
  <si>
    <t>REMER-PORTER, HANNAH</t>
  </si>
  <si>
    <t>ILDEFONSO, MELCHOR</t>
  </si>
  <si>
    <t>SOLEDAD PEREZ, JUAN M</t>
  </si>
  <si>
    <t>NAVARRO, VERONICA</t>
  </si>
  <si>
    <t>LARA, SERGIO</t>
  </si>
  <si>
    <t>ORTEGA, MARTHA M</t>
  </si>
  <si>
    <t>SMITH, TAMMY</t>
  </si>
  <si>
    <t>SALAZAR, CARLOS</t>
  </si>
  <si>
    <t>ALLEN, BRETT W</t>
  </si>
  <si>
    <t>RODRIGUEZ, ALFREDO</t>
  </si>
  <si>
    <t>GOOD, DAVID</t>
  </si>
  <si>
    <t>LOYA, DEHIDA</t>
  </si>
  <si>
    <t>JOHNS, DOROTHY L</t>
  </si>
  <si>
    <t>OROZCO, MIGUEL</t>
  </si>
  <si>
    <t>ACEVES, ELIZABETH</t>
  </si>
  <si>
    <t>GIL, ALFONSO</t>
  </si>
  <si>
    <t>HEIDENESCHER, HEIDI A</t>
  </si>
  <si>
    <t>SLOWIK, KEVIN</t>
  </si>
  <si>
    <t>ARRIOLA, PEDRO F</t>
  </si>
  <si>
    <t>LOYA, DENISE</t>
  </si>
  <si>
    <t>PEREZ, OLGA</t>
  </si>
  <si>
    <t>RUHMANN, ELIZABETH</t>
  </si>
  <si>
    <t>MONTOYA DE GALVAN, MARISELA</t>
  </si>
  <si>
    <t>LOEZA, ROBERTO</t>
  </si>
  <si>
    <t>DOMINGUEZ, CONCEPCION</t>
  </si>
  <si>
    <t>SIMMONS, MARGARET L</t>
  </si>
  <si>
    <t>MORALES, MANUEL H</t>
  </si>
  <si>
    <t>LOPEZ, HERMINA C</t>
  </si>
  <si>
    <t>MARRUFO, CARLOS</t>
  </si>
  <si>
    <t>BORDEN-ZACOUR, KRISTI</t>
  </si>
  <si>
    <t>KELLEY, MEREDITH D</t>
  </si>
  <si>
    <t>RODRIGUEZ, MARTHA Y</t>
  </si>
  <si>
    <t>ARANAS, GUILLERMINA</t>
  </si>
  <si>
    <t>ARRONIZ, ELSA</t>
  </si>
  <si>
    <t>ICARD, VICKY</t>
  </si>
  <si>
    <t>RODRIQUEZ, ABEL</t>
  </si>
  <si>
    <t>NAVARRETE, GRECELDA</t>
  </si>
  <si>
    <t>AGUILERA, DAVID</t>
  </si>
  <si>
    <t>ARRIAGA, ESPERANZA</t>
  </si>
  <si>
    <t>RAMIREZ, MARIA L</t>
  </si>
  <si>
    <t>RINCON, SANDRA</t>
  </si>
  <si>
    <t>TORRES, ANGEL</t>
  </si>
  <si>
    <t>GONZALEZ, VICTOR G</t>
  </si>
  <si>
    <t>BACA, CRUSITO</t>
  </si>
  <si>
    <t>ARELLANO, VIRGINIA</t>
  </si>
  <si>
    <t>DAVILA, ALMA</t>
  </si>
  <si>
    <t>GUARDADO, ISMAEL M</t>
  </si>
  <si>
    <t>ACOSTA, MICHAEL</t>
  </si>
  <si>
    <t>NORTHROP, PAUL</t>
  </si>
  <si>
    <t>HERNANDEZ, TEOFILO L</t>
  </si>
  <si>
    <t>BETTS, JOHN</t>
  </si>
  <si>
    <t>CADENA, SERGIO</t>
  </si>
  <si>
    <t>ONTIVEROS, SOLEDAD B</t>
  </si>
  <si>
    <t>SCHUESSLER, MARINA</t>
  </si>
  <si>
    <t>ANGLE, AMBER</t>
  </si>
  <si>
    <t>CARSON, CHERYL M</t>
  </si>
  <si>
    <t>VARGAS, KEITH</t>
  </si>
  <si>
    <t>MEDRANO, RAUL E</t>
  </si>
  <si>
    <t>CAJAS, JUAN CARLOS</t>
  </si>
  <si>
    <t>MARSHALL, CRISTINA</t>
  </si>
  <si>
    <t>JAQUEZ, ALICE V</t>
  </si>
  <si>
    <t>BONET, SONIA</t>
  </si>
  <si>
    <t>ORNELAS, ANGELINA</t>
  </si>
  <si>
    <t>TORRES, MARGARITA M</t>
  </si>
  <si>
    <t>ATKINS, DENISE</t>
  </si>
  <si>
    <t>STEARNES, LISA</t>
  </si>
  <si>
    <t>MAKER, ARKETHER L</t>
  </si>
  <si>
    <t>SALAYANDIA, JUAN C</t>
  </si>
  <si>
    <t>CASTRO DE GOMEZ, JUANA</t>
  </si>
  <si>
    <t>KEIMIG, PAULA D</t>
  </si>
  <si>
    <t>VELEZ, NORBERTO</t>
  </si>
  <si>
    <t>MCCOLLUM, RUSSELL L</t>
  </si>
  <si>
    <t>ONTIVEROS, ANA MARIA</t>
  </si>
  <si>
    <t>MARQUEZ, MARIA L</t>
  </si>
  <si>
    <t>DAVILA, DAVID</t>
  </si>
  <si>
    <t>MANZANO, JAVIER</t>
  </si>
  <si>
    <t>PACHECO DE SANTANA, MARIA</t>
  </si>
  <si>
    <t>RAMOS, SILVIA M</t>
  </si>
  <si>
    <t>RUIZ MOLINA, LAURO L</t>
  </si>
  <si>
    <t>MIER, ENRIQUE</t>
  </si>
  <si>
    <t>KIRKENDALL, RACHEL</t>
  </si>
  <si>
    <t>YARBROUGH, YVETTE E</t>
  </si>
  <si>
    <t>ZAVALA, JUAN C</t>
  </si>
  <si>
    <t>ULLOA, ARMANDO</t>
  </si>
  <si>
    <t>MORENO, CRUZ H</t>
  </si>
  <si>
    <t>CASTANEDA GARCIA, JULIO</t>
  </si>
  <si>
    <t>REYES, JOSE S</t>
  </si>
  <si>
    <t>CALVIRD, PATRICIA N</t>
  </si>
  <si>
    <t>PACHECO, CARMEN</t>
  </si>
  <si>
    <t>MISCHEN, WILLIAM</t>
  </si>
  <si>
    <t>GARCIA, ELIDA C</t>
  </si>
  <si>
    <t>QUINTERO, BEATRIZ</t>
  </si>
  <si>
    <t>CABRERA, JOSE G</t>
  </si>
  <si>
    <t>SARINANA, MARIA D</t>
  </si>
  <si>
    <t>FONG WONG, JOSE</t>
  </si>
  <si>
    <t>GAMBOA, HECTOR</t>
  </si>
  <si>
    <t>TORRES, MARK A</t>
  </si>
  <si>
    <t>KENNEDY, GARY S</t>
  </si>
  <si>
    <t>CHACON, RUTH</t>
  </si>
  <si>
    <t>KILBORN, STEPHEN A</t>
  </si>
  <si>
    <t>POYNOR, BOBBY G</t>
  </si>
  <si>
    <t>MONTES, EDMUNDO</t>
  </si>
  <si>
    <t>TELLEZ, JAIME E</t>
  </si>
  <si>
    <t>CAMACHO, TERESA M</t>
  </si>
  <si>
    <t>KATZ, SHEILA K</t>
  </si>
  <si>
    <t>MARTINEZ, ANDRES</t>
  </si>
  <si>
    <t>LOFTON, GERARD</t>
  </si>
  <si>
    <t>SHIELDS, CLIFFORD R</t>
  </si>
  <si>
    <t>BAEZA, LUIS</t>
  </si>
  <si>
    <t>MONTERO, MARCO</t>
  </si>
  <si>
    <t>ENRIQUEZ, CARLOS J</t>
  </si>
  <si>
    <t>ROMMELMANN, REINER</t>
  </si>
  <si>
    <t>GONZALEZ, SHELLY A</t>
  </si>
  <si>
    <t>THOMPSON, VERONICA</t>
  </si>
  <si>
    <t>GARZA, SUZZANE M</t>
  </si>
  <si>
    <t>MADRID, RICARDO</t>
  </si>
  <si>
    <t>ROSENTHAL, TEDD A</t>
  </si>
  <si>
    <t>HILL, MICHAEL</t>
  </si>
  <si>
    <t>LOPEZ, MIGUEL</t>
  </si>
  <si>
    <t>ARCE, JUAN D</t>
  </si>
  <si>
    <t>PADILLA, LISA A</t>
  </si>
  <si>
    <t>LOPEZ, JACQUELINE</t>
  </si>
  <si>
    <t>URISTA DE MADRID, SOLEDAD</t>
  </si>
  <si>
    <t>NUNEZ, MARY E</t>
  </si>
  <si>
    <t>SANCHEZ, GUSTAVO</t>
  </si>
  <si>
    <t>MCDANIEL, BETTY F</t>
  </si>
  <si>
    <t>COLLINS, BELINDA S</t>
  </si>
  <si>
    <t>WALLACE, CARLA J</t>
  </si>
  <si>
    <t>HOOVER, BARBARA C</t>
  </si>
  <si>
    <t>MILCHEN, DAVID</t>
  </si>
  <si>
    <t>MARTINEZ, DULCE R</t>
  </si>
  <si>
    <t>MENDOZA, SHAUNA H</t>
  </si>
  <si>
    <t>PACHECO, ANTONIO</t>
  </si>
  <si>
    <t>CARRILLO, MARIO A</t>
  </si>
  <si>
    <t>BROADDUS, JO LYNN</t>
  </si>
  <si>
    <t>MONTES, ROWENA R</t>
  </si>
  <si>
    <t>PATEL, HANSABEN B</t>
  </si>
  <si>
    <t>ALVARADO, ARTURO</t>
  </si>
  <si>
    <t>CORRAL, RAFAEL FRANCISCO</t>
  </si>
  <si>
    <t>KIBBLE, MARIA D</t>
  </si>
  <si>
    <t>RAMOS, NORMA</t>
  </si>
  <si>
    <t>RAEL, IRENE</t>
  </si>
  <si>
    <t>CAMPOS, JOSE ABRAHAM</t>
  </si>
  <si>
    <t>CASTILLO, SYLVIA L</t>
  </si>
  <si>
    <t>ESTRADA, ERIC A</t>
  </si>
  <si>
    <t>CHAVEZ, JESUS S</t>
  </si>
  <si>
    <t>HALFHILL, SUSANA</t>
  </si>
  <si>
    <t>FINE, CHARLES</t>
  </si>
  <si>
    <t>TORRES, JOEL</t>
  </si>
  <si>
    <t>TORRES, NICOLE</t>
  </si>
  <si>
    <t>TREVINO, ROBERT</t>
  </si>
  <si>
    <t>DOZIER, PAUL</t>
  </si>
  <si>
    <t>ROMIG, CHRISTY</t>
  </si>
  <si>
    <t>CASTANEDA DE OCHOA, NOHEMI</t>
  </si>
  <si>
    <t>NEVAREZ, ANA</t>
  </si>
  <si>
    <t>ROSALES, MARIA DE JESUS</t>
  </si>
  <si>
    <t>EPP, JOANNE L</t>
  </si>
  <si>
    <t>NUNEZ, BRYAN A</t>
  </si>
  <si>
    <t>ENRIQUEZ, JUAN RAMON</t>
  </si>
  <si>
    <t>HERNANDEZ, AMELIA</t>
  </si>
  <si>
    <t>PENDELTON, JOHN</t>
  </si>
  <si>
    <t>PARIENTE, EVELYN</t>
  </si>
  <si>
    <t>RAMIREZ, NOEL</t>
  </si>
  <si>
    <t>PEREZ OCHOA, ANTONIO</t>
  </si>
  <si>
    <t>PEREZ, ESMERALDA</t>
  </si>
  <si>
    <t>STERVIL, CLAUDIA</t>
  </si>
  <si>
    <t>DURAN DE AGUILAR, MARIA P</t>
  </si>
  <si>
    <t>DUNN, JOHN</t>
  </si>
  <si>
    <t>CAMPOS, ANA L</t>
  </si>
  <si>
    <t>PEREZ, ALICIA</t>
  </si>
  <si>
    <t>ROBLES, RITA</t>
  </si>
  <si>
    <t>DEEMS, RHIANNON</t>
  </si>
  <si>
    <t>GALLEGOS, NOEMI F</t>
  </si>
  <si>
    <t>MEFFORD, ROBERT M</t>
  </si>
  <si>
    <t>HERRERA, RAMON</t>
  </si>
  <si>
    <t>CARROLL, FERNANDO A</t>
  </si>
  <si>
    <t>LAIBINIS, DANIEL</t>
  </si>
  <si>
    <t>RAMIREZ, FELIPE D</t>
  </si>
  <si>
    <t>CONWAY, MARIA R</t>
  </si>
  <si>
    <t>GARCIA, FRANCISCA R</t>
  </si>
  <si>
    <t>HERNANDEZ, ARLENE</t>
  </si>
  <si>
    <t>AGUILAR, LORENZO</t>
  </si>
  <si>
    <t>RAMIREZ, GUADALUPE</t>
  </si>
  <si>
    <t>ARELLANO, CARLOS</t>
  </si>
  <si>
    <t>CONTRERAS, RUBY ESMERALDA</t>
  </si>
  <si>
    <t>SIMONDS, ROY L</t>
  </si>
  <si>
    <t>OSTROFF, STEVEN G</t>
  </si>
  <si>
    <t>LUJAN, GUSTAVO</t>
  </si>
  <si>
    <t>RANGEL, NICHOLAS CHRISTOPHER</t>
  </si>
  <si>
    <t>DE LA ROSA, IDA</t>
  </si>
  <si>
    <t>BEAN, MICAELA C</t>
  </si>
  <si>
    <t>MARTINEZ, DIONEL S</t>
  </si>
  <si>
    <t>QUINN, REBECCA E</t>
  </si>
  <si>
    <t>FLORES, MARIA P</t>
  </si>
  <si>
    <t>OSBORNE, JEROME P</t>
  </si>
  <si>
    <t>VAZQUEZ, GUADALUPE I</t>
  </si>
  <si>
    <t>OSTOLAZA, JAMES</t>
  </si>
  <si>
    <t>GUEVARA, MARIA ESTELA</t>
  </si>
  <si>
    <t>RAMIREZ, BRENDA D</t>
  </si>
  <si>
    <t>CASTILLO, MARIA G</t>
  </si>
  <si>
    <t>PEREZ, JORGE</t>
  </si>
  <si>
    <t>ROJAS, RENE</t>
  </si>
  <si>
    <t>JONES, MARY L</t>
  </si>
  <si>
    <t>ARIZPE, DANNY</t>
  </si>
  <si>
    <t>RIVERA, DENISE</t>
  </si>
  <si>
    <t>ANCHONDO, EDWARD A</t>
  </si>
  <si>
    <t>CALDERA, MARTHA</t>
  </si>
  <si>
    <t>VINCENT, JOHN D</t>
  </si>
  <si>
    <t>RODRIGUEZ, MARCELA</t>
  </si>
  <si>
    <t>LANDY, ANITA</t>
  </si>
  <si>
    <t>GARY, TINISHA B</t>
  </si>
  <si>
    <t>STEVENS, ERNESTINA A</t>
  </si>
  <si>
    <t>CELIS, ELISA G</t>
  </si>
  <si>
    <t>WALKER, GARLAND L</t>
  </si>
  <si>
    <t>PICCONE, MARIA D</t>
  </si>
  <si>
    <t>MARINELARENA, MATILDE OLIVIA</t>
  </si>
  <si>
    <t>RODRIGUEZ, MARY C</t>
  </si>
  <si>
    <t>MUHAMMAD, BILAL</t>
  </si>
  <si>
    <t>HERNANDEZ, GUADALUPE</t>
  </si>
  <si>
    <t>HERNANDEZ, RAMON</t>
  </si>
  <si>
    <t>PAIZ, HERMINIA</t>
  </si>
  <si>
    <t>CORRAL, FERNIE</t>
  </si>
  <si>
    <t>ZUNIGA, ROSAURA G</t>
  </si>
  <si>
    <t>LONGNECKER, PAMELA</t>
  </si>
  <si>
    <t>MARTINEZ, ELISA A</t>
  </si>
  <si>
    <t>FULTON, DARLENE</t>
  </si>
  <si>
    <t>GUERRA, LETICIA</t>
  </si>
  <si>
    <t>VARGAS, JUAN D</t>
  </si>
  <si>
    <t>FOSTER, CARLOS</t>
  </si>
  <si>
    <t>ROSALES MENDEZ, ZOILA S</t>
  </si>
  <si>
    <t>SANTILLANES, JOSEATANAC</t>
  </si>
  <si>
    <t>LARA, GUADALUPE</t>
  </si>
  <si>
    <t>PAZ, TERESA D</t>
  </si>
  <si>
    <t>MORALES, TONY</t>
  </si>
  <si>
    <t>ESPARZA, LISA M</t>
  </si>
  <si>
    <t>GREGORY, JAMIE N</t>
  </si>
  <si>
    <t>SAMANIEGO, VICTOR H</t>
  </si>
  <si>
    <t>VALLESPRIETO, MAYRA K</t>
  </si>
  <si>
    <t>URQUIDI, SUSANA</t>
  </si>
  <si>
    <t>SAVAGE, OMAR</t>
  </si>
  <si>
    <t>RASCON, OSVALDO</t>
  </si>
  <si>
    <t>TILLEY, ANGELA P</t>
  </si>
  <si>
    <t>ACOSTA, MARIO</t>
  </si>
  <si>
    <t>FORDE, LAWRENCE</t>
  </si>
  <si>
    <t>NEGRETE, MARTHA</t>
  </si>
  <si>
    <t>PEREZ, CORAL</t>
  </si>
  <si>
    <t>MENDEZ, ARTURO</t>
  </si>
  <si>
    <t>MIRANDA, RAQUEL</t>
  </si>
  <si>
    <t>MEDINA LANDEROS, LUIS</t>
  </si>
  <si>
    <t>REED, PATRICIA E</t>
  </si>
  <si>
    <t>GADSON, NED</t>
  </si>
  <si>
    <t>GOMEZ DE MARTINEZ, MARIA</t>
  </si>
  <si>
    <t>MADRID, AMPARO</t>
  </si>
  <si>
    <t>PARKS, SUSAN L</t>
  </si>
  <si>
    <t>ORONA, MARTHA</t>
  </si>
  <si>
    <t>NEVAREZ, MANUELA</t>
  </si>
  <si>
    <t>MENDOZA, PASCUAL</t>
  </si>
  <si>
    <t>CALLENDER, CLINTON C</t>
  </si>
  <si>
    <t>APODACA, WILHELMINA L</t>
  </si>
  <si>
    <t>GAINES, TRANAY E</t>
  </si>
  <si>
    <t>CRUZ, ROBERT L</t>
  </si>
  <si>
    <t>GUERRERO VALLES, MARIA L</t>
  </si>
  <si>
    <t>DUARTE RIVERA, ROCIO D</t>
  </si>
  <si>
    <t>FELICES, EUSTOLIA</t>
  </si>
  <si>
    <t>TORRES, ROSA</t>
  </si>
  <si>
    <t>LOPEZ, ENRIQUE R</t>
  </si>
  <si>
    <t>SANCHEZ, DINA</t>
  </si>
  <si>
    <t>SANCHEZ PARRILLA, JORGE L</t>
  </si>
  <si>
    <t>SANCHEZ, VICTORIA</t>
  </si>
  <si>
    <t>RAMIREZ, JENNIFER</t>
  </si>
  <si>
    <t>GRANADOS, IRENE</t>
  </si>
  <si>
    <t>DURAN III, GABRIEL</t>
  </si>
  <si>
    <t>PERRY, YOLANDA R</t>
  </si>
  <si>
    <t>ESQUIVEL, ARMANDO</t>
  </si>
  <si>
    <t>CONTRERAS, CECILIA</t>
  </si>
  <si>
    <t>LOYA, ALEJANDRA</t>
  </si>
  <si>
    <t>SERVIN, JESUS</t>
  </si>
  <si>
    <t>NAVARRO, DOLORES M</t>
  </si>
  <si>
    <t>HERNANDEZ, ASHLEY M</t>
  </si>
  <si>
    <t>RIOS, FERNANDO</t>
  </si>
  <si>
    <t>MCGEE, MICHAEL G</t>
  </si>
  <si>
    <t>CAMACHO, EDITH</t>
  </si>
  <si>
    <t>DOMINGUEZ, DELFINA C</t>
  </si>
  <si>
    <t>RAMIREZ, LILIANA</t>
  </si>
  <si>
    <t>GIVEN, BEVERLY H</t>
  </si>
  <si>
    <t>JURADO, JOSE M</t>
  </si>
  <si>
    <t>RUSSELL, SHARON L</t>
  </si>
  <si>
    <t>ESPARZA, JOSE</t>
  </si>
  <si>
    <t>MENDOZA, MELISSA S</t>
  </si>
  <si>
    <t>ADAME, JESSE</t>
  </si>
  <si>
    <t>PEREZ DE FUENTES, LUZ E</t>
  </si>
  <si>
    <t>CHAVEZ, ENRIQUE M</t>
  </si>
  <si>
    <t>BLANCO, GLORIA P</t>
  </si>
  <si>
    <t>GARCIA, DANNY</t>
  </si>
  <si>
    <t>FLORES, FRANK G</t>
  </si>
  <si>
    <t>VILLA, EDUARDO A</t>
  </si>
  <si>
    <t>BARRON, SANDRA</t>
  </si>
  <si>
    <t>CORTEZ, ISRAEL</t>
  </si>
  <si>
    <t>CASAS, MICHELLE</t>
  </si>
  <si>
    <t>LIRA, JOSE</t>
  </si>
  <si>
    <t>VALLES, GLORIA</t>
  </si>
  <si>
    <t>SOLIS, OSCAR</t>
  </si>
  <si>
    <t>HERNANDEZ DE CARMONA, MARIA G</t>
  </si>
  <si>
    <t>VERA, ANDREA</t>
  </si>
  <si>
    <t>CASTILLO, GABRIEL J</t>
  </si>
  <si>
    <t>RODRIGUEZ GANDARA, JOSE</t>
  </si>
  <si>
    <t>GUILLEN, ADA</t>
  </si>
  <si>
    <t>HERNANDEZ, NANCY</t>
  </si>
  <si>
    <t>CARRILLO, BLANCA E</t>
  </si>
  <si>
    <t>DELGADO, DEBORAH</t>
  </si>
  <si>
    <t>HILL, ANDRE D</t>
  </si>
  <si>
    <t>CANO, MARGARITA</t>
  </si>
  <si>
    <t>MONCADA, MARCIA</t>
  </si>
  <si>
    <t>GONZALES, OLAYA</t>
  </si>
  <si>
    <t>LOYA, ERIKA J</t>
  </si>
  <si>
    <t>MUNOZ, MARTIN</t>
  </si>
  <si>
    <t>GURROLA, JAIME</t>
  </si>
  <si>
    <t>GRIJALVA, LESLIE E</t>
  </si>
  <si>
    <t>BELMONTES, MARIA I</t>
  </si>
  <si>
    <t>ALMEIDA, CONCEPCION Y</t>
  </si>
  <si>
    <t>ROSARIOEREYES, PAMELA</t>
  </si>
  <si>
    <t>VILLANUEVA, KATHERINE M</t>
  </si>
  <si>
    <t>QUINTANILLA, JUAN</t>
  </si>
  <si>
    <t>MACIAS DE ZAMARRIPA, ANTONIA</t>
  </si>
  <si>
    <t>BRYAND OLGUIN, ELVIRA B</t>
  </si>
  <si>
    <t>MARTINEZ, CHRISTOPHER</t>
  </si>
  <si>
    <t>BRADSHER, JAMES R</t>
  </si>
  <si>
    <t>GALLARDO, JOSE</t>
  </si>
  <si>
    <t>HERNANDEZ, LUZ N</t>
  </si>
  <si>
    <t>JONES, DORA A</t>
  </si>
  <si>
    <t>PEREZ, GENOVEVA A</t>
  </si>
  <si>
    <t>WHEELER, MARIA</t>
  </si>
  <si>
    <t>MARQUEZ, ELIA R</t>
  </si>
  <si>
    <t>TORRES, JUAN</t>
  </si>
  <si>
    <t>BROWN, BRIAN D</t>
  </si>
  <si>
    <t>GUILLEN, SONIA P</t>
  </si>
  <si>
    <t>BASOCO, MARTHA B</t>
  </si>
  <si>
    <t>MARTINEZ, JUANA</t>
  </si>
  <si>
    <t>RODRIGUEZ, FRANCISCO</t>
  </si>
  <si>
    <t>SOLIS, ANTONIA</t>
  </si>
  <si>
    <t>SERRANO, LEONARDO</t>
  </si>
  <si>
    <t>RODRIGUEZ, ABBIE S</t>
  </si>
  <si>
    <t>DELGADO, IRMA</t>
  </si>
  <si>
    <t>LOFGREN, RICHARD N</t>
  </si>
  <si>
    <t>GOMEZ, MARDONIA</t>
  </si>
  <si>
    <t>DE PICHARDO, MARGARITA</t>
  </si>
  <si>
    <t>ROBERSON, ELBIA</t>
  </si>
  <si>
    <t>ALARCON, REBECA</t>
  </si>
  <si>
    <t>RUEDA, LEONARDO</t>
  </si>
  <si>
    <t>VAZQUEZ, JEANETTE</t>
  </si>
  <si>
    <t>ACOSTA, ROBERT</t>
  </si>
  <si>
    <t>ANDRADE, DAMIAN</t>
  </si>
  <si>
    <t>SMITH, JESSICA D</t>
  </si>
  <si>
    <t>OGLE, HAYRIYE</t>
  </si>
  <si>
    <t>CISZEK, CHLOE A</t>
  </si>
  <si>
    <t>ESCOBAR, FRANK A</t>
  </si>
  <si>
    <t>TRAINNOR, SHANNON</t>
  </si>
  <si>
    <t>BROCK, JEFFERY</t>
  </si>
  <si>
    <t>BARRAZA, VICTORIA</t>
  </si>
  <si>
    <t>SALAS, ELENA N</t>
  </si>
  <si>
    <t>KNUDSON, KENNETH W</t>
  </si>
  <si>
    <t>OCHOA, ENRIQUE</t>
  </si>
  <si>
    <t>ENGELDINGER, BARBARA J</t>
  </si>
  <si>
    <t>DIAZ, PATRICIA V</t>
  </si>
  <si>
    <t>VIDALEZ, FRANK</t>
  </si>
  <si>
    <t>CHACON DE PINON, MARIA D</t>
  </si>
  <si>
    <t>CORDOVA, NINFA</t>
  </si>
  <si>
    <t>HARPER, CHARLES S</t>
  </si>
  <si>
    <t>ARRIOLA, DAVID</t>
  </si>
  <si>
    <t>MARTINEZ, OSCAR A</t>
  </si>
  <si>
    <t>TAPIA, CARLOS R</t>
  </si>
  <si>
    <t>SONNIER, STACY C</t>
  </si>
  <si>
    <t>SANCHEZ, DELIA G</t>
  </si>
  <si>
    <t>MONROE, RITCHIE</t>
  </si>
  <si>
    <t>QUEZADA, ALMA</t>
  </si>
  <si>
    <t>DEL HIERRO, MARTHA E</t>
  </si>
  <si>
    <t>CASTILLO, ROSE M</t>
  </si>
  <si>
    <t>ZUBIA, CRUZ</t>
  </si>
  <si>
    <t>HERNANDEZ, ROSA M</t>
  </si>
  <si>
    <t>SCANK, LARRY L</t>
  </si>
  <si>
    <t>CORTEZ, CRESENCIO A</t>
  </si>
  <si>
    <t>ESTRADA, KARI E</t>
  </si>
  <si>
    <t>VALLES, SERGIO</t>
  </si>
  <si>
    <t>FLORES, JOSE R</t>
  </si>
  <si>
    <t>RADKE, KARL</t>
  </si>
  <si>
    <t>HARPER, CYNTHIA S</t>
  </si>
  <si>
    <t>MORENO, JUANA</t>
  </si>
  <si>
    <t>MONTALVO, ROSA M</t>
  </si>
  <si>
    <t>DURAN, RAMON</t>
  </si>
  <si>
    <t>OLIVAS, IVONNE J</t>
  </si>
  <si>
    <t>UKE, CHIBUIKE J</t>
  </si>
  <si>
    <t>CEBALLOS, MARIA</t>
  </si>
  <si>
    <t>PUCKETT, MARTHA P</t>
  </si>
  <si>
    <t>ROSAS, JONATHAN M</t>
  </si>
  <si>
    <t>RAMIREZ, FRANCISCO</t>
  </si>
  <si>
    <t>SAUCEDO, ABEL</t>
  </si>
  <si>
    <t>BORNEFELD, CHRISTINA M</t>
  </si>
  <si>
    <t>CHESAK, FRANCIS J</t>
  </si>
  <si>
    <t>OLIVARES, JORGE I</t>
  </si>
  <si>
    <t>DURAN, CHRISTINE N</t>
  </si>
  <si>
    <t>SANTILLAN, ROSA</t>
  </si>
  <si>
    <t>BUENDIA, LUIS R</t>
  </si>
  <si>
    <t>MANZANO, NICHOLAS A</t>
  </si>
  <si>
    <t>YANCEY, SETH A</t>
  </si>
  <si>
    <t>FARLEY, BYRON C</t>
  </si>
  <si>
    <t>ROBEY, EMMA</t>
  </si>
  <si>
    <t>TAVARES, BRANDON</t>
  </si>
  <si>
    <t>ALEGRE, MARTHA</t>
  </si>
  <si>
    <t>ARMENDARIZ, MARIA</t>
  </si>
  <si>
    <t>CONTRERAS, LORENZO</t>
  </si>
  <si>
    <t>SIFUENTES, HECTOR</t>
  </si>
  <si>
    <t>WEATHERLEY, FORREST C</t>
  </si>
  <si>
    <t>RODRIGUEZ, PRISCILLA</t>
  </si>
  <si>
    <t>BENDUSH, JEFFREY F</t>
  </si>
  <si>
    <t>HUIZAR, CARMEN S</t>
  </si>
  <si>
    <t>ROMEU, GREGORY A</t>
  </si>
  <si>
    <t>WITTER, GRACIELA</t>
  </si>
  <si>
    <t>DAMIANI, GIOVANNI</t>
  </si>
  <si>
    <t>AVALOS, VERONICA C</t>
  </si>
  <si>
    <t>FERNANDEZ, ANGELINA</t>
  </si>
  <si>
    <t>TENORIO, ALMA P</t>
  </si>
  <si>
    <t>CARROL, ARELIE</t>
  </si>
  <si>
    <t>MARTINEZ, JOSE</t>
  </si>
  <si>
    <t>GARCIA, LEONARDA</t>
  </si>
  <si>
    <t>SAENZ, ESTELA</t>
  </si>
  <si>
    <t>LEGRETE PEREZ, VICTORIA</t>
  </si>
  <si>
    <t>DAVIS, WILLIAM O</t>
  </si>
  <si>
    <t>SPILLER, HAL D</t>
  </si>
  <si>
    <t>ISLAS, ALVARO</t>
  </si>
  <si>
    <t>GONZALES, TERESA</t>
  </si>
  <si>
    <t>RODRIGUEZ, EMILIO</t>
  </si>
  <si>
    <t>ATKINS, CORBY</t>
  </si>
  <si>
    <t>SOLANO, MARIXA A</t>
  </si>
  <si>
    <t>NEVAREZ, IDALIA Y</t>
  </si>
  <si>
    <t>FERNANDEZ ORTEGA, HECTOR V</t>
  </si>
  <si>
    <t>SANCHEZ, ARMANDO</t>
  </si>
  <si>
    <t>SANCHEZ, GUADALUPE H</t>
  </si>
  <si>
    <t>TAYLOR, DANIEL</t>
  </si>
  <si>
    <t>ZARAGOZA, CHRISTOPHER</t>
  </si>
  <si>
    <t>PADAONG, ODILON A</t>
  </si>
  <si>
    <t>MORALES, PATRICIA M</t>
  </si>
  <si>
    <t>HERRERA, MARIA D</t>
  </si>
  <si>
    <t>THOMAS, BETTY J</t>
  </si>
  <si>
    <t>FUYIVARA, LETICIA</t>
  </si>
  <si>
    <t>RIOJAS, LUCY D</t>
  </si>
  <si>
    <t>RODRIGUEZ, RALPH</t>
  </si>
  <si>
    <t>DURAN, ROSINA E</t>
  </si>
  <si>
    <t>DIAZ, YARA C</t>
  </si>
  <si>
    <t>OROZCO RODRIGUEZ, JULIO C</t>
  </si>
  <si>
    <t>TELLEZ, JASON A</t>
  </si>
  <si>
    <t>AMOR, REYNALDO</t>
  </si>
  <si>
    <t>SANTIAGO, HENRY</t>
  </si>
  <si>
    <t>MUNOZ, LUIS M</t>
  </si>
  <si>
    <t>SIDA, JUNE A</t>
  </si>
  <si>
    <t>ENRIQUEZ, HERMELINDA</t>
  </si>
  <si>
    <t>DURON, ANNABEL</t>
  </si>
  <si>
    <t>VAQUERA, ROSA D</t>
  </si>
  <si>
    <t>SAAVEDRA, JACOB D</t>
  </si>
  <si>
    <t>NATIVIDAD, TOBY</t>
  </si>
  <si>
    <t>CANO CHIBLI, JENNY</t>
  </si>
  <si>
    <t>GALLENTINE, JUTTA J</t>
  </si>
  <si>
    <t>GALLARDO, LORRIE ANN</t>
  </si>
  <si>
    <t>MONAREZ, MARIA T</t>
  </si>
  <si>
    <t>MOORE, DEBORAH</t>
  </si>
  <si>
    <t>RIVERA BRIONES, BELINDA</t>
  </si>
  <si>
    <t>ROMERO, MARIA L</t>
  </si>
  <si>
    <t>ARAIZA, LINO</t>
  </si>
  <si>
    <t>DUBOWITZ, EDWARD B</t>
  </si>
  <si>
    <t>JENKINS, RICHARD A</t>
  </si>
  <si>
    <t>CARRILLO, NORMA</t>
  </si>
  <si>
    <t>DOWNEY, BRENDAN R</t>
  </si>
  <si>
    <t>KOLLMANSBERGER, KELSEA J</t>
  </si>
  <si>
    <t>THOMAS, BLANCA E</t>
  </si>
  <si>
    <t>SILVA- FRANCO, ALVARO</t>
  </si>
  <si>
    <t>VILLEGAS- PALOFOX, ISAIAS</t>
  </si>
  <si>
    <t>DOMINGUEZ, MARIA S</t>
  </si>
  <si>
    <t>WAGONER, BLANE</t>
  </si>
  <si>
    <t>RIVERA, FRANCISCO</t>
  </si>
  <si>
    <t>RODRIGUEZ, HECTOR J</t>
  </si>
  <si>
    <t>OCHOA DE PEREZ, IRMA</t>
  </si>
  <si>
    <t>MEDINA, FERNANDO P</t>
  </si>
  <si>
    <t>TORRES, JOANN A</t>
  </si>
  <si>
    <t>CRUZ, MARIA P</t>
  </si>
  <si>
    <t>PRIETO, MARIE B</t>
  </si>
  <si>
    <t>ORCI DE MURGA, JOSEFINA</t>
  </si>
  <si>
    <t>MEJIA, NANCY</t>
  </si>
  <si>
    <t>RUIZ, IDA</t>
  </si>
  <si>
    <t>SIMONDS, GUADALUPE</t>
  </si>
  <si>
    <t>RAMIREZ, GLORIA A</t>
  </si>
  <si>
    <t>ENCISO, HORTENSIA E</t>
  </si>
  <si>
    <t>CARRILLO, GENOVEVA</t>
  </si>
  <si>
    <t>MORA DE GUERRERO, LETICIA</t>
  </si>
  <si>
    <t>MUNIZ, MARIBEL</t>
  </si>
  <si>
    <t>HODGE, ESTHER</t>
  </si>
  <si>
    <t>KESSLER, MAGDALENA D</t>
  </si>
  <si>
    <t>WILDERMUTH, CORBIN R</t>
  </si>
  <si>
    <t>RODRIGUEZ, JESUS A</t>
  </si>
  <si>
    <t>CASTILLO, LETICIA</t>
  </si>
  <si>
    <t>REYES, ELIZABETH</t>
  </si>
  <si>
    <t>GALLEGOS, JOSEFINA</t>
  </si>
  <si>
    <t>TENORIO, MARTHA</t>
  </si>
  <si>
    <t>ORTIZ, VICTOR</t>
  </si>
  <si>
    <t>SOUTHERN, DEANNA</t>
  </si>
  <si>
    <t>QUIROZ, LUZ M</t>
  </si>
  <si>
    <t>MOLINAR, JOSE L</t>
  </si>
  <si>
    <t>AVILA, ANDRES P</t>
  </si>
  <si>
    <t>SPRUELL, LANELLE</t>
  </si>
  <si>
    <t>WINDSOR, JEANNE</t>
  </si>
  <si>
    <t>WILSON, TERESA</t>
  </si>
  <si>
    <t>MUNOZ, ERIKA</t>
  </si>
  <si>
    <t>VALLEJO, ARIEL R</t>
  </si>
  <si>
    <t>MORA, ERIKA J</t>
  </si>
  <si>
    <t>ESCOBEDO, SAMUEL R</t>
  </si>
  <si>
    <t>POWELL, EDWARD</t>
  </si>
  <si>
    <t>ESCOBEDO, ISELA F</t>
  </si>
  <si>
    <t>SERNA, ALAN M</t>
  </si>
  <si>
    <t>PINON, PRISCILLA R</t>
  </si>
  <si>
    <t>MORENO, ERNESTO</t>
  </si>
  <si>
    <t>BROOKS, RICHARD C</t>
  </si>
  <si>
    <t>ONATE, MARIA C</t>
  </si>
  <si>
    <t>MENDOZA, JOSE</t>
  </si>
  <si>
    <t>GREEN, JONATHAN J</t>
  </si>
  <si>
    <t>MCRAE, JOANN C</t>
  </si>
  <si>
    <t>ROMO, JOE D</t>
  </si>
  <si>
    <t>CASALETTO, KENNETH A</t>
  </si>
  <si>
    <t>VARELA, JAMES</t>
  </si>
  <si>
    <t>ANCHONDO, OSCAR R</t>
  </si>
  <si>
    <t>MARTINEZ, SERGIO</t>
  </si>
  <si>
    <t>ONEILL, ZACHARY T</t>
  </si>
  <si>
    <t>DEAR, MARCUS</t>
  </si>
  <si>
    <t>TURNER, HELEN L</t>
  </si>
  <si>
    <t>SCHOEMANN, ALFREDO</t>
  </si>
  <si>
    <t>BOURBON, DARLEEN</t>
  </si>
  <si>
    <t>HAHN, FREDERICK</t>
  </si>
  <si>
    <t>LARA, JOSE G</t>
  </si>
  <si>
    <t>WHITE, JENNICE L</t>
  </si>
  <si>
    <t>VEGA, RAMIRO</t>
  </si>
  <si>
    <t>RUANO, LILIANA E</t>
  </si>
  <si>
    <t>FRAIZIER, LUZ</t>
  </si>
  <si>
    <t>POINDEXTER, JANAY R</t>
  </si>
  <si>
    <t>CANO RUIZ, DAISY</t>
  </si>
  <si>
    <t>CABAZA, JOSHUA T</t>
  </si>
  <si>
    <t>RIVERA FERNANDEZ, LUIS A</t>
  </si>
  <si>
    <t>DELGADO, DIEGO</t>
  </si>
  <si>
    <t>DELGADO, ARMANDO</t>
  </si>
  <si>
    <t>DELGADO, MYRNA</t>
  </si>
  <si>
    <t>VILCHIS, MARIA E</t>
  </si>
  <si>
    <t>RIOS, OVED</t>
  </si>
  <si>
    <t>MEDINA PEREZ, MARGARITA</t>
  </si>
  <si>
    <t>RAMIREZ, FLORENTINO</t>
  </si>
  <si>
    <t>HERRERA, JENNIFER</t>
  </si>
  <si>
    <t>SANCHEZ, NATALIA G</t>
  </si>
  <si>
    <t>ORNELAS, RAMON B</t>
  </si>
  <si>
    <t>CASTRO, SYLVIA</t>
  </si>
  <si>
    <t>FALK, HUNTER G</t>
  </si>
  <si>
    <t>QUINTANA, CYNTHIA</t>
  </si>
  <si>
    <t>DURAN, MANUELA</t>
  </si>
  <si>
    <t>LIRA, RODOLFO</t>
  </si>
  <si>
    <t>FENTON, ALLISON M</t>
  </si>
  <si>
    <t>DIAZ, JUAN A</t>
  </si>
  <si>
    <t>ZACARIAS, IGNACIO</t>
  </si>
  <si>
    <t>MATA, RENE</t>
  </si>
  <si>
    <t>AMAYA, LUIS C</t>
  </si>
  <si>
    <t>ROCHA, DANIEL</t>
  </si>
  <si>
    <t>RAMIREZ, JOSE A</t>
  </si>
  <si>
    <t>ARMENDARIZ, MARTHA A</t>
  </si>
  <si>
    <t>OCHOA, PEDRO</t>
  </si>
  <si>
    <t>MCMAHEN, ANGIE</t>
  </si>
  <si>
    <t>ROJAS, FELICIANA</t>
  </si>
  <si>
    <t>DOZAL, ANTONIA C</t>
  </si>
  <si>
    <t>RODARTE, RODOLFO</t>
  </si>
  <si>
    <t>TERAN, ROBERT E</t>
  </si>
  <si>
    <t>VARELA, CARMEN</t>
  </si>
  <si>
    <t>SMITH, TERRY A</t>
  </si>
  <si>
    <t>ESPINOZA, MARIA L</t>
  </si>
  <si>
    <t>SOTELO, JESSICA</t>
  </si>
  <si>
    <t>DIETER, RICHARD C</t>
  </si>
  <si>
    <t>DILLEY, ERIC L</t>
  </si>
  <si>
    <t>CASTILLO, SOLEDAD</t>
  </si>
  <si>
    <t>LOPEZ, ERIC A</t>
  </si>
  <si>
    <t>MIRELES, SOLEDAD L</t>
  </si>
  <si>
    <t>SANCHEZ, RICHARD</t>
  </si>
  <si>
    <t>MCCAA, MICHAEL T</t>
  </si>
  <si>
    <t>CASILLAS, BENIGNO</t>
  </si>
  <si>
    <t>CAMARGO MEDINA, JOSE E</t>
  </si>
  <si>
    <t>HERNANDEZ, MARIA S</t>
  </si>
  <si>
    <t>HALL, LIAM A</t>
  </si>
  <si>
    <t>ALDERETE, STEPHANIE H</t>
  </si>
  <si>
    <t>HERNANDEZ, ELIZABETH</t>
  </si>
  <si>
    <t>CUELLAR, SUSAN E</t>
  </si>
  <si>
    <t>RUBIO, BERNABE</t>
  </si>
  <si>
    <t>ESPARZA, MARIE P</t>
  </si>
  <si>
    <t>MCGUINNESS, BRIAN</t>
  </si>
  <si>
    <t>CARDENAS, ASCENSION</t>
  </si>
  <si>
    <t>RODRIGUEZ, FRANCISCA</t>
  </si>
  <si>
    <t>DURYEE, ANTONIA M</t>
  </si>
  <si>
    <t>FAJARDO, DEBORAH A</t>
  </si>
  <si>
    <t>MORENO, JESUS</t>
  </si>
  <si>
    <t>PINEDA, MIGUEL A</t>
  </si>
  <si>
    <t>CANELO, CAITLIN M</t>
  </si>
  <si>
    <t>COLEMAN, LESSIE B</t>
  </si>
  <si>
    <t>COLARICH LENGHI, AMBRA</t>
  </si>
  <si>
    <t>DE LA CRUZ, FRANCIS G</t>
  </si>
  <si>
    <t>GUTIERREZ, VICTOR</t>
  </si>
  <si>
    <t>GOMEZ, BRIANA M</t>
  </si>
  <si>
    <t>ZENTZ, FREDERICK A</t>
  </si>
  <si>
    <t>AGUILAR, ANGEL M</t>
  </si>
  <si>
    <t>ORTIZ, ANA C</t>
  </si>
  <si>
    <t>LEGARRETTA, MARIA M</t>
  </si>
  <si>
    <t>GUTIERREZ, YVETTE</t>
  </si>
  <si>
    <t>CASTILLO, GUADALUPE</t>
  </si>
  <si>
    <t>CADENA, JESUS E</t>
  </si>
  <si>
    <t>NUNEZ, MARICELA</t>
  </si>
  <si>
    <t>KOONS, JUSTIN A</t>
  </si>
  <si>
    <t>REYES, CANDIDA L</t>
  </si>
  <si>
    <t>ESPINO, JAIME</t>
  </si>
  <si>
    <t>MEDINA, ALFONSO</t>
  </si>
  <si>
    <t>REZA SALAS, MARIA</t>
  </si>
  <si>
    <t>BROBERG, CHRISTINE</t>
  </si>
  <si>
    <t>STEWART, BRETT H</t>
  </si>
  <si>
    <t>CALDERA, ALEJANDRA</t>
  </si>
  <si>
    <t>ALVARADO, DORA I</t>
  </si>
  <si>
    <t>MILNER, AMANDA E</t>
  </si>
  <si>
    <t>MOLESWORTH, MORGAN L</t>
  </si>
  <si>
    <t>POTHUMANCHI, VIVEK</t>
  </si>
  <si>
    <t>HERRERA, FRANCISCO</t>
  </si>
  <si>
    <t>SILVA MARTINEZ, PEDRO</t>
  </si>
  <si>
    <t>CARDONA, JUAN</t>
  </si>
  <si>
    <t>MIJARES, MARIA</t>
  </si>
  <si>
    <t>SIMMONS, KASSONDRA R</t>
  </si>
  <si>
    <t>PEREZ, MARIA E</t>
  </si>
  <si>
    <t>MEZA, MANUEL</t>
  </si>
  <si>
    <t>CHAVEZ, GENARO</t>
  </si>
  <si>
    <t>SAENZ, ROSA M</t>
  </si>
  <si>
    <t>JACQUEZ, BENJAMIN M</t>
  </si>
  <si>
    <t>ADAME, SANDRA</t>
  </si>
  <si>
    <t>CENICEROS, REBECCA C</t>
  </si>
  <si>
    <t>GUERRERO, DIANA</t>
  </si>
  <si>
    <t>CHALMERS, KRISTY B</t>
  </si>
  <si>
    <t>SMITH, QUINN J</t>
  </si>
  <si>
    <t>FLORES, ANA</t>
  </si>
  <si>
    <t>AMADOR, JOSE R</t>
  </si>
  <si>
    <t>BLUM, ANGELEA D</t>
  </si>
  <si>
    <t>MOORE, DELMAR</t>
  </si>
  <si>
    <t>RIOS, LILIA R</t>
  </si>
  <si>
    <t>VILLEGAS, IMELDA</t>
  </si>
  <si>
    <t>BOOHER, BONNIE L</t>
  </si>
  <si>
    <t>OLIVER, TIFFANY G</t>
  </si>
  <si>
    <t>MONDRAGON, EFREN</t>
  </si>
  <si>
    <t>ROMERO, PATRICIA</t>
  </si>
  <si>
    <t>ANAYA, INOCENTE</t>
  </si>
  <si>
    <t>RAMOS, SUSANA</t>
  </si>
  <si>
    <t>ODRIOZOLA, ANGEL K</t>
  </si>
  <si>
    <t>CONTRERAS, MELANIE</t>
  </si>
  <si>
    <t>CAMARILLO, MARIA E</t>
  </si>
  <si>
    <t>CAMPOS, CARLOS</t>
  </si>
  <si>
    <t>MENDOZA, BELIA</t>
  </si>
  <si>
    <t>MATTHEWS, JOHNNY J</t>
  </si>
  <si>
    <t>ORONA, SERGIO</t>
  </si>
  <si>
    <t>BELL, MARGARITA</t>
  </si>
  <si>
    <t>HOWELL, LISA L</t>
  </si>
  <si>
    <t>RODRIGUEZ, LARRY M</t>
  </si>
  <si>
    <t>PONCE, MARIA ELENA</t>
  </si>
  <si>
    <t>BRANDON, MICHAEL</t>
  </si>
  <si>
    <t>ORTEGON, JACKIE T</t>
  </si>
  <si>
    <t>TEST, JANET V</t>
  </si>
  <si>
    <t>SCOTT, CLIFFORD</t>
  </si>
  <si>
    <t>IGUALA, ADAN</t>
  </si>
  <si>
    <t>CENA, SOLEDAD</t>
  </si>
  <si>
    <t>MAGDALENO RODRIGUEZ, ALFONSO</t>
  </si>
  <si>
    <t>HERRERA, CONCEPCION</t>
  </si>
  <si>
    <t>DAOUDI, MAY H</t>
  </si>
  <si>
    <t>ORTEGA, JOSE L</t>
  </si>
  <si>
    <t>PETERS, DAVID L</t>
  </si>
  <si>
    <t>BROOKS, KELLY</t>
  </si>
  <si>
    <t>ESCOBEDO, MANUEL E</t>
  </si>
  <si>
    <t>JOHNSON, JOE I</t>
  </si>
  <si>
    <t>URQUIZA, JESUS M</t>
  </si>
  <si>
    <t>MONTELONGO, CECILIA</t>
  </si>
  <si>
    <t>RODRIGUEZ, LAURA M</t>
  </si>
  <si>
    <t>MCRAE, JONATHAN S</t>
  </si>
  <si>
    <t>MENDOZA, VICTORIA B</t>
  </si>
  <si>
    <t>GURROLA, SELENA</t>
  </si>
  <si>
    <t>RAMIREZ, VENESSA</t>
  </si>
  <si>
    <t>CHRISTOPHERSON, MARY M</t>
  </si>
  <si>
    <t>CHAVEZ, ALMA R</t>
  </si>
  <si>
    <t>NUNEZ, ARTURO</t>
  </si>
  <si>
    <t>MOLINAR, JESUS</t>
  </si>
  <si>
    <t>MORALES, ELEUTERIA A</t>
  </si>
  <si>
    <t>MARQUEZ, VERONICA M</t>
  </si>
  <si>
    <t>CALDERON, EVA M</t>
  </si>
  <si>
    <t>SAENZ, CARMEN</t>
  </si>
  <si>
    <t>AGUILAR, VELIA L</t>
  </si>
  <si>
    <t>FERNANDEZ, RICARDO E. R</t>
  </si>
  <si>
    <t>CENICEROS, RAUL E</t>
  </si>
  <si>
    <t>MARTINEZ, PEDRO U</t>
  </si>
  <si>
    <t>FORRESTAL, DENNIS Q</t>
  </si>
  <si>
    <t>ERIVES, OSCAR</t>
  </si>
  <si>
    <t>MOORE, GARY E</t>
  </si>
  <si>
    <t>SAENZ, CHRIS</t>
  </si>
  <si>
    <t>MCDONALD, JOSE</t>
  </si>
  <si>
    <t>VIGIL, GRACIE</t>
  </si>
  <si>
    <t>JOHNSON, STEVEN T</t>
  </si>
  <si>
    <t>LEYVA, NAOMI</t>
  </si>
  <si>
    <t>MUNIZ, DONALD</t>
  </si>
  <si>
    <t>PASANEN, ELSA M</t>
  </si>
  <si>
    <t>GONZALEZ, LETICIA L</t>
  </si>
  <si>
    <t>LUJAN, ELPIDIA</t>
  </si>
  <si>
    <t>MURGA, JESUS A</t>
  </si>
  <si>
    <t>ALVARADO, JACQUELINE</t>
  </si>
  <si>
    <t>OCHOA, SAVANNAH</t>
  </si>
  <si>
    <t>CHAVEZ, MARGARITA</t>
  </si>
  <si>
    <t>CLAIBORNE, SANDRA</t>
  </si>
  <si>
    <t>WARREN, MELISSA D</t>
  </si>
  <si>
    <t>CABRAL, ALMA</t>
  </si>
  <si>
    <t>GARCIA, CATALINA</t>
  </si>
  <si>
    <t>LOPEZ, ALICIA P</t>
  </si>
  <si>
    <t>RUIZ PEREZ, MARIA I</t>
  </si>
  <si>
    <t>HERNANDEZ, MARTHA C</t>
  </si>
  <si>
    <t>CASSELLS, MARIA Q</t>
  </si>
  <si>
    <t>DUNCAN, ROBERT K</t>
  </si>
  <si>
    <t>GONZALEZ, ASHLEY</t>
  </si>
  <si>
    <t>PETERSEN, SUSANA</t>
  </si>
  <si>
    <t>GONZALEZ, ADRIAN J</t>
  </si>
  <si>
    <t>SANCHEZ, MARIA C</t>
  </si>
  <si>
    <t>ONATE, GENOVEVA S</t>
  </si>
  <si>
    <t>ARMENDARIZ, BLANCA A</t>
  </si>
  <si>
    <t>SULIVERES, ANGEL L</t>
  </si>
  <si>
    <t>MCLELLAN, ENEDINA</t>
  </si>
  <si>
    <t>HISA, MICHELE</t>
  </si>
  <si>
    <t>CORRAL, RUBEN</t>
  </si>
  <si>
    <t>NORMAN, JESSICA</t>
  </si>
  <si>
    <t>OLMOS, HUGO</t>
  </si>
  <si>
    <t>LOPEZ DE CAMARILLO, GUADALUPE</t>
  </si>
  <si>
    <t>MAGDALENO ALVAREZ, FRANCISCO</t>
  </si>
  <si>
    <t>SANTIESTEBAN, CLAUDIA</t>
  </si>
  <si>
    <t>BARRERA, ROEL</t>
  </si>
  <si>
    <t>PATTERSON, EVA</t>
  </si>
  <si>
    <t>FLORES, CHRISTOPHER R</t>
  </si>
  <si>
    <t>GALLARDO, MARIA DE JESUS</t>
  </si>
  <si>
    <t>GARCIA, SERENITY S</t>
  </si>
  <si>
    <t>BENAVIDES, MANUEL A</t>
  </si>
  <si>
    <t>BURCIAGA, FRANCISCA E</t>
  </si>
  <si>
    <t>LOPEZ, MARIA S</t>
  </si>
  <si>
    <t>CERVERA, DAVID R</t>
  </si>
  <si>
    <t>PORTILLO, REFUGIO M</t>
  </si>
  <si>
    <t>BARRAZA, DAVID</t>
  </si>
  <si>
    <t>PEREZ, ENRIQUE M</t>
  </si>
  <si>
    <t>MOLITOR, RANCE</t>
  </si>
  <si>
    <t>RODRIGUEZ, MARIA T</t>
  </si>
  <si>
    <t>RUIZ, IVAN</t>
  </si>
  <si>
    <t>ALVARADO, KRYSTAL H</t>
  </si>
  <si>
    <t>GUADIAN, VERONICA</t>
  </si>
  <si>
    <t>VALTIERRA, JOEL J</t>
  </si>
  <si>
    <t>LOZADA, EVANGELINA</t>
  </si>
  <si>
    <t>PALOMO, VENESSA L</t>
  </si>
  <si>
    <t>CARRILLO, MARIA B</t>
  </si>
  <si>
    <t>ARAIZA, GUADALUPE</t>
  </si>
  <si>
    <t>JUAREZ, ARMANDO M</t>
  </si>
  <si>
    <t>TORRES, VICTOR M</t>
  </si>
  <si>
    <t>MENDIOLA, JOSE G</t>
  </si>
  <si>
    <t>MENDIOLA, GENOVEVA</t>
  </si>
  <si>
    <t>DUENAS, LILIA</t>
  </si>
  <si>
    <t>BERMUDEZ, LORETO</t>
  </si>
  <si>
    <t>HENNES, RONALD K</t>
  </si>
  <si>
    <t>CASTREJON, HERLINDA R</t>
  </si>
  <si>
    <t>CARDIEL, CECILIA Z</t>
  </si>
  <si>
    <t>CADENA, SAUL R</t>
  </si>
  <si>
    <t>WHITAKER, GUADALUPE</t>
  </si>
  <si>
    <t>GRISANTI, ROGELIO</t>
  </si>
  <si>
    <t>OSTOS, JOSUE</t>
  </si>
  <si>
    <t>DOTTER, JENNIFER R</t>
  </si>
  <si>
    <t>RUIZ, JOSE A</t>
  </si>
  <si>
    <t>RODRIGUEZ, OLIVIA</t>
  </si>
  <si>
    <t>MUNIZ, ISRAEL</t>
  </si>
  <si>
    <t>BAUER, DEBORAH L</t>
  </si>
  <si>
    <t>GARNER-BECKNELL, HEATHER A</t>
  </si>
  <si>
    <t>STRINGFIELD, DAVID A</t>
  </si>
  <si>
    <t>OCHOA, ANTONIA</t>
  </si>
  <si>
    <t>GARDEA, ROSA M</t>
  </si>
  <si>
    <t>GARCIA, BRENDA S</t>
  </si>
  <si>
    <t>RIVERA, ROBERT</t>
  </si>
  <si>
    <t>GUZMAN, ABRAHAM D</t>
  </si>
  <si>
    <t>SANCHEZ, MELISSA B</t>
  </si>
  <si>
    <t>RIVERA, ADELA</t>
  </si>
  <si>
    <t>OCHOA-MIRANDA, BENITA</t>
  </si>
  <si>
    <t>RAMIREZ, LINDA P</t>
  </si>
  <si>
    <t>DAVIS, MARIEL Q</t>
  </si>
  <si>
    <t>ROSS, EVELYN L</t>
  </si>
  <si>
    <t>ROSALES, MARISELA</t>
  </si>
  <si>
    <t>MCALEER, KAREN</t>
  </si>
  <si>
    <t>DEL VALLE, ISELA</t>
  </si>
  <si>
    <t>ALBISUREZ, EDGAR G</t>
  </si>
  <si>
    <t>SARRELS, THADD</t>
  </si>
  <si>
    <t>RAMIREZ, LINDA S</t>
  </si>
  <si>
    <t>HERNANDEZ, PAMELA</t>
  </si>
  <si>
    <t>PORTILLO, CARLOS</t>
  </si>
  <si>
    <t>VENTURA, JAVIER</t>
  </si>
  <si>
    <t>BRYNER, CASSANDRA</t>
  </si>
  <si>
    <t>PRYEAR, DANIEL</t>
  </si>
  <si>
    <t>VILLALBA, VANESSA</t>
  </si>
  <si>
    <t>ORTIZ, JOSE</t>
  </si>
  <si>
    <t>FAVELA, ALEJANDRO</t>
  </si>
  <si>
    <t>MARQUEZ, ESMERALDA</t>
  </si>
  <si>
    <t>PEREZ, MIGUEL ANGEL</t>
  </si>
  <si>
    <t>BERMUDEZ, ISAAC</t>
  </si>
  <si>
    <t>ALVAREZ, MICHEL</t>
  </si>
  <si>
    <t>ROCHA, JOSE</t>
  </si>
  <si>
    <t>MORENO, RUBEN A</t>
  </si>
  <si>
    <t>PINAL, DEBRA A</t>
  </si>
  <si>
    <t>ROJAS, STEPHANIE</t>
  </si>
  <si>
    <t>HOGANSON, JERRY</t>
  </si>
  <si>
    <t>ZUNIGA DE ESTRADA, LORENA</t>
  </si>
  <si>
    <t>VASQUEZ, JACOB J</t>
  </si>
  <si>
    <t>RUTLEDGE, KAY C</t>
  </si>
  <si>
    <t>DOMINGUEZ, OSCAR A</t>
  </si>
  <si>
    <t>HERNANDEZ, MARIA</t>
  </si>
  <si>
    <t>CARRASCO, CAROLINA D</t>
  </si>
  <si>
    <t>HOWARD, THELMA E</t>
  </si>
  <si>
    <t>STOUT, JUDITH K</t>
  </si>
  <si>
    <t>SANCHEZ, JIMMY</t>
  </si>
  <si>
    <t>ELICERIO ROBLES, EMILIANO</t>
  </si>
  <si>
    <t>GUTIERREZ, ALYSSA</t>
  </si>
  <si>
    <t>MENDOZA, MANUEL</t>
  </si>
  <si>
    <t>CARRILLO, LILIANA</t>
  </si>
  <si>
    <t>BECERRA, JAVIER</t>
  </si>
  <si>
    <t>CONTRERAS, LEANNA</t>
  </si>
  <si>
    <t>CHESAK, MICHAEL F</t>
  </si>
  <si>
    <t>RUIZ, ELIZABETH</t>
  </si>
  <si>
    <t>LEYVA, YARAGISEL</t>
  </si>
  <si>
    <t>BARAJAS, MELISSA M</t>
  </si>
  <si>
    <t>SALINAS, BELIA</t>
  </si>
  <si>
    <t>MARTIN DEL CAMPO, LILIANA</t>
  </si>
  <si>
    <t>NOAH, CAROLYN S</t>
  </si>
  <si>
    <t>GORDON, TRACY</t>
  </si>
  <si>
    <t>CASTORENA, MARTHA</t>
  </si>
  <si>
    <t>HERNANDEZ MARQUEZ, VICTOR H</t>
  </si>
  <si>
    <t>DARANCOU, YVONNE</t>
  </si>
  <si>
    <t>KOPECKY, TED F</t>
  </si>
  <si>
    <t>DE LEON, MARIA C</t>
  </si>
  <si>
    <t>ZAMORA, FRANCES</t>
  </si>
  <si>
    <t>DAVILA, ELSA</t>
  </si>
  <si>
    <t>DAVILA, CHRISTIAN</t>
  </si>
  <si>
    <t>MORALES, DELIA</t>
  </si>
  <si>
    <t>WILSON, DONNA K</t>
  </si>
  <si>
    <t>LEYVA, ANDREW R</t>
  </si>
  <si>
    <t>GUTIERREZ, MARISSA J</t>
  </si>
  <si>
    <t>LORA, JENNIE</t>
  </si>
  <si>
    <t>RUBIO, ESTANISLADO</t>
  </si>
  <si>
    <t>VASQUEZ, HECTOR</t>
  </si>
  <si>
    <t>MARQUEZ, MARIA G</t>
  </si>
  <si>
    <t>DOMINGUEZ, JULIE N</t>
  </si>
  <si>
    <t>BUCK, JIMMY D</t>
  </si>
  <si>
    <t>LOPEZ, GUADALUPE</t>
  </si>
  <si>
    <t>CHOZA, REBECA H</t>
  </si>
  <si>
    <t>LOPEZ, JUANA L</t>
  </si>
  <si>
    <t>BEASLE, NICHOLAS R</t>
  </si>
  <si>
    <t>CRUZ, BLANCA</t>
  </si>
  <si>
    <t>UBANYIONWU, GODWIN I</t>
  </si>
  <si>
    <t>GUEVARA, RAUL E</t>
  </si>
  <si>
    <t>ROBLES, RENE</t>
  </si>
  <si>
    <t>CAMPOS, MIRIAM</t>
  </si>
  <si>
    <t>ORTIZ, CYNTHIA R</t>
  </si>
  <si>
    <t>MORENO, EDUARDO R</t>
  </si>
  <si>
    <t>ROSALES DE RAMIREZ, MARIA</t>
  </si>
  <si>
    <t>BROWN, SHAWN R</t>
  </si>
  <si>
    <t>HANNAH, OFELIA O</t>
  </si>
  <si>
    <t>MEDINA, JUDITH</t>
  </si>
  <si>
    <t>HOPPER, JOSHUA D</t>
  </si>
  <si>
    <t>DELGADO, FRANCISCO</t>
  </si>
  <si>
    <t>CASTILLO, RAFAEL</t>
  </si>
  <si>
    <t>CHAVEZ, NORMA</t>
  </si>
  <si>
    <t>CAMARGO, LUZ E</t>
  </si>
  <si>
    <t>NUNEZ, ANGELITA</t>
  </si>
  <si>
    <t>AMAYA, GONZALO</t>
  </si>
  <si>
    <t>ADAMS, IAN L</t>
  </si>
  <si>
    <t>ALCANTAR, MICHAEL</t>
  </si>
  <si>
    <t>BLACK, BARBARA J</t>
  </si>
  <si>
    <t>DEEN, MOHAMED</t>
  </si>
  <si>
    <t>GUTIERREZ, GABRIELA</t>
  </si>
  <si>
    <t>SALGADO, FELIPE G</t>
  </si>
  <si>
    <t>URIAS, MAURILIO</t>
  </si>
  <si>
    <t>VILLALOBOS, MARY M</t>
  </si>
  <si>
    <t>CAMPBELL, ALESHA</t>
  </si>
  <si>
    <t>FALCON, YOLANDA</t>
  </si>
  <si>
    <t>MCWILLIAMS, DETONI A</t>
  </si>
  <si>
    <t>CLARK, PATRICK T</t>
  </si>
  <si>
    <t>AGUIRRE, LUIS</t>
  </si>
  <si>
    <t>ORTIZ, GERMAN</t>
  </si>
  <si>
    <t>WILSON, JEAN A</t>
  </si>
  <si>
    <t>SAUCEDO, ADRIANA</t>
  </si>
  <si>
    <t>MARSH, LINDA</t>
  </si>
  <si>
    <t>DELGADILLO, CATHY</t>
  </si>
  <si>
    <t>TOLDT, ARNOLD G</t>
  </si>
  <si>
    <t>MARTELL, SAUL L</t>
  </si>
  <si>
    <t>SALGADO, ALBERT</t>
  </si>
  <si>
    <t>ROLAND, HEATHER M</t>
  </si>
  <si>
    <t>FRAHN, CRAIG A</t>
  </si>
  <si>
    <t>JARAMILLO, GUADALUPE M</t>
  </si>
  <si>
    <t>MONTES, DAVID</t>
  </si>
  <si>
    <t>PEPI, OLGA</t>
  </si>
  <si>
    <t>MORALES, FRANCISCO</t>
  </si>
  <si>
    <t>RUIZ, MARIA</t>
  </si>
  <si>
    <t>DIAZ, PEDRO</t>
  </si>
  <si>
    <t>BUCHER, JACQUELINE</t>
  </si>
  <si>
    <t>TELLEZ, SAMUEL</t>
  </si>
  <si>
    <t>ROSAS, JESUS R</t>
  </si>
  <si>
    <t>SEPULVEDA, ROGELIO</t>
  </si>
  <si>
    <t>PAZ, ELVA</t>
  </si>
  <si>
    <t>CONANT, ANDREA L</t>
  </si>
  <si>
    <t>MUNOZ, PRISCILLA</t>
  </si>
  <si>
    <t>MAXWELL, IGANTIUS</t>
  </si>
  <si>
    <t>SANTANA VILLAR, GUADALUPE</t>
  </si>
  <si>
    <t>RINGGOLD, REGINALD</t>
  </si>
  <si>
    <t>BONNER, KRESHA L</t>
  </si>
  <si>
    <t>ADAME, RICARDO</t>
  </si>
  <si>
    <t>ADAME, RAUL</t>
  </si>
  <si>
    <t>POLK, COLLIE J</t>
  </si>
  <si>
    <t>JUAREZ, LUCY</t>
  </si>
  <si>
    <t>VELEZ, JULIO E</t>
  </si>
  <si>
    <t>GRIFFIN, KYMY</t>
  </si>
  <si>
    <t>MCCOY, WILLIAM J</t>
  </si>
  <si>
    <t>FREDERICK, JONATHAN</t>
  </si>
  <si>
    <t>ESPINOZA, MARIA</t>
  </si>
  <si>
    <t>BARBOZA, EMILIO</t>
  </si>
  <si>
    <t>JACKSON, JOHN T</t>
  </si>
  <si>
    <t>GALINDO, HERMILA</t>
  </si>
  <si>
    <t>BERRIOS, ENRIQUE C</t>
  </si>
  <si>
    <t>RODRIGUEZ, DANIEL</t>
  </si>
  <si>
    <t>JIMENEZ, ORLANDO</t>
  </si>
  <si>
    <t>MCKINNEY, MARIA M</t>
  </si>
  <si>
    <t>MORALES, SYLVIA I</t>
  </si>
  <si>
    <t>MARTINEZ, ALFONSO</t>
  </si>
  <si>
    <t>CHAVEZ, LUZ E</t>
  </si>
  <si>
    <t>HOLGUIN, CRISTAL A</t>
  </si>
  <si>
    <t>TANNER, BARBARA A</t>
  </si>
  <si>
    <t>ENRIQUEZ GALLARDO, OCTAVIO</t>
  </si>
  <si>
    <t>COREANO CRESPO, JORGE L</t>
  </si>
  <si>
    <t>RODRIGUEZ, ANA M</t>
  </si>
  <si>
    <t>CHAVEZ, JAIME</t>
  </si>
  <si>
    <t>LOPEZ, LORETO</t>
  </si>
  <si>
    <t>SALCIDO, GLORIA</t>
  </si>
  <si>
    <t>LOPEZ, ANTONIO</t>
  </si>
  <si>
    <t>BACHERT, JACOB R</t>
  </si>
  <si>
    <t>STEPHENS, NATHANIEL J</t>
  </si>
  <si>
    <t>MOLINA, MARGARITA</t>
  </si>
  <si>
    <t>THORNTON, MERTEEN S</t>
  </si>
  <si>
    <t>THOMAS, JOHN</t>
  </si>
  <si>
    <t>REYNOLDS, NELLIE</t>
  </si>
  <si>
    <t>PAISLEY, VICTORIA L</t>
  </si>
  <si>
    <t>SANCHEZ, RUBEN J</t>
  </si>
  <si>
    <t>CASTRO, DELIA</t>
  </si>
  <si>
    <t>ORTIZ, ENRIQUE M</t>
  </si>
  <si>
    <t>PEREZ, CHRISTINA</t>
  </si>
  <si>
    <t>HARTSON, ELIZABETH</t>
  </si>
  <si>
    <t>GARZA PENA, JOHN E</t>
  </si>
  <si>
    <t>MORGA, ELVA L</t>
  </si>
  <si>
    <t>LIEFELD, ROBERT</t>
  </si>
  <si>
    <t>ISLAO, SONIA</t>
  </si>
  <si>
    <t>ANGUIANO, SERGIO</t>
  </si>
  <si>
    <t>MUCINO, VIRGINA</t>
  </si>
  <si>
    <t>CANO, SOCORRO R</t>
  </si>
  <si>
    <t>WHITE, STEPHANIE</t>
  </si>
  <si>
    <t>BLAMO, MCDONALD</t>
  </si>
  <si>
    <t>ADAMS, VICKI</t>
  </si>
  <si>
    <t>RIVERA, ELIZABETH</t>
  </si>
  <si>
    <t>DAVILA, TERRY</t>
  </si>
  <si>
    <t>OLIVA, RAYMUNDO</t>
  </si>
  <si>
    <t>OBERGH, CARMEN Y</t>
  </si>
  <si>
    <t>PEREZ, JORGE A</t>
  </si>
  <si>
    <t>LUJAN, JOSE M</t>
  </si>
  <si>
    <t>TOLMAN, JENNIE L</t>
  </si>
  <si>
    <t>LANDA, MAGDALENA</t>
  </si>
  <si>
    <t>LUCERO, MARIA A</t>
  </si>
  <si>
    <t>GOLD, TREVOR</t>
  </si>
  <si>
    <t>RAMIREZ, JOSEFINA</t>
  </si>
  <si>
    <t>MARTINEZ, ARTURO</t>
  </si>
  <si>
    <t>QUINN, GREGORY D</t>
  </si>
  <si>
    <t>GARCIA, IRMA</t>
  </si>
  <si>
    <t>SUITONU, PETER S</t>
  </si>
  <si>
    <t>BORUNDA, FAITH</t>
  </si>
  <si>
    <t>BLACKBURN, CAMIL</t>
  </si>
  <si>
    <t>BARRAZA, SUSANA</t>
  </si>
  <si>
    <t>SANCHEZ, JULIE</t>
  </si>
  <si>
    <t>TORRES, OSCAR</t>
  </si>
  <si>
    <t>FERNANDEZ, JOE PATRICK S</t>
  </si>
  <si>
    <t>JURADO, JAQUELINE J</t>
  </si>
  <si>
    <t>ROJAS, LUCY J</t>
  </si>
  <si>
    <t>HERNANDEZ, JANET V</t>
  </si>
  <si>
    <t>NGUYEN, BINH N</t>
  </si>
  <si>
    <t>SALAS, EDWARDO</t>
  </si>
  <si>
    <t>RODRIGUEZ, MICAELA R</t>
  </si>
  <si>
    <t>VALENZUELA, JOHN</t>
  </si>
  <si>
    <t>ABRAZADO, DUSTIN P</t>
  </si>
  <si>
    <t>HUTTERER, RICARDO</t>
  </si>
  <si>
    <t>CRISPIN-SALAZAR, NOEMI</t>
  </si>
  <si>
    <t>CAMARGO, JOSE A</t>
  </si>
  <si>
    <t>ZAMORA, YOLANDA R</t>
  </si>
  <si>
    <t>GANDARA, OSCAR</t>
  </si>
  <si>
    <t>CUSHION, JASON</t>
  </si>
  <si>
    <t>RUDD, DALE A</t>
  </si>
  <si>
    <t>VAZQUEZ, HECTOR</t>
  </si>
  <si>
    <t>RAMOS, VANESSA B</t>
  </si>
  <si>
    <t>JOHNSON, WINFRED L</t>
  </si>
  <si>
    <t>CAMPOS, RAUL</t>
  </si>
  <si>
    <t>FAVELA, AURORA</t>
  </si>
  <si>
    <t>GILMORE, DANIEL A</t>
  </si>
  <si>
    <t>GOMEZ, BRENDA E</t>
  </si>
  <si>
    <t>GOULD, PAMELA L</t>
  </si>
  <si>
    <t>GUERRERO, ENRIQUE</t>
  </si>
  <si>
    <t>GONZALES TELLES, RAQUEL</t>
  </si>
  <si>
    <t>SMITH, LAUREN M</t>
  </si>
  <si>
    <t>RIVERA, LORENZA</t>
  </si>
  <si>
    <t>ALMEIDA, ELVIA L</t>
  </si>
  <si>
    <t>MASON, JERON T</t>
  </si>
  <si>
    <t>PARKS, ALLOWYN Y</t>
  </si>
  <si>
    <t>CREWS, WILLIAM R</t>
  </si>
  <si>
    <t>SEPULVEDA, FREDDY</t>
  </si>
  <si>
    <t>TORRES, EDUARDO I</t>
  </si>
  <si>
    <t>WATTS, GEORGE A</t>
  </si>
  <si>
    <t>NORTON, TAMMY W</t>
  </si>
  <si>
    <t>ROJO, MARIA</t>
  </si>
  <si>
    <t>HUGES, TARA</t>
  </si>
  <si>
    <t>RODRIGUEZ, MARIA D</t>
  </si>
  <si>
    <t>GOLSON, AARON S</t>
  </si>
  <si>
    <t>SANCHEZ, VANESSA</t>
  </si>
  <si>
    <t>GOMEZ HERNANDEZ, JOSEFINA</t>
  </si>
  <si>
    <t>SOSA, RAUL</t>
  </si>
  <si>
    <t>ESPINOZA, MARIA M</t>
  </si>
  <si>
    <t>GOMEZ, OSCAR O</t>
  </si>
  <si>
    <t>VOID, RAVEN E</t>
  </si>
  <si>
    <t>SHIELDS, AMANDA R</t>
  </si>
  <si>
    <t>LOPEZ, MARIA DE JESUS</t>
  </si>
  <si>
    <t>JAYME, RAFAELA</t>
  </si>
  <si>
    <t>CARRILLO, CARLOS</t>
  </si>
  <si>
    <t>RAMIREZ, JULIAN</t>
  </si>
  <si>
    <t>NAVARRETE, ALDO</t>
  </si>
  <si>
    <t>PHAM, NGOC L</t>
  </si>
  <si>
    <t>ARELLANO, AMALIA</t>
  </si>
  <si>
    <t>ROBERTS, WILLIAM J</t>
  </si>
  <si>
    <t>VEGA, LUIS A</t>
  </si>
  <si>
    <t>ANAYA, MAXIMO</t>
  </si>
  <si>
    <t>ROSE, AKINO</t>
  </si>
  <si>
    <t>VILLANUEVA, NELSON N</t>
  </si>
  <si>
    <t>RODRIGUEZ, EMILIANO</t>
  </si>
  <si>
    <t>CASTANEDA, YOLANDA</t>
  </si>
  <si>
    <t>CLOUD, RALPH T</t>
  </si>
  <si>
    <t>OLIVAS, GREGORIO</t>
  </si>
  <si>
    <t>GONZALEZ, YOLANDA</t>
  </si>
  <si>
    <t>SKWERES, THOMAS J</t>
  </si>
  <si>
    <t>MCLAUGHLIN, JOHN A</t>
  </si>
  <si>
    <t>PENALOCA, CAROLINA</t>
  </si>
  <si>
    <t>FLORES, MARTINA</t>
  </si>
  <si>
    <t>RIVAS, CAROLINA</t>
  </si>
  <si>
    <t>MEDRANO, FRANCISCA P</t>
  </si>
  <si>
    <t>CERNA, CARMEN</t>
  </si>
  <si>
    <t>CHACON, SOLEDAD A</t>
  </si>
  <si>
    <t>PEREZ, CARMEN B</t>
  </si>
  <si>
    <t>CARBAJAL DE ARROYO, ROSALINDA</t>
  </si>
  <si>
    <t>MARTINEZ, ROSA E</t>
  </si>
  <si>
    <t>RODRIGUEZ, PAUL</t>
  </si>
  <si>
    <t>ERALES, MARGARITA</t>
  </si>
  <si>
    <t>ROJAS, MARIA</t>
  </si>
  <si>
    <t>DILL, MARIA D</t>
  </si>
  <si>
    <t>HERRON, HOPE R</t>
  </si>
  <si>
    <t>SOTO DE HERNANDEZ, MARIA I</t>
  </si>
  <si>
    <t>RODRIGUEZ, ROBERTO C</t>
  </si>
  <si>
    <t>GONZALEZ, RUTH</t>
  </si>
  <si>
    <t>VASQUEZ, JOSEFINA</t>
  </si>
  <si>
    <t>ANDRADE, JOSE L</t>
  </si>
  <si>
    <t>ORTIZ, MARK</t>
  </si>
  <si>
    <t>TORRES, BEATRICE G</t>
  </si>
  <si>
    <t>BROWN, ALTHEA I</t>
  </si>
  <si>
    <t>SCHICK, DEBORAH M</t>
  </si>
  <si>
    <t>PIPPEN, JEANNIE J</t>
  </si>
  <si>
    <t>WHITEHEAD, MONICA K</t>
  </si>
  <si>
    <t>IBARRA, AMADO</t>
  </si>
  <si>
    <t>SOLEDAD, HARTELOH</t>
  </si>
  <si>
    <t>ESCUDERO, GUADALUPE</t>
  </si>
  <si>
    <t>URRUTIA, ALEJANDRO</t>
  </si>
  <si>
    <t>FLORES, LYDIA</t>
  </si>
  <si>
    <t>CALDERA, GEMA</t>
  </si>
  <si>
    <t>DAVIS, ARTHUR</t>
  </si>
  <si>
    <t>HAMPTON, RONALD</t>
  </si>
  <si>
    <t>MARQUEZ, RAMONA</t>
  </si>
  <si>
    <t>HERNANDEZ, ROBIN A</t>
  </si>
  <si>
    <t>MEDINA, MANUELA U</t>
  </si>
  <si>
    <t>BETHEA, KAMALA K</t>
  </si>
  <si>
    <t>VILLAZANA, RAMON J</t>
  </si>
  <si>
    <t>ANCHONDO MENDOZA, RAMON</t>
  </si>
  <si>
    <t>QUEZADA, BRENDA I</t>
  </si>
  <si>
    <t>MARQUEZ, ESTEBAN</t>
  </si>
  <si>
    <t>CORTEZ, GABRIEL A</t>
  </si>
  <si>
    <t>ALVARADO, MARTIN S</t>
  </si>
  <si>
    <t>FLORES DE MURILLO, JOSEFINA</t>
  </si>
  <si>
    <t>MC PHEE, ROBERT C</t>
  </si>
  <si>
    <t>ACEVES-LOPEZ, GENESIS</t>
  </si>
  <si>
    <t>BEADLE, STEVE E</t>
  </si>
  <si>
    <t>FERNANDEZ, PABLO G</t>
  </si>
  <si>
    <t>ATONDO, JESUS A</t>
  </si>
  <si>
    <t>DELGADO, TINA I</t>
  </si>
  <si>
    <t>CARDOSO, BIBIANA</t>
  </si>
  <si>
    <t>MESSING, JEFFERY J</t>
  </si>
  <si>
    <t>GUERRERO, JESUS M</t>
  </si>
  <si>
    <t>MEZA, GUILLERMIN</t>
  </si>
  <si>
    <t>AGUILAR, JOSEFINA</t>
  </si>
  <si>
    <t>JUAREZ, ROSALIE</t>
  </si>
  <si>
    <t>ELIZONDO, YVONNE</t>
  </si>
  <si>
    <t>HOWELL, CATHERINE A</t>
  </si>
  <si>
    <t>BUCK, LETICIA</t>
  </si>
  <si>
    <t>MIRANDA, PETRA</t>
  </si>
  <si>
    <t>RODRIGUEZ SALGADO, GUADALUPE</t>
  </si>
  <si>
    <t>PEOPLES, MAURICE</t>
  </si>
  <si>
    <t>GARZA, VICTOR M</t>
  </si>
  <si>
    <t>PASILLAS, ABEL</t>
  </si>
  <si>
    <t>MARTINEZ, LILY J</t>
  </si>
  <si>
    <t>TIMMONS, FRANCES</t>
  </si>
  <si>
    <t>AMAYA, OPHELIA</t>
  </si>
  <si>
    <t>RAMIREZ, RENE</t>
  </si>
  <si>
    <t>MAES, JUAN L</t>
  </si>
  <si>
    <t>ALARCON, DANIEL</t>
  </si>
  <si>
    <t>GOMEZ, ROGELIO</t>
  </si>
  <si>
    <t>MARTINEZ, BENIGNA</t>
  </si>
  <si>
    <t>DURAN, MARIA D</t>
  </si>
  <si>
    <t>PEREZ, CRUZ A</t>
  </si>
  <si>
    <t>MILLS, DANIEL L</t>
  </si>
  <si>
    <t>ORTIZ, FABIAN</t>
  </si>
  <si>
    <t>MARTINEZ, SILVIA</t>
  </si>
  <si>
    <t>ZUNGA DE LOPEZ, ROSA G</t>
  </si>
  <si>
    <t>IBARRA, LAURA</t>
  </si>
  <si>
    <t>AVILA, JOSE A</t>
  </si>
  <si>
    <t>RODRIGUEZ, MARIBEL A</t>
  </si>
  <si>
    <t>ANDUJO, HECTOR J</t>
  </si>
  <si>
    <t>WILCOX, CHARLES F</t>
  </si>
  <si>
    <t>WOODHOUSE, MARK A</t>
  </si>
  <si>
    <t>SANCHEZ, PEDRO</t>
  </si>
  <si>
    <t>RAMIREZ, ALFREDO</t>
  </si>
  <si>
    <t>GRANADOS, HERMEREGILDO</t>
  </si>
  <si>
    <t>RINEHART, ANGELA</t>
  </si>
  <si>
    <t>HERNANDEZ, LUIS C</t>
  </si>
  <si>
    <t>SHOPPACH, ROBERT E</t>
  </si>
  <si>
    <t>CABRIALES, JESUS</t>
  </si>
  <si>
    <t>MARCHESE, PATRICIA D</t>
  </si>
  <si>
    <t>VARELA, JOSE I</t>
  </si>
  <si>
    <t>PODNER, ELIZABETH C</t>
  </si>
  <si>
    <t>RAMSEY, MARY</t>
  </si>
  <si>
    <t>BORREGO, ANTHONY</t>
  </si>
  <si>
    <t>CHAVEZ HERNANDEZ, MARGARITA</t>
  </si>
  <si>
    <t>ATILANO, ELDA</t>
  </si>
  <si>
    <t>CAMPO, HECTOR R</t>
  </si>
  <si>
    <t>NUNEZ, MARIA E</t>
  </si>
  <si>
    <t>MAYNEZ, SOCORRO</t>
  </si>
  <si>
    <t>FLORES, LUIS N</t>
  </si>
  <si>
    <t>VIERA, MARIA</t>
  </si>
  <si>
    <t>HERL, BRANDON K</t>
  </si>
  <si>
    <t>CASTANEDA, SAUL R</t>
  </si>
  <si>
    <t>DONOSO, MANUEL A</t>
  </si>
  <si>
    <t>AGUIRRE, ALFREDO</t>
  </si>
  <si>
    <t>LEMON, DAVID A</t>
  </si>
  <si>
    <t>HERNANDEZ SANDOVAL, JOSE M</t>
  </si>
  <si>
    <t>CENICEROS, GUADALUPE</t>
  </si>
  <si>
    <t>PAYAN, ERNESTINA</t>
  </si>
  <si>
    <t>GARCIA, PATRICIA</t>
  </si>
  <si>
    <t>GAMEZ DE HERNANDEZ, ELVA A</t>
  </si>
  <si>
    <t>MEYER, ELIZABETH L</t>
  </si>
  <si>
    <t>NAVARRO, VALERIE</t>
  </si>
  <si>
    <t>MARTINEZ, DINA V</t>
  </si>
  <si>
    <t>VASQUEZ, MARIO</t>
  </si>
  <si>
    <t>BAQUERA, RONALD A</t>
  </si>
  <si>
    <t>WHITE, LAURA C</t>
  </si>
  <si>
    <t>RODRIGUEZ, ISABEL S</t>
  </si>
  <si>
    <t>VILLALOBOS, MARIO</t>
  </si>
  <si>
    <t>JIMENEZ, FELITA</t>
  </si>
  <si>
    <t>PALACIOS, CARMEN R</t>
  </si>
  <si>
    <t>SAUCEDO, MARIA</t>
  </si>
  <si>
    <t>RODRIGUEZ, BENJAMIN</t>
  </si>
  <si>
    <t>ESPINOZA, ROSA M</t>
  </si>
  <si>
    <t>FRASER, JAMES E</t>
  </si>
  <si>
    <t>TEST, ALYSSA B</t>
  </si>
  <si>
    <t>HERNANDEZ, AIDA M</t>
  </si>
  <si>
    <t>AGUILERA, DELIA</t>
  </si>
  <si>
    <t>NAJERA, GERARDO</t>
  </si>
  <si>
    <t>BRANCH, MICHAEL N</t>
  </si>
  <si>
    <t>VIDAL, LAUREN B</t>
  </si>
  <si>
    <t>GORDILLO, LUZ M</t>
  </si>
  <si>
    <t>SNELL, ANA MARIE</t>
  </si>
  <si>
    <t>HIDALGO, LIDIA</t>
  </si>
  <si>
    <t>HERMOSILLO, GLORIA E</t>
  </si>
  <si>
    <t>BENNETT, MARIAN L</t>
  </si>
  <si>
    <t>BUTLER, DANIEL MICHAEL</t>
  </si>
  <si>
    <t>SAAVEDRA, ALFONSO</t>
  </si>
  <si>
    <t>AGUIRRE, CARMEN Y</t>
  </si>
  <si>
    <t>HERNANDEZ, MARIA D</t>
  </si>
  <si>
    <t>VALERO, CARMEN E</t>
  </si>
  <si>
    <t>BRISENO, HILDA A</t>
  </si>
  <si>
    <t>CORTEZ, ALBERTO</t>
  </si>
  <si>
    <t>HOLGUIN, FRANCISCO J</t>
  </si>
  <si>
    <t>MARRUFO, JOSE G</t>
  </si>
  <si>
    <t>WALKER, MILTON M</t>
  </si>
  <si>
    <t>ACOSTA, CELIA E</t>
  </si>
  <si>
    <t>DAWKINS, CLATTIES</t>
  </si>
  <si>
    <t>ROBLES, MAURICIA</t>
  </si>
  <si>
    <t>HOUSER, RACHEL L</t>
  </si>
  <si>
    <t>REYES, GERARDO</t>
  </si>
  <si>
    <t>NAJERA, SOPHIA M</t>
  </si>
  <si>
    <t>GUTIERREZ, MARIA M</t>
  </si>
  <si>
    <t>RODRIGUEZ-ACOSTA, CECILIA</t>
  </si>
  <si>
    <t>PEREZ, JOSE L</t>
  </si>
  <si>
    <t>RIVERA, MANUEL</t>
  </si>
  <si>
    <t>MELENDEZ, ARMANDO</t>
  </si>
  <si>
    <t>HERRERA, MARIA O</t>
  </si>
  <si>
    <t>STEWART, LAMAR E</t>
  </si>
  <si>
    <t>ULATE-DURAN, PEDRO</t>
  </si>
  <si>
    <t>WINTERBERG, VICTORIA</t>
  </si>
  <si>
    <t>ADAMS, MARIE A</t>
  </si>
  <si>
    <t>DELGADO, MARTHA L</t>
  </si>
  <si>
    <t>WOFFORD, NATALIA</t>
  </si>
  <si>
    <t>CABRAL, GERARDO</t>
  </si>
  <si>
    <t>DEAL, ANGEL</t>
  </si>
  <si>
    <t>URANGA, TIFFANY</t>
  </si>
  <si>
    <t>GUZMAN, SONIA</t>
  </si>
  <si>
    <t>PALACIO, REYMUNDO</t>
  </si>
  <si>
    <t>VILLALOBOS, ELIZABETH E</t>
  </si>
  <si>
    <t>GOMEZ DE ROMO, MAYRA</t>
  </si>
  <si>
    <t>MARTINEZ, VERONICA</t>
  </si>
  <si>
    <t>SERRANO, ROBERTO</t>
  </si>
  <si>
    <t>HERRERA, JLUIS</t>
  </si>
  <si>
    <t>RODARTE, SOCORRO L</t>
  </si>
  <si>
    <t>ARIAS, MARIA</t>
  </si>
  <si>
    <t>DE VELAZCO MEDRANO, MARIA R</t>
  </si>
  <si>
    <t>JIMENEZ, JOHN</t>
  </si>
  <si>
    <t>HESTER, NADENE T</t>
  </si>
  <si>
    <t>JUAREZ CARILLO, MARIA E</t>
  </si>
  <si>
    <t>DE LOS ANGELES PALMA, MARIA</t>
  </si>
  <si>
    <t>LARA, CYNTHIA</t>
  </si>
  <si>
    <t>GORGES, MATTHEW G</t>
  </si>
  <si>
    <t>LOPEZ, RUBEN A</t>
  </si>
  <si>
    <t>ACEVES, BLANCA E</t>
  </si>
  <si>
    <t>CISNEROS, RODRIGO</t>
  </si>
  <si>
    <t>ARELLANO, ELISA</t>
  </si>
  <si>
    <t>GRADO, SAMANTHA</t>
  </si>
  <si>
    <t>GRADO, REBEKAH R</t>
  </si>
  <si>
    <t>GRADO, JACOB T</t>
  </si>
  <si>
    <t>ESQUIVEL, MARGARITO</t>
  </si>
  <si>
    <t>SADLER, JACK B</t>
  </si>
  <si>
    <t>FULK, ROBERT M</t>
  </si>
  <si>
    <t>FACIO, JULIO H</t>
  </si>
  <si>
    <t>ADAMS, GRACIELA</t>
  </si>
  <si>
    <t>MICHEL, CELIA</t>
  </si>
  <si>
    <t>DELGADO, PAULA M</t>
  </si>
  <si>
    <t>PAYAN, GABINA S</t>
  </si>
  <si>
    <t>TOVAR, JOSE</t>
  </si>
  <si>
    <t>INGRAM, JAMES R</t>
  </si>
  <si>
    <t>PRIETO, CARMEN P</t>
  </si>
  <si>
    <t>BAXTER, JUDITH R</t>
  </si>
  <si>
    <t>VILLEGAS, MARY A</t>
  </si>
  <si>
    <t>GAVALDON, PETRA</t>
  </si>
  <si>
    <t>YEARWOOD, PATTI A</t>
  </si>
  <si>
    <t>RAMIREZ, MICHAEL A</t>
  </si>
  <si>
    <t>LUCERO, ASCENCION</t>
  </si>
  <si>
    <t>GONZALEZ, MARIO</t>
  </si>
  <si>
    <t>ANDERSON, MARRERO</t>
  </si>
  <si>
    <t>SMOOT, RANDALL L</t>
  </si>
  <si>
    <t>ARMENDARIZ, ROSA L</t>
  </si>
  <si>
    <t>BELTRAN, DENISE</t>
  </si>
  <si>
    <t>DUARTE SANCHEZ, GLORIA</t>
  </si>
  <si>
    <t>MARTINEZ, JARA</t>
  </si>
  <si>
    <t>MORALES, ALEJANDRO</t>
  </si>
  <si>
    <t>SOLANO, ROBERTO</t>
  </si>
  <si>
    <t>MILAM, JAIME</t>
  </si>
  <si>
    <t>VALVERDE, RUBEN J</t>
  </si>
  <si>
    <t>RIOS FERNANDEZ, VAL</t>
  </si>
  <si>
    <t>BURCIAGA, SIMON J</t>
  </si>
  <si>
    <t>ALDERETE, SOCORRO</t>
  </si>
  <si>
    <t>BREWSTER, KEVIN J</t>
  </si>
  <si>
    <t>AGUILAR, RUBEN</t>
  </si>
  <si>
    <t>SALINAS, CLAUDIA</t>
  </si>
  <si>
    <t>GUERRERO, GUADALUPE A</t>
  </si>
  <si>
    <t>SALGADO, EULALIO J</t>
  </si>
  <si>
    <t>JENKINS, ROSALIE R</t>
  </si>
  <si>
    <t>SALAZAR, LILIANA</t>
  </si>
  <si>
    <t>FELIX, JUANA E</t>
  </si>
  <si>
    <t>AGUILAR, RENE</t>
  </si>
  <si>
    <t>ROQUE, MARTIN</t>
  </si>
  <si>
    <t>FRANCO, MARIA E</t>
  </si>
  <si>
    <t>DIAZ, AMELIA</t>
  </si>
  <si>
    <t>CASAS, JOSE C</t>
  </si>
  <si>
    <t>SALAZAR, VIRGINIA C</t>
  </si>
  <si>
    <t>BAEZ, TERESA</t>
  </si>
  <si>
    <t>AMATO, JOHN G</t>
  </si>
  <si>
    <t>ROSALES, BELINDA</t>
  </si>
  <si>
    <t>PUENTE, CESAR A</t>
  </si>
  <si>
    <t>HOLGUIN, ROSA</t>
  </si>
  <si>
    <t>ARELLANO, NORMA N</t>
  </si>
  <si>
    <t>ALWAN, RICHARD</t>
  </si>
  <si>
    <t>CONTRERAS, JORGE</t>
  </si>
  <si>
    <t>GARCIA, ASUNCION</t>
  </si>
  <si>
    <t>MOSES, KENNETH P</t>
  </si>
  <si>
    <t>SALCIDO, MICHAEL A</t>
  </si>
  <si>
    <t>SAR, ANNETTE H</t>
  </si>
  <si>
    <t>HINESLY, THOMAS V</t>
  </si>
  <si>
    <t>RAMIREZ, OMAR</t>
  </si>
  <si>
    <t>REVIS, JIMMY L</t>
  </si>
  <si>
    <t>MCDANIEL, ERIN S</t>
  </si>
  <si>
    <t>HERNANDEZ, FRANCISCO J</t>
  </si>
  <si>
    <t>FLORES, ROSALBA J</t>
  </si>
  <si>
    <t>GONZALEZ, RAMIRO</t>
  </si>
  <si>
    <t>REYES, VALERIE A</t>
  </si>
  <si>
    <t>FLORES, ADELA C</t>
  </si>
  <si>
    <t>CARREON PALFREEMAN, MARIA R</t>
  </si>
  <si>
    <t>GARCIA, LYDIA C</t>
  </si>
  <si>
    <t>HERNANDEZ, YOLANDA G</t>
  </si>
  <si>
    <t>MORALES, CINTHIA E</t>
  </si>
  <si>
    <t>WEITNAUER, VIRGINIA A</t>
  </si>
  <si>
    <t>CERDA, ADRIAN</t>
  </si>
  <si>
    <t>REGALADO, ROSENDA V</t>
  </si>
  <si>
    <t>PEDROZA, MIGUEL A</t>
  </si>
  <si>
    <t>BEATTY, KARI L</t>
  </si>
  <si>
    <t>MORENO, JOSEPH M</t>
  </si>
  <si>
    <t>FRYE, DEBORAH C</t>
  </si>
  <si>
    <t>FAVILA, ADA L</t>
  </si>
  <si>
    <t>MACIAS, ESTHER A</t>
  </si>
  <si>
    <t>CISNEROS, ROSA</t>
  </si>
  <si>
    <t>CASTANEDA, RICARDO</t>
  </si>
  <si>
    <t>RODRIGUEZ, STEPHANIE G</t>
  </si>
  <si>
    <t>CASTRO, JUAN C</t>
  </si>
  <si>
    <t>CHAVEZ, MARIA D</t>
  </si>
  <si>
    <t>GOMEZ, LEANDRA</t>
  </si>
  <si>
    <t>RUIZ, ADRIANA</t>
  </si>
  <si>
    <t>BIRDSONG, EVETT</t>
  </si>
  <si>
    <t>GONZALEZ, LORENE A</t>
  </si>
  <si>
    <t>QUEEN, JACQUELINE J</t>
  </si>
  <si>
    <t>TREJO, MIGUEL</t>
  </si>
  <si>
    <t>HENRY, MICHAEL A</t>
  </si>
  <si>
    <t>ORTEGA, BARBARA O</t>
  </si>
  <si>
    <t>PUZIO, ANN M</t>
  </si>
  <si>
    <t>ORTEGA, DOLORES</t>
  </si>
  <si>
    <t>ADAME, ERNESTINA R</t>
  </si>
  <si>
    <t>DOMINGUEZ, ALICIA B</t>
  </si>
  <si>
    <t>CHENEY, TERRY J</t>
  </si>
  <si>
    <t>GODINEZ, MARIA C</t>
  </si>
  <si>
    <t>ESTRADA, REBECCA D</t>
  </si>
  <si>
    <t>BRIONES, MARIA L</t>
  </si>
  <si>
    <t>LUNA, AUDREY A</t>
  </si>
  <si>
    <t>VALERIO, HEATHER R</t>
  </si>
  <si>
    <t>APODACA, ELSA</t>
  </si>
  <si>
    <t>GONZALEZ, MARTHA</t>
  </si>
  <si>
    <t>CRENSHAW, WINDY</t>
  </si>
  <si>
    <t>ASTON, ANITA A</t>
  </si>
  <si>
    <t>BAQUERA, PATRICIA</t>
  </si>
  <si>
    <t>ALVAREZ, ARTURO</t>
  </si>
  <si>
    <t>DOWNEY, COLLEEN M</t>
  </si>
  <si>
    <t>GONZALEZ, JAMES</t>
  </si>
  <si>
    <t>DE AVILA, MARIA</t>
  </si>
  <si>
    <t>SALAZAR, ENRIQUE MARQUEZ</t>
  </si>
  <si>
    <t>LEDESMA, DOLORES</t>
  </si>
  <si>
    <t>GONZALEZ, JOSEPHINE L</t>
  </si>
  <si>
    <t>CHAVEZ, MARCY A</t>
  </si>
  <si>
    <t>MARES, LITA G</t>
  </si>
  <si>
    <t>MONTERO, MARIA C</t>
  </si>
  <si>
    <t>MARES, MARIA S</t>
  </si>
  <si>
    <t>ARELLANO, RUBEN</t>
  </si>
  <si>
    <t>RUIZ, GRACIELA</t>
  </si>
  <si>
    <t>BECERRA, MARTHA M</t>
  </si>
  <si>
    <t>SAXMAN, PETER</t>
  </si>
  <si>
    <t>MORALES, SYLVIA S</t>
  </si>
  <si>
    <t>TORRES, TRACY L</t>
  </si>
  <si>
    <t>BUSTAMANTE, RICARDO R</t>
  </si>
  <si>
    <t>CHAVEZ, SYLVIA M</t>
  </si>
  <si>
    <t>MANRIQUEZ, GUILLERMO A</t>
  </si>
  <si>
    <t>CHAVEZ, OSWALDO</t>
  </si>
  <si>
    <t>FLORES, NORMA E</t>
  </si>
  <si>
    <t>QUARSTAD, GUADALUPE M</t>
  </si>
  <si>
    <t>HUERTA, BERTHA D</t>
  </si>
  <si>
    <t>RODRIGUEZ, CARLOS</t>
  </si>
  <si>
    <t>RODRIGUEZ, LANELLE L</t>
  </si>
  <si>
    <t>ROSE, JOYCE M</t>
  </si>
  <si>
    <t>ESQUIVEL, RENE</t>
  </si>
  <si>
    <t>PONCE, JUAN</t>
  </si>
  <si>
    <t>FLORES, HECTOR T</t>
  </si>
  <si>
    <t>MELENDEZ, MARTHA</t>
  </si>
  <si>
    <t>AU, JOANN M</t>
  </si>
  <si>
    <t>MARTINEZ, BLANCA C</t>
  </si>
  <si>
    <t>GETTY, RONALD J</t>
  </si>
  <si>
    <t>RUEDA, ROSARIO</t>
  </si>
  <si>
    <t>HERNANDEZ, FREDDY</t>
  </si>
  <si>
    <t>MADRID, DELMA A</t>
  </si>
  <si>
    <t>CASTANEDA, ELVIRA G</t>
  </si>
  <si>
    <t>ZUBIA, HECTOR</t>
  </si>
  <si>
    <t>JIMENEZ HERRERA, ERNESTO</t>
  </si>
  <si>
    <t>OLVERA, REBECCA M</t>
  </si>
  <si>
    <t>AVALOS, ALBERTO A</t>
  </si>
  <si>
    <t>FERNANDEZ, RUTH S</t>
  </si>
  <si>
    <t>QUINTANA, SOCORRO</t>
  </si>
  <si>
    <t>ANDERSON, CATHY E</t>
  </si>
  <si>
    <t>MARTINEZ, ALICE</t>
  </si>
  <si>
    <t>VELA, MAGDALENA M</t>
  </si>
  <si>
    <t>MORALES, JOSE A</t>
  </si>
  <si>
    <t>RAMIREZ, ELIZABETH</t>
  </si>
  <si>
    <t>CURTIS, ADELINA</t>
  </si>
  <si>
    <t>FLORES, ANTONIO</t>
  </si>
  <si>
    <t>MAYNES, RUBEN</t>
  </si>
  <si>
    <t>GUILLEN, LYDIA E</t>
  </si>
  <si>
    <t>UTAJADA, SOCORRO</t>
  </si>
  <si>
    <t>OWEN, JOSEPH C</t>
  </si>
  <si>
    <t>ORTEGA, LILLIAN E</t>
  </si>
  <si>
    <t>MIJAREZ, SOFIA H</t>
  </si>
  <si>
    <t>OROZCO, MARIA E</t>
  </si>
  <si>
    <t>BARRAGAN, IVETTE</t>
  </si>
  <si>
    <t>CHAVEZ, RUBEN</t>
  </si>
  <si>
    <t>PATTON, TERESA M</t>
  </si>
  <si>
    <t>HOLGUIN, ELISA</t>
  </si>
  <si>
    <t>AGUILAR, LUCINA</t>
  </si>
  <si>
    <t>SOHAN, CALEB C</t>
  </si>
  <si>
    <t>CARUCCI, RICHARD D</t>
  </si>
  <si>
    <t>BURROLA, LYDIA H</t>
  </si>
  <si>
    <t>PRIEGO, LEOPOLDO</t>
  </si>
  <si>
    <t>ARGUMANIZ, JOE</t>
  </si>
  <si>
    <t>RODRIGUEZ, MARIA F</t>
  </si>
  <si>
    <t>DIAZ, IRMA E</t>
  </si>
  <si>
    <t>HERNANDEZ, EDUARDO</t>
  </si>
  <si>
    <t>TELLES, DANIEL M</t>
  </si>
  <si>
    <t>EUBANK, CASANDRA</t>
  </si>
  <si>
    <t>OLGUIN, ANTONIO</t>
  </si>
  <si>
    <t>KUZMA, MARIAN E</t>
  </si>
  <si>
    <t>VACA, MARISELA</t>
  </si>
  <si>
    <t>JEDDERY, VICTORIA L</t>
  </si>
  <si>
    <t>SIFUENTES, ELBA E</t>
  </si>
  <si>
    <t>RAMIREZ, ROSA</t>
  </si>
  <si>
    <t>CLAYTON, DIANA K</t>
  </si>
  <si>
    <t>CARBAJAL, AIDA</t>
  </si>
  <si>
    <t>LEE, JAMES H</t>
  </si>
  <si>
    <t>VARGAS, MELISSA</t>
  </si>
  <si>
    <t>CONIGLIO, PATRICIA S</t>
  </si>
  <si>
    <t>RAMIREZ, CONSUELO M</t>
  </si>
  <si>
    <t>ARMENDARIZ, MARIA S</t>
  </si>
  <si>
    <t>BANUELOS, ALBERTO</t>
  </si>
  <si>
    <t>SIFUENTES, SYLVIA</t>
  </si>
  <si>
    <t>FRANCO, RICARDO</t>
  </si>
  <si>
    <t>FLORES, GUADALUPE</t>
  </si>
  <si>
    <t>ALVARADO, VIRGINIA</t>
  </si>
  <si>
    <t>LEE, KERRY A</t>
  </si>
  <si>
    <t>BANDA, MARTHA A</t>
  </si>
  <si>
    <t>CAZARES, CHRISTINE</t>
  </si>
  <si>
    <t>LOPEZ, VALERIE</t>
  </si>
  <si>
    <t>NEVAREZ, KAREN L</t>
  </si>
  <si>
    <t>BRASWELL, WENDY</t>
  </si>
  <si>
    <t>BRASWELL, PETER</t>
  </si>
  <si>
    <t>HERMOSILLO, ALICE D</t>
  </si>
  <si>
    <t>DUNN, NORMA</t>
  </si>
  <si>
    <t>GONZALES, EDDIE</t>
  </si>
  <si>
    <t>RENTERIA, MARIA A</t>
  </si>
  <si>
    <t>GUZMAN, CINTHIA</t>
  </si>
  <si>
    <t>COLEMAN, POLLY</t>
  </si>
  <si>
    <t>ALMADA, IRMA</t>
  </si>
  <si>
    <t>RIVERA, DORA L</t>
  </si>
  <si>
    <t>ROHDE, ULRIKE E</t>
  </si>
  <si>
    <t>BRIONES, RAQUEL</t>
  </si>
  <si>
    <t>ECHEVERRIA, ENOCH</t>
  </si>
  <si>
    <t>CONTRERAS, NICASIO A</t>
  </si>
  <si>
    <t>DOMINGUEZ, ARLENE</t>
  </si>
  <si>
    <t>CASILLAS, MIGUEL</t>
  </si>
  <si>
    <t>GALLARDO, ENRIQUE</t>
  </si>
  <si>
    <t>GALLARDO, YOLANDA</t>
  </si>
  <si>
    <t>BACHUS, GUADALUPE</t>
  </si>
  <si>
    <t>RUEDAS, ELKE J</t>
  </si>
  <si>
    <t>FRAGOSO, PEDRO</t>
  </si>
  <si>
    <t>MEDINA, MANUELA I</t>
  </si>
  <si>
    <t>ALVIDREZ, CAROLINA</t>
  </si>
  <si>
    <t>HARRISON, NICOLE R</t>
  </si>
  <si>
    <t>DELEON, TIFFANY C</t>
  </si>
  <si>
    <t>PEREZ VALDEZ, OSCAR</t>
  </si>
  <si>
    <t>MONTELONGO CUEVAS, SALVADOR</t>
  </si>
  <si>
    <t>CAMACHO, ANGEL</t>
  </si>
  <si>
    <t>KULAS, KELLY C</t>
  </si>
  <si>
    <t>SALCIDO, JOSE</t>
  </si>
  <si>
    <t>CAZARES, SERGIO</t>
  </si>
  <si>
    <t>SHAY, SANDRA</t>
  </si>
  <si>
    <t>OLVERA, RODOLFO</t>
  </si>
  <si>
    <t>ESPARZA, JESUS G</t>
  </si>
  <si>
    <t>STUBBS, GAYLA</t>
  </si>
  <si>
    <t>HADDAD, ANITA M</t>
  </si>
  <si>
    <t>SIMONS, EVA I</t>
  </si>
  <si>
    <t>GONZALEZ, ARLEEN A</t>
  </si>
  <si>
    <t>SMITH, JULIE A</t>
  </si>
  <si>
    <t>SILVA, REBECCA</t>
  </si>
  <si>
    <t>LUCERO, MONICA J</t>
  </si>
  <si>
    <t>MARTINEZ, ARTHUR L</t>
  </si>
  <si>
    <t>CONTRERAS, RUBEN R</t>
  </si>
  <si>
    <t>POLANCO, VANESSA</t>
  </si>
  <si>
    <t>WITHOLDER, WILLIAM F</t>
  </si>
  <si>
    <t>CRUZ, ADRIANA</t>
  </si>
  <si>
    <t>ROBLES, GUADALUPE A</t>
  </si>
  <si>
    <t>GONZALEZ, RAMON</t>
  </si>
  <si>
    <t>DE LA ROSA, LYDIA</t>
  </si>
  <si>
    <t>VAN HEE, THERESA</t>
  </si>
  <si>
    <t>RAMIREZ, SAMUEL</t>
  </si>
  <si>
    <t>LOZANO, MARIA M</t>
  </si>
  <si>
    <t>TARANGO, YVONNE</t>
  </si>
  <si>
    <t>RAMIREZ, RICARDO</t>
  </si>
  <si>
    <t>ACEVEDO, CARLOS M</t>
  </si>
  <si>
    <t>GONZALEZ, GRACIELA C</t>
  </si>
  <si>
    <t>NUNEZ, PASCUAL</t>
  </si>
  <si>
    <t>CALHOUN, GWYNDOLYN L</t>
  </si>
  <si>
    <t>RUIZ, SALVADOR</t>
  </si>
  <si>
    <t>SPRINGER, CATHY</t>
  </si>
  <si>
    <t>HERNANDEZ, SYLVIA</t>
  </si>
  <si>
    <t>VELASQUEZ, MARIA G</t>
  </si>
  <si>
    <t>LOPEZ, DOMINGA R</t>
  </si>
  <si>
    <t>MAYNES, JESUS M</t>
  </si>
  <si>
    <t>CARDOZA, ROBERTO</t>
  </si>
  <si>
    <t>PALACIOS, ARMANDO R</t>
  </si>
  <si>
    <t>LICON, JESUS</t>
  </si>
  <si>
    <t>PETERSON, CARLO A</t>
  </si>
  <si>
    <t>STILWELL, HAROLD W</t>
  </si>
  <si>
    <t>ORTEGA, JOSE</t>
  </si>
  <si>
    <t>PERALTA, JUAN A</t>
  </si>
  <si>
    <t>HIDALGO, LORENZA</t>
  </si>
  <si>
    <t>MOLINAR, JORGE F</t>
  </si>
  <si>
    <t>KIM, SON K</t>
  </si>
  <si>
    <t>HERNANDEZ, MARGARITO</t>
  </si>
  <si>
    <t>VALENZUELA, YVETTE</t>
  </si>
  <si>
    <t>BARBOSA, MINERVA D</t>
  </si>
  <si>
    <t>GAMEZ, ALMA M</t>
  </si>
  <si>
    <t>PEREZ, ERNESTINA</t>
  </si>
  <si>
    <t>VIDANA, MARIA A</t>
  </si>
  <si>
    <t>NAVARRO, MARIAELENA</t>
  </si>
  <si>
    <t>QUINONES, MARTHA E</t>
  </si>
  <si>
    <t>MURO, JOSE L</t>
  </si>
  <si>
    <t>ERIVES, ANTONIO</t>
  </si>
  <si>
    <t>ANGEL, JOSE R</t>
  </si>
  <si>
    <t>GOROEOFF, MICHELLE R</t>
  </si>
  <si>
    <t>TORRES, SYLVIA</t>
  </si>
  <si>
    <t>CARO, VICTOR</t>
  </si>
  <si>
    <t>DE LA TORRE, GUADALUPE</t>
  </si>
  <si>
    <t>SPENCER, RICHARD W</t>
  </si>
  <si>
    <t>BARRERAS, MARIA L</t>
  </si>
  <si>
    <t>RODRIGUEZ, JUAN</t>
  </si>
  <si>
    <t>BAXTER, KATHY L</t>
  </si>
  <si>
    <t>BACA, SELMA M</t>
  </si>
  <si>
    <t>MARTINEZ, RUBY S</t>
  </si>
  <si>
    <t>ESCAMILLA, ALFONSO</t>
  </si>
  <si>
    <t>ROMO, ANA</t>
  </si>
  <si>
    <t>OPORTO, SILVIA</t>
  </si>
  <si>
    <t>HERNANDEZ, RAFAEL J</t>
  </si>
  <si>
    <t>DEAVILA, ARTURO</t>
  </si>
  <si>
    <t>CHRISTMAS, KATHERINE</t>
  </si>
  <si>
    <t>PENA, GUADALUPE</t>
  </si>
  <si>
    <t>RUIZ, PORFIRIA</t>
  </si>
  <si>
    <t>LOPEZ, ROSE M</t>
  </si>
  <si>
    <t>BLACK, RAYMOND J</t>
  </si>
  <si>
    <t>DORADO, SHIRLEY C</t>
  </si>
  <si>
    <t>LUTH, KARL D</t>
  </si>
  <si>
    <t>FUENTES, ISRAEL</t>
  </si>
  <si>
    <t>IRIGOYEN, CHERYL A</t>
  </si>
  <si>
    <t>BOWLES, RICHARD</t>
  </si>
  <si>
    <t>CABILDO, JORGE</t>
  </si>
  <si>
    <t>OLGUIN, ISIDRO</t>
  </si>
  <si>
    <t>VICARI, LESLIE C</t>
  </si>
  <si>
    <t>MENA MANRIQUEZ, JORGE</t>
  </si>
  <si>
    <t>GUEVARA, CINDY A</t>
  </si>
  <si>
    <t>MATA, ROLAND</t>
  </si>
  <si>
    <t>ACEVEDO, SALVADOR</t>
  </si>
  <si>
    <t>FRAIRE, VIRGINIA</t>
  </si>
  <si>
    <t>SAGE, JAMES CARTER</t>
  </si>
  <si>
    <t>JOHNSON, JOSEPH S</t>
  </si>
  <si>
    <t>VILLALOBOS, MARIA DC</t>
  </si>
  <si>
    <t>QUINTELA, JENNIFER</t>
  </si>
  <si>
    <t>VILLA, BEATRIZ</t>
  </si>
  <si>
    <t>PETERS, MARIA I</t>
  </si>
  <si>
    <t>LINDSEY, DARRYL A</t>
  </si>
  <si>
    <t>MCLEOD, TRAVIS D</t>
  </si>
  <si>
    <t>SERRAO, MARTHA V</t>
  </si>
  <si>
    <t>ALMANZAR, RITA I</t>
  </si>
  <si>
    <t>GAMBOA, ERNESTO C</t>
  </si>
  <si>
    <t>RAMIREZ, MELINDA N</t>
  </si>
  <si>
    <t>URIAS, MARGARITA I</t>
  </si>
  <si>
    <t>QUINONEZ, SENAIDA</t>
  </si>
  <si>
    <t>RAYAS, ALFREDO</t>
  </si>
  <si>
    <t>GARCIA DE RODRIGUEZ, LETICIA</t>
  </si>
  <si>
    <t>STABLER, JESSICA L</t>
  </si>
  <si>
    <t>RUIZ, JUANA</t>
  </si>
  <si>
    <t>MERRICK, PAUL A</t>
  </si>
  <si>
    <t>VALE, DANA E</t>
  </si>
  <si>
    <t>GARDEA, ANTONIO R</t>
  </si>
  <si>
    <t>WOODRUFF-HERMAN, MARIA</t>
  </si>
  <si>
    <t>FIGUEROA, OLGA G</t>
  </si>
  <si>
    <t>COMPEAN, PEDRO</t>
  </si>
  <si>
    <t>GUZMAN, XOCHITL N</t>
  </si>
  <si>
    <t>GARCIA, SANDRA C</t>
  </si>
  <si>
    <t>RAMIREZ, JULIA</t>
  </si>
  <si>
    <t>MOTTER, CHERYL S</t>
  </si>
  <si>
    <t>MIRANDA DE FRANCO, ZENAIDA</t>
  </si>
  <si>
    <t>HOSEA, ROBERT E</t>
  </si>
  <si>
    <t>CARMONA, RENE</t>
  </si>
  <si>
    <t>CUELLAR, JOSE D</t>
  </si>
  <si>
    <t>HERNANDEZ, LUIS A</t>
  </si>
  <si>
    <t>MARTINEZ, VERONICA V</t>
  </si>
  <si>
    <t>WALLACE, THOMAS M</t>
  </si>
  <si>
    <t>BARRON, JESSICA</t>
  </si>
  <si>
    <t>LARSON, JANELLE</t>
  </si>
  <si>
    <t>BORREGO, NORA P</t>
  </si>
  <si>
    <t>SOTO, ASENCION P</t>
  </si>
  <si>
    <t>HARRIS, CHARLIE</t>
  </si>
  <si>
    <t>IBRAHIM, GEORGE</t>
  </si>
  <si>
    <t>NAVEJAS, MARIA D</t>
  </si>
  <si>
    <t>HERNANDEZ, JOSE</t>
  </si>
  <si>
    <t>MEDRANO, MANUEL J</t>
  </si>
  <si>
    <t>GALINDO, JOSE J</t>
  </si>
  <si>
    <t>MARTINEZ, FRANCISCO J</t>
  </si>
  <si>
    <t>TORRES, JOSE M</t>
  </si>
  <si>
    <t>ROJAS, OLGA A</t>
  </si>
  <si>
    <t>LOPEZ, CONSUELO Y</t>
  </si>
  <si>
    <t>YEMSHAW, DIANA R</t>
  </si>
  <si>
    <t>LOZOYA DE MUNOZ, EVA</t>
  </si>
  <si>
    <t>SALAZAR, MIGUEL</t>
  </si>
  <si>
    <t>HERNANDEZ, JESUS G</t>
  </si>
  <si>
    <t>SOLIS, BEATRIZ</t>
  </si>
  <si>
    <t>FORREST, STEVEN N</t>
  </si>
  <si>
    <t>RAMIREZ, KATHRYN</t>
  </si>
  <si>
    <t>PEREZ DE MANRIQUEZ, ANA L</t>
  </si>
  <si>
    <t>MERCADO, JAVIER A</t>
  </si>
  <si>
    <t>TORRES, RAMON</t>
  </si>
  <si>
    <t>MONTOYA, DANIEL</t>
  </si>
  <si>
    <t>CORRAL, EDUARDO</t>
  </si>
  <si>
    <t>RAMOS, BLANCA E</t>
  </si>
  <si>
    <t>DELGADO, HECTOR</t>
  </si>
  <si>
    <t>PENA, ANA</t>
  </si>
  <si>
    <t>MACKEY, BRIAN</t>
  </si>
  <si>
    <t>ALMANZA, HILDA</t>
  </si>
  <si>
    <t>LEDBETTER, CAROL M</t>
  </si>
  <si>
    <t>RAMOS, SANDRA</t>
  </si>
  <si>
    <t>SHORTS, CAROL</t>
  </si>
  <si>
    <t>HOOKER, THOMAS W</t>
  </si>
  <si>
    <t>TUCKER, GREGORY</t>
  </si>
  <si>
    <t>LEFEBVERE, JOSHUA R</t>
  </si>
  <si>
    <t>RAMIREZ, SOLEDAD T</t>
  </si>
  <si>
    <t>HERRERA, HENRY M</t>
  </si>
  <si>
    <t>TAYLOR, SAMUEL M</t>
  </si>
  <si>
    <t>ORANDA PEREZ, MOCTEZUMA</t>
  </si>
  <si>
    <t>ELMORE, ANTHONY</t>
  </si>
  <si>
    <t>ELMORE, JANEL</t>
  </si>
  <si>
    <t>DUARTE, SUZANNE C</t>
  </si>
  <si>
    <t>GOMEZ, MARCELO</t>
  </si>
  <si>
    <t>DE LA RIVA, LINDA N</t>
  </si>
  <si>
    <t>OSORIA, RODRIGO</t>
  </si>
  <si>
    <t>SHORES, RACHEL T</t>
  </si>
  <si>
    <t>GONZALEZ, CHARLES C</t>
  </si>
  <si>
    <t>PROSE, CAROLYN M</t>
  </si>
  <si>
    <t>MEDRANO, JACQUELINE</t>
  </si>
  <si>
    <t>MORALES, LORRAINE</t>
  </si>
  <si>
    <t>DE LA ROSA, DAVID A</t>
  </si>
  <si>
    <t>MELENDEZ, MARIA E</t>
  </si>
  <si>
    <t>CASTELLANES, RICARDO</t>
  </si>
  <si>
    <t>MUNIZ, DORA A</t>
  </si>
  <si>
    <t>CASTILLO, BELINDA</t>
  </si>
  <si>
    <t>GODFREY, WILLIAM W</t>
  </si>
  <si>
    <t>PARKER, SARAH</t>
  </si>
  <si>
    <t>TORRES, LORENA</t>
  </si>
  <si>
    <t>DE LA ROSA, ROSA I</t>
  </si>
  <si>
    <t>REVELES, MARY H</t>
  </si>
  <si>
    <t>ZAPIEN, ARCELIA A</t>
  </si>
  <si>
    <t>HENSLEY, LAURA L</t>
  </si>
  <si>
    <t>ENDOZO, REDENTOR</t>
  </si>
  <si>
    <t>CAMPA DE GAMBOA, VIRGINIA</t>
  </si>
  <si>
    <t>VAZQUEZ, SILVERIO</t>
  </si>
  <si>
    <t>BUNN, GLENNA J</t>
  </si>
  <si>
    <t>RUIZ, MARIA A</t>
  </si>
  <si>
    <t>CRAIG, JOANN L</t>
  </si>
  <si>
    <t>NAVA, ERIC N</t>
  </si>
  <si>
    <t>HEBESTREIT, CARL J</t>
  </si>
  <si>
    <t>HERNANDEZ, EULALIO</t>
  </si>
  <si>
    <t>SOTO, SARA D</t>
  </si>
  <si>
    <t>HATTON, PHILLIP</t>
  </si>
  <si>
    <t>ARELLANO, MARGARITA</t>
  </si>
  <si>
    <t>NICHELSON, PAULA W</t>
  </si>
  <si>
    <t>HARRIS, MAURICE M</t>
  </si>
  <si>
    <t>DUTCHOVER, BRIAN K</t>
  </si>
  <si>
    <t>QUEZADA, LORENZA</t>
  </si>
  <si>
    <t>FRIAS, JOHN T</t>
  </si>
  <si>
    <t>CONTRERAS, ESTELLA</t>
  </si>
  <si>
    <t>QUINTANA-GARDEA, CESAREO</t>
  </si>
  <si>
    <t>ROBLES, PATRICIA M</t>
  </si>
  <si>
    <t>CLARK, ALLISON J</t>
  </si>
  <si>
    <t>JENSEN, PAUL</t>
  </si>
  <si>
    <t>HELMS, CLINT R</t>
  </si>
  <si>
    <t>HERRERA, JUAN J</t>
  </si>
  <si>
    <t>MARTIN, BRENDA</t>
  </si>
  <si>
    <t>MEHRKENS, TYLER L</t>
  </si>
  <si>
    <t>GALLARDO, JOVANNA C</t>
  </si>
  <si>
    <t>CEJUDO, PAULA</t>
  </si>
  <si>
    <t>DIAZ, ROBERT S</t>
  </si>
  <si>
    <t>CHRISTO, HARRY</t>
  </si>
  <si>
    <t>PEREZ, CHRISTINE N</t>
  </si>
  <si>
    <t>MEADOWS, LORRAINE</t>
  </si>
  <si>
    <t>CAMACK, LEEMATTHEW C</t>
  </si>
  <si>
    <t>PACHECO, MARIA G</t>
  </si>
  <si>
    <t>ARCOS, IMELDA</t>
  </si>
  <si>
    <t>MOUCHETTE, SARAH R</t>
  </si>
  <si>
    <t>BERNAL-GURROLA, JOSEFINA</t>
  </si>
  <si>
    <t>DE LA CANO, JOSE</t>
  </si>
  <si>
    <t>YOUNG, DEANNA A</t>
  </si>
  <si>
    <t>MURDOCK, MARTHA</t>
  </si>
  <si>
    <t>CUELLAR, JOSE J</t>
  </si>
  <si>
    <t>JORDAN, MELANIE A</t>
  </si>
  <si>
    <t>BALDERRAMA, LOURDES</t>
  </si>
  <si>
    <t>VALDEZ, ENRIQUE</t>
  </si>
  <si>
    <t>SAPIEN, KATHERINE B</t>
  </si>
  <si>
    <t>KNIGHT SAPIEN, MONICA</t>
  </si>
  <si>
    <t>ONEIL, MICHAEL</t>
  </si>
  <si>
    <t>SOTO MUNOZ, PEDRO</t>
  </si>
  <si>
    <t>EDWARDS, IRENE</t>
  </si>
  <si>
    <t>ARCINIEGA, FRANCISCA</t>
  </si>
  <si>
    <t>TOVAR, MARTHA E</t>
  </si>
  <si>
    <t>MARTIN DEL CAMPO DE GUERRERO, MARIA T</t>
  </si>
  <si>
    <t>RAMIREZ, MARTHA</t>
  </si>
  <si>
    <t>JIMENEZ, ROBERT</t>
  </si>
  <si>
    <t>FRANCO, CRYSTAL</t>
  </si>
  <si>
    <t>TORRES, SERGIO</t>
  </si>
  <si>
    <t>CERVERA-OLIVAS, MARIE Y</t>
  </si>
  <si>
    <t>DAVILA, MARLA H</t>
  </si>
  <si>
    <t>HYDER, ZULEMA</t>
  </si>
  <si>
    <t>CASTANON, MINERVA</t>
  </si>
  <si>
    <t>MERAZ, ROSE</t>
  </si>
  <si>
    <t>COOK, STEVE R</t>
  </si>
  <si>
    <t>SMITH RICHARDSON, TALONNIE S</t>
  </si>
  <si>
    <t>RIVERA, ESTELA R</t>
  </si>
  <si>
    <t>MANEY, YOLANDA I</t>
  </si>
  <si>
    <t>MARTINEZ, MELISSA A</t>
  </si>
  <si>
    <t>SIQUEROS, EVANGELINA</t>
  </si>
  <si>
    <t>WHITLOCK, KHALEFAH V</t>
  </si>
  <si>
    <t>SIGALES ORNELAS, VERONICA</t>
  </si>
  <si>
    <t>SANCHEZ, REBECCA S</t>
  </si>
  <si>
    <t>TENNANT, JORDAN A</t>
  </si>
  <si>
    <t>WOHLENHAUS, SARA B</t>
  </si>
  <si>
    <t>AGUIRRE, ESTEBAN</t>
  </si>
  <si>
    <t>CARTER, BRITTANY</t>
  </si>
  <si>
    <t>MOTA, MONICA</t>
  </si>
  <si>
    <t>MORA, FELICITAS</t>
  </si>
  <si>
    <t>MENDOZA, DAISY</t>
  </si>
  <si>
    <t>BAQUERA, MANUEL</t>
  </si>
  <si>
    <t>CHAVEZ, JOSE</t>
  </si>
  <si>
    <t>BARRERAS, BLANCA E</t>
  </si>
  <si>
    <t>REED, MELISSA B</t>
  </si>
  <si>
    <t>MENDOZA, YVONNE T</t>
  </si>
  <si>
    <t>HOLDER, SEBASTIAN P</t>
  </si>
  <si>
    <t>LUCERO, STACEY M</t>
  </si>
  <si>
    <t>WOLF, TAMI</t>
  </si>
  <si>
    <t>FRANCO, LUCIANA G</t>
  </si>
  <si>
    <t>LANDRY, THOMAS</t>
  </si>
  <si>
    <t>CARREON, ARTURO</t>
  </si>
  <si>
    <t>JONES, SHERIENE N</t>
  </si>
  <si>
    <t>CHAROWSKY, CASSANDRA L</t>
  </si>
  <si>
    <t>SALAS, TERESA M</t>
  </si>
  <si>
    <t>AGUILAR, DON D</t>
  </si>
  <si>
    <t>NELSON, CYNTHIA D</t>
  </si>
  <si>
    <t>URBINA, MARIANO</t>
  </si>
  <si>
    <t>CHAMBERS, CAROL J</t>
  </si>
  <si>
    <t>EICHHORN, CATHERINE E</t>
  </si>
  <si>
    <t>BROWN, BRENDA</t>
  </si>
  <si>
    <t>LEDEZMA, JUANITA</t>
  </si>
  <si>
    <t>AGUIRRE, RICHARD</t>
  </si>
  <si>
    <t>JACQUEZ, DOMINGO</t>
  </si>
  <si>
    <t>TORLA, FLORENCE</t>
  </si>
  <si>
    <t>HERNANDEZ, ARTURO</t>
  </si>
  <si>
    <t>OLAGUEZ, BALDOMERO</t>
  </si>
  <si>
    <t>ORTEGA, JOE</t>
  </si>
  <si>
    <t>HERNANDEZ RIVERA, LETICIA M</t>
  </si>
  <si>
    <t>BARRON, MANUEL A</t>
  </si>
  <si>
    <t>PIZANA, NORMA I</t>
  </si>
  <si>
    <t>MEDINA, MARIA T</t>
  </si>
  <si>
    <t>MEZA PENA, GONZALO</t>
  </si>
  <si>
    <t>SANCHEZ, ROBERTO</t>
  </si>
  <si>
    <t>MCNEAL, GLORIA J</t>
  </si>
  <si>
    <t>SANTILLAN, ALEJANDRO</t>
  </si>
  <si>
    <t>OROZCO, CHARLOTTE</t>
  </si>
  <si>
    <t>REEVES, PIEDAD</t>
  </si>
  <si>
    <t>LUNA, RONALD</t>
  </si>
  <si>
    <t>HERNANDEZ, SUSAN</t>
  </si>
  <si>
    <t>PEDREGON, JAIME</t>
  </si>
  <si>
    <t>OROZCO, ALFONSO</t>
  </si>
  <si>
    <t>LUJAN, ELVIRA</t>
  </si>
  <si>
    <t>FLORES, SAMUEL</t>
  </si>
  <si>
    <t>CAMACHO, RUBEN</t>
  </si>
  <si>
    <t>RODRIGUEZ GUTIERREZ, ELENA</t>
  </si>
  <si>
    <t>CARPENTER, FREDRICK A</t>
  </si>
  <si>
    <t>GUEREQUE, EDUARDO</t>
  </si>
  <si>
    <t>SALCIDO, MARIA S</t>
  </si>
  <si>
    <t>TROTTIER, NANCY D</t>
  </si>
  <si>
    <t>STAFFORD, REGINALD A</t>
  </si>
  <si>
    <t>GUERECA, ELSA G</t>
  </si>
  <si>
    <t>SOLIS BARRIOS, EDGAR A</t>
  </si>
  <si>
    <t>FRANCO, HERIBERTO</t>
  </si>
  <si>
    <t>FERNANDEZ, DAVID</t>
  </si>
  <si>
    <t>FRANCO, KENIA L</t>
  </si>
  <si>
    <t>RUIZ, EDUARDO</t>
  </si>
  <si>
    <t>KITCHENS, JAMES</t>
  </si>
  <si>
    <t>MARQUEZ, DAVID</t>
  </si>
  <si>
    <t>ESTRADA, RICHARD</t>
  </si>
  <si>
    <t>FIERRO, EULALIA M</t>
  </si>
  <si>
    <t>LEWIS, JESSICA D</t>
  </si>
  <si>
    <t>VILLARREAL, PATRICIA</t>
  </si>
  <si>
    <t>SNYDER, DANIEL E</t>
  </si>
  <si>
    <t>CAMACHO, JOSE M</t>
  </si>
  <si>
    <t>RIVERA VAZQUEZ, ALBA I</t>
  </si>
  <si>
    <t>OCHOA, GLORIA E</t>
  </si>
  <si>
    <t>HERNANDEZ, TERESA</t>
  </si>
  <si>
    <t>ANDERSON, MARTHA</t>
  </si>
  <si>
    <t>JIMENEZ, SUSANA</t>
  </si>
  <si>
    <t>CASTRO, IANNETTE</t>
  </si>
  <si>
    <t>GOMEZ, ADELA</t>
  </si>
  <si>
    <t>MAYORGA, MARGARITA S</t>
  </si>
  <si>
    <t>LARA, DOLORES</t>
  </si>
  <si>
    <t>GARCIA, MARTHA</t>
  </si>
  <si>
    <t>MARTINEZ, MARIA J</t>
  </si>
  <si>
    <t>PELAYO, VIVIANA</t>
  </si>
  <si>
    <t>ALONSO, ANDRES</t>
  </si>
  <si>
    <t>SALTER, JON-MICHAEL K</t>
  </si>
  <si>
    <t>MARKOWSKI, ROBERT J</t>
  </si>
  <si>
    <t>DELGADO, CELESTINA</t>
  </si>
  <si>
    <t>MINJAREZ, FEDERICO</t>
  </si>
  <si>
    <t>TRUJILLO, ANGELINA</t>
  </si>
  <si>
    <t>TERRY, ETHAN J</t>
  </si>
  <si>
    <t>CORONADO, FERNANDO A</t>
  </si>
  <si>
    <t>GUTIERREZ, LETICIA</t>
  </si>
  <si>
    <t>GEIS, JUNE H</t>
  </si>
  <si>
    <t>MEYER, LYNETTE</t>
  </si>
  <si>
    <t>BELL, VICTORIA E</t>
  </si>
  <si>
    <t>DOMINGUEZ, MIRIAM E</t>
  </si>
  <si>
    <t>CAMARILLO, VIRGINIA M</t>
  </si>
  <si>
    <t>CONTRERAS, ELIZABETH</t>
  </si>
  <si>
    <t>HERNANDEZ, ALEXIS A</t>
  </si>
  <si>
    <t>SOTO, EVANGELINA J</t>
  </si>
  <si>
    <t>COVARUBIAS, ALBINO</t>
  </si>
  <si>
    <t>AVEYTIA, FERNANDO H</t>
  </si>
  <si>
    <t>VELEZ, JUAN J</t>
  </si>
  <si>
    <t>HERNANDEZ, RAUL M</t>
  </si>
  <si>
    <t>GARCIA DE GOMEZ, ARGELIA</t>
  </si>
  <si>
    <t>JACQUES, RAUL</t>
  </si>
  <si>
    <t>MENA, CARLA L</t>
  </si>
  <si>
    <t>TORRES RAMIREZ, CECILIA</t>
  </si>
  <si>
    <t>GONZALES, LIONARDO</t>
  </si>
  <si>
    <t>PULIDO, NORMA</t>
  </si>
  <si>
    <t>VENEGAS, MARY</t>
  </si>
  <si>
    <t>BARCENA, LYDIA L</t>
  </si>
  <si>
    <t>CUEVAS, AGUSTIN</t>
  </si>
  <si>
    <t>FALVEY, NAOMI</t>
  </si>
  <si>
    <t>QUINONEZ, LEANDRO P</t>
  </si>
  <si>
    <t>MIRANDA, JORGE A</t>
  </si>
  <si>
    <t>RIVERA, JULIE A</t>
  </si>
  <si>
    <t>MAYNES, YOLANDA M</t>
  </si>
  <si>
    <t>GARCIA, CONCETTA</t>
  </si>
  <si>
    <t>MONTALVO, CARMEN</t>
  </si>
  <si>
    <t>ARMENDARIZ, FELIPE F</t>
  </si>
  <si>
    <t>KELLEY, JUDY G</t>
  </si>
  <si>
    <t>CAMACHO LOTTI, FRANCISCO J</t>
  </si>
  <si>
    <t>REGALADO, JOSE</t>
  </si>
  <si>
    <t>VILLEGAS, GRISELDA</t>
  </si>
  <si>
    <t>PEREZ, JULIO M</t>
  </si>
  <si>
    <t>MCKENNEY, MAUREEN</t>
  </si>
  <si>
    <t>HOGAN, JOHN</t>
  </si>
  <si>
    <t>HERNANDEZ, LOURDES</t>
  </si>
  <si>
    <t>MENDOZA, LILIA</t>
  </si>
  <si>
    <t>GALINDO, CESAR</t>
  </si>
  <si>
    <t>SERRANO, OSCAR</t>
  </si>
  <si>
    <t>ROSALES, OSCAR</t>
  </si>
  <si>
    <t>SOTO, JAVIER</t>
  </si>
  <si>
    <t>HASKETT, JESSICA</t>
  </si>
  <si>
    <t>ARAGON, CECILIA</t>
  </si>
  <si>
    <t>VALADEZ, WENDY A</t>
  </si>
  <si>
    <t>GALLEGOS, ELOISA</t>
  </si>
  <si>
    <t>VAZQUEZ, ELVIRA A</t>
  </si>
  <si>
    <t>RUVALCABA, CARMEN Y</t>
  </si>
  <si>
    <t>PIERCE, ANDREW S</t>
  </si>
  <si>
    <t>FRIAS, JUAN</t>
  </si>
  <si>
    <t>CAMP, DAWN E</t>
  </si>
  <si>
    <t>ZARATE, MARIA M</t>
  </si>
  <si>
    <t>GASTON, JAMES H</t>
  </si>
  <si>
    <t>GARCIA, SANTIAGO</t>
  </si>
  <si>
    <t>ROJO, NORMA</t>
  </si>
  <si>
    <t>ZAMILPA CONTRERAS, ESTELA</t>
  </si>
  <si>
    <t>MUNOZ, NANCY</t>
  </si>
  <si>
    <t>LOZADA, JADE- MICHAEL</t>
  </si>
  <si>
    <t>STERN-GILBERT, BILLIE K</t>
  </si>
  <si>
    <t>RENTERIA, SUSANA</t>
  </si>
  <si>
    <t>QUINTANILLA, MANUEL J</t>
  </si>
  <si>
    <t>HUNT, SHARON A</t>
  </si>
  <si>
    <t>BARBOZA, GLORIA</t>
  </si>
  <si>
    <t>CAZARES, CONCEPCION</t>
  </si>
  <si>
    <t>LOPEZ, RAMONA P</t>
  </si>
  <si>
    <t>MONTALVO, MARIA D</t>
  </si>
  <si>
    <t>MARTINEZ, PAZ</t>
  </si>
  <si>
    <t>CORONA, JOSE M</t>
  </si>
  <si>
    <t>VALADEZ, CHRISTINA S</t>
  </si>
  <si>
    <t>ESCANDON, DARCI E</t>
  </si>
  <si>
    <t>MARES, ROGELIO</t>
  </si>
  <si>
    <t>CARRERA, JOSE</t>
  </si>
  <si>
    <t>MARTINEZ, MARIA E</t>
  </si>
  <si>
    <t>RIVERA OROZCO, MICHELLE L</t>
  </si>
  <si>
    <t>MARQUEZ, JOSE M</t>
  </si>
  <si>
    <t>DIAGOSTINO, NICOLAS D</t>
  </si>
  <si>
    <t>SALAZAR, RAUL</t>
  </si>
  <si>
    <t>MAIS, DENISE M</t>
  </si>
  <si>
    <t>MESTAS, JESUS</t>
  </si>
  <si>
    <t>HERNANDEZ, LUZ MARCELA</t>
  </si>
  <si>
    <t>SANCHEZ, LUIS A</t>
  </si>
  <si>
    <t>MAGALLANES, GLORIA E</t>
  </si>
  <si>
    <t>LOYA, RAMONA E</t>
  </si>
  <si>
    <t>VIZCAINO, DOLORES R</t>
  </si>
  <si>
    <t>MEDRANO DE RAYGOZA, PATRICIA</t>
  </si>
  <si>
    <t>GRAJEDA, HERMNEJILDA P</t>
  </si>
  <si>
    <t>MORALES, LORENZO A</t>
  </si>
  <si>
    <t>PADILLA, MARTHA</t>
  </si>
  <si>
    <t>ZAYAS, BENJAMIN</t>
  </si>
  <si>
    <t>MCCRANIE, ZACHORY R</t>
  </si>
  <si>
    <t>WARNOCK, TANYA R</t>
  </si>
  <si>
    <t>LEYVA, SARAH</t>
  </si>
  <si>
    <t>BERMEA, IDA H</t>
  </si>
  <si>
    <t>ADAME, MANUEL</t>
  </si>
  <si>
    <t>BUSTILLOS, MANUEL A</t>
  </si>
  <si>
    <t>MONTIJO, OFELIA M</t>
  </si>
  <si>
    <t>JOHNSEN, KATHLEEN A</t>
  </si>
  <si>
    <t>HOLGUIN, ALBINA H</t>
  </si>
  <si>
    <t>MELENDEZ, LUZ E</t>
  </si>
  <si>
    <t>SOLIS, CHARLES F</t>
  </si>
  <si>
    <t>SINGLETON, MARY H</t>
  </si>
  <si>
    <t>REYES, CARMEN I</t>
  </si>
  <si>
    <t>SIERRA, REFUGIO</t>
  </si>
  <si>
    <t>MARQUEZ, MARIA</t>
  </si>
  <si>
    <t>AVILA, MELISSA V</t>
  </si>
  <si>
    <t>GONZALEZ, MARIA Y</t>
  </si>
  <si>
    <t>DESANTOS- JORDAN, MARIA M</t>
  </si>
  <si>
    <t>CISNEROS, LUIS J</t>
  </si>
  <si>
    <t>TORRES, SANDRA</t>
  </si>
  <si>
    <t>PEREZ, DORA</t>
  </si>
  <si>
    <t>BAKER, CHRYSTAL A</t>
  </si>
  <si>
    <t>ALVARADO, GILBERTO</t>
  </si>
  <si>
    <t>DOMINGUEZ, CRISTINA A</t>
  </si>
  <si>
    <t>CARRILLO, ARMANDO</t>
  </si>
  <si>
    <t>ESPINOZA, IRMA B</t>
  </si>
  <si>
    <t>RENTERIA, ALMA</t>
  </si>
  <si>
    <t>LOYA, VICTOR M</t>
  </si>
  <si>
    <t>DORANTES, JESUS</t>
  </si>
  <si>
    <t>GARCIA, ABEL</t>
  </si>
  <si>
    <t>MORAN, LUIS B</t>
  </si>
  <si>
    <t>GRAY, DOUGLAS W</t>
  </si>
  <si>
    <t>ISIC, SILVESTER S</t>
  </si>
  <si>
    <t>LAND, MARIA D</t>
  </si>
  <si>
    <t>HENRY, FELICIA M</t>
  </si>
  <si>
    <t>OLSON, LINDA M</t>
  </si>
  <si>
    <t>GOMEZ, ORALIA</t>
  </si>
  <si>
    <t>ROZIER, LAMEKA C</t>
  </si>
  <si>
    <t>AGUIRRE, DIANA</t>
  </si>
  <si>
    <t>JORDAN, ROBERTO</t>
  </si>
  <si>
    <t>VALENTINO, KAREN J</t>
  </si>
  <si>
    <t>FORSTERLING, WILLIAM</t>
  </si>
  <si>
    <t>GONZALEZ, MICHAEL</t>
  </si>
  <si>
    <t>GEORGE, SHERYL M</t>
  </si>
  <si>
    <t>MARTIN, CHARLES B</t>
  </si>
  <si>
    <t>ROGERS, VALERIE</t>
  </si>
  <si>
    <t>GANDARA, ANTONIA S</t>
  </si>
  <si>
    <t>PONCE, JOSE E</t>
  </si>
  <si>
    <t>MARTINEZ, GUILLERMIN</t>
  </si>
  <si>
    <t>PONCE, ROSEMARY M</t>
  </si>
  <si>
    <t>MATTHEWS, JOHN C</t>
  </si>
  <si>
    <t>GARCIA, FILIBERTO</t>
  </si>
  <si>
    <t>BARAJAS, EDMUNDO</t>
  </si>
  <si>
    <t>VILLALOBOS, TOMAS V</t>
  </si>
  <si>
    <t>SAENZ, BEATRIZ</t>
  </si>
  <si>
    <t>REYES, ROSA</t>
  </si>
  <si>
    <t>DE LA RIVA, MARTHA</t>
  </si>
  <si>
    <t>LIVINGSTON, LESLIE S</t>
  </si>
  <si>
    <t>HARBER, LYNN T</t>
  </si>
  <si>
    <t>HAMMONDS, JANNICE M</t>
  </si>
  <si>
    <t>HAYDEN, EMERAL E</t>
  </si>
  <si>
    <t>BRONSON, DAVARAS</t>
  </si>
  <si>
    <t>DAVIS, SANTA M</t>
  </si>
  <si>
    <t>PRECIADO, DAVID L</t>
  </si>
  <si>
    <t>IZUNDU, CHIEMEKA S</t>
  </si>
  <si>
    <t>AVILA, GREGORIA MONTOYA</t>
  </si>
  <si>
    <t>PURLAN, DEBORAH</t>
  </si>
  <si>
    <t>MAEDA, FRANK J</t>
  </si>
  <si>
    <t>MARTINEZMALDONADO, EDWIN J</t>
  </si>
  <si>
    <t>MARTINEZ, LUIS C</t>
  </si>
  <si>
    <t>LARA, YOLANDA</t>
  </si>
  <si>
    <t>POSADA, GUILLERMO</t>
  </si>
  <si>
    <t>CONNELLY, REBECCA L</t>
  </si>
  <si>
    <t>NICHELSON, AMY B</t>
  </si>
  <si>
    <t>MORALES, GILBERTO</t>
  </si>
  <si>
    <t>FLORES, JUAN G</t>
  </si>
  <si>
    <t>CASTRO, MIGUEL M</t>
  </si>
  <si>
    <t>MANNING, DALE M</t>
  </si>
  <si>
    <t>ALMARAZ, DENISSE</t>
  </si>
  <si>
    <t>RUELAS, BEATRIZ</t>
  </si>
  <si>
    <t>STEPHENS, SHONTE</t>
  </si>
  <si>
    <t>OLSON, PATRICIA M</t>
  </si>
  <si>
    <t>SALAZAR, TRINIDAD</t>
  </si>
  <si>
    <t>HUGHES, JOHN D</t>
  </si>
  <si>
    <t>COLEMAN, DEBRA L</t>
  </si>
  <si>
    <t>LOPEZ, NICOLASA</t>
  </si>
  <si>
    <t>BAXTER, CHARLES W</t>
  </si>
  <si>
    <t>YSALDE, ROBBIE G</t>
  </si>
  <si>
    <t>REYNA, GUADALUPE</t>
  </si>
  <si>
    <t>WEIDNER, JUANITA Y</t>
  </si>
  <si>
    <t>BERRY, CHRISTINA L</t>
  </si>
  <si>
    <t>GORDINIER, ELLA E</t>
  </si>
  <si>
    <t>HAIR, JOSHUA J</t>
  </si>
  <si>
    <t>CASTRUITA, ROSA</t>
  </si>
  <si>
    <t>SMITH, DEBORAH E</t>
  </si>
  <si>
    <t>VILLALOBOS, LETICIA</t>
  </si>
  <si>
    <t>VASQUEZ, OSVALDO</t>
  </si>
  <si>
    <t>ORTEGA, DAVID R</t>
  </si>
  <si>
    <t>QUINTANA, JOHN W</t>
  </si>
  <si>
    <t>VILLEGAS, TOMAS A</t>
  </si>
  <si>
    <t>MARTINEZ, SAUL</t>
  </si>
  <si>
    <t>HART, MICHAEL M</t>
  </si>
  <si>
    <t>PUNZO, CELIA</t>
  </si>
  <si>
    <t>HERNANDEZ, ANA A</t>
  </si>
  <si>
    <t>PULIDO, MARGARITA</t>
  </si>
  <si>
    <t>SABO, ALICIA</t>
  </si>
  <si>
    <t>HOPPER, WAYNE</t>
  </si>
  <si>
    <t>KELLEY, FANNIE M</t>
  </si>
  <si>
    <t>MOHRHERR, GERTRUD</t>
  </si>
  <si>
    <t>SANCHEZ, CONCEPCION</t>
  </si>
  <si>
    <t>CERVANTES, CIRILOL</t>
  </si>
  <si>
    <t>HURTADO, MARIA J</t>
  </si>
  <si>
    <t>SUBOTER-JOHNSON, DAWN A</t>
  </si>
  <si>
    <t>ROGERS, LIZETTE</t>
  </si>
  <si>
    <t>CAMARENA, EVANGELINA</t>
  </si>
  <si>
    <t>PAYARES, BRENDA</t>
  </si>
  <si>
    <t>ESTRADA, RAUL</t>
  </si>
  <si>
    <t>GUFFEY, KRISTI</t>
  </si>
  <si>
    <t>SMITH, LINDA L</t>
  </si>
  <si>
    <t>NAJERA, MARCOS L</t>
  </si>
  <si>
    <t>CROCKETT, MARK D</t>
  </si>
  <si>
    <t>ROJO, RAMON</t>
  </si>
  <si>
    <t>SARABIA, ASHLEY</t>
  </si>
  <si>
    <t>HUGHES, WILLIAM W</t>
  </si>
  <si>
    <t>CHRISTIANSON, HEATHER N</t>
  </si>
  <si>
    <t>TORREZ, FRANK M</t>
  </si>
  <si>
    <t>ACUNA, VICTOR R</t>
  </si>
  <si>
    <t>MULLEN, PAM V</t>
  </si>
  <si>
    <t>ARIAS, IRENE</t>
  </si>
  <si>
    <t>BOEHM, THOMAS P</t>
  </si>
  <si>
    <t>MURGA, TOMAS J</t>
  </si>
  <si>
    <t>MELENDEZ, PAUL A</t>
  </si>
  <si>
    <t>GARCIA, ADRIANA</t>
  </si>
  <si>
    <t>GARCIA, MARIA F</t>
  </si>
  <si>
    <t>HERNANDEZ, CECILIA</t>
  </si>
  <si>
    <t>IBARRA, BRANDON E</t>
  </si>
  <si>
    <t>GALLARDO, RAMONA</t>
  </si>
  <si>
    <t>RANGEL, JUAN</t>
  </si>
  <si>
    <t>VILLALPANDO, BERTHA A</t>
  </si>
  <si>
    <t>ANAYA, GUADALUPE L</t>
  </si>
  <si>
    <t>TRUJILLO, EFRAIN E</t>
  </si>
  <si>
    <t>HERNANDEZ, PAULINO</t>
  </si>
  <si>
    <t>WILLIAMS, KEITH</t>
  </si>
  <si>
    <t>ISELIN, KELSIE J</t>
  </si>
  <si>
    <t>STRIPLIN, JUANITA L</t>
  </si>
  <si>
    <t>VELARDE, DANIEL</t>
  </si>
  <si>
    <t>RODRIGUEZ, ARTURO</t>
  </si>
  <si>
    <t>SANDOVAL, SYLVIA M</t>
  </si>
  <si>
    <t>CASTRO, MARIA P</t>
  </si>
  <si>
    <t>ORRANTIA, GERARDO R</t>
  </si>
  <si>
    <t>SMITH, LATASHIA K</t>
  </si>
  <si>
    <t>FIELDEN, HORACE W</t>
  </si>
  <si>
    <t>BERNAL, ROSA M</t>
  </si>
  <si>
    <t>SOTO, CECILIA T</t>
  </si>
  <si>
    <t>GUTIERREZ, LIDIA</t>
  </si>
  <si>
    <t>RODRIGUEZ, DEBORAH C</t>
  </si>
  <si>
    <t>ESCALERA, HEIDI</t>
  </si>
  <si>
    <t>BRAVO, ANA L</t>
  </si>
  <si>
    <t>VAZQUEZ, MARIA L</t>
  </si>
  <si>
    <t>GARCIA, ALEJANDRA</t>
  </si>
  <si>
    <t>CARLTON, DEANNA C</t>
  </si>
  <si>
    <t>ARMENTA, GILBERTO</t>
  </si>
  <si>
    <t>SOLIS, MARIA D</t>
  </si>
  <si>
    <t>QUEZADA-DIAMONDSTEIN, MARIA D</t>
  </si>
  <si>
    <t>MADRID, ANGELES</t>
  </si>
  <si>
    <t>CHAVEZ, MARIA I</t>
  </si>
  <si>
    <t>MELENDEZ, YVETTE</t>
  </si>
  <si>
    <t>DAVOUST, ELIZABETH A</t>
  </si>
  <si>
    <t>MAHONEY, MARY</t>
  </si>
  <si>
    <t>GOELDNER, VIRGINIA</t>
  </si>
  <si>
    <t>GUERRERO, CLAUDIA Y</t>
  </si>
  <si>
    <t>GONZALEZ, CARMEN M</t>
  </si>
  <si>
    <t>SILVA, SUSANA</t>
  </si>
  <si>
    <t>SILVA, VERONICA</t>
  </si>
  <si>
    <t>AVALOS, MARIA G</t>
  </si>
  <si>
    <t>ACOSTA, FERMIN</t>
  </si>
  <si>
    <t>SALCEDO, ANA R</t>
  </si>
  <si>
    <t>PEREZ, CARLOS A</t>
  </si>
  <si>
    <t>CORDERO, RODOLFO M</t>
  </si>
  <si>
    <t>SUMPTER, MAURICE T</t>
  </si>
  <si>
    <t>HERNANDEZ, RAFAEL</t>
  </si>
  <si>
    <t>VASQUEZ PARGA, MAGDALENA</t>
  </si>
  <si>
    <t>SALDIVAR, CRISTINA</t>
  </si>
  <si>
    <t>JUAREZ, MELISSA M</t>
  </si>
  <si>
    <t>BROWNLEE, WILBUR H</t>
  </si>
  <si>
    <t>HAGLAND, MARIA L</t>
  </si>
  <si>
    <t>HERNANDEZ, ALFRED V</t>
  </si>
  <si>
    <t>FRAUSTO, FRANCIS</t>
  </si>
  <si>
    <t>CASTORENA, JOSE R</t>
  </si>
  <si>
    <t>GARDEA, CECILIA</t>
  </si>
  <si>
    <t>GUERRA, WENDY</t>
  </si>
  <si>
    <t>GOVEA, ALEXANDRIA G</t>
  </si>
  <si>
    <t>SILVAS- PAZ, YVETTE</t>
  </si>
  <si>
    <t>MARRUFO, ESTELA</t>
  </si>
  <si>
    <t>CANGAS, BERENICE F</t>
  </si>
  <si>
    <t>FRAIRE ALVAREZ, JUANITA</t>
  </si>
  <si>
    <t>ALMENDARIZ, LORENA M</t>
  </si>
  <si>
    <t>ZARATE, RUDY C</t>
  </si>
  <si>
    <t>OAXACA, YVETTE</t>
  </si>
  <si>
    <t>RAMIREZ, LUIS C</t>
  </si>
  <si>
    <t>MORALES JUAREZ, MARTHA E</t>
  </si>
  <si>
    <t>LERMA, MARIA S</t>
  </si>
  <si>
    <t>GONZALEZ, TRINIDAD</t>
  </si>
  <si>
    <t>FLORES, ARMANDO</t>
  </si>
  <si>
    <t>GUTIERREZ, MARTHA</t>
  </si>
  <si>
    <t>BIDDLE, NANCY J</t>
  </si>
  <si>
    <t>LOPEZ ARMENDARIZ, VIRGINIA</t>
  </si>
  <si>
    <t>RAZO, RICHARD</t>
  </si>
  <si>
    <t>DUENAS, ROBERTO</t>
  </si>
  <si>
    <t>VILLA, MARIA D</t>
  </si>
  <si>
    <t>ALDAMA, MARIA D</t>
  </si>
  <si>
    <t>MIER, HECTOR A</t>
  </si>
  <si>
    <t>NUNN, CHERYL L</t>
  </si>
  <si>
    <t>MARTINEZ DE ORTIZ, MARICELA</t>
  </si>
  <si>
    <t>MOORE, REBECCA A</t>
  </si>
  <si>
    <t>ARELLANO, PATRICIA A</t>
  </si>
  <si>
    <t>FICETO, DONNA M</t>
  </si>
  <si>
    <t>RODRIGUEZ, ANTONIO</t>
  </si>
  <si>
    <t>SPANGLER, BARBARA J</t>
  </si>
  <si>
    <t>SOTO, MARIA E</t>
  </si>
  <si>
    <t>CASTILLO MARQUEZ, JOSE G</t>
  </si>
  <si>
    <t>TARANGO, RALPH JR</t>
  </si>
  <si>
    <t>AGUIRRE, MARIA A</t>
  </si>
  <si>
    <t>GARCIA REYES, MOISES</t>
  </si>
  <si>
    <t>RAMIREZ, JESUS M</t>
  </si>
  <si>
    <t>DURAN, HERMINIA C</t>
  </si>
  <si>
    <t>LUJAN, ARMANDO V</t>
  </si>
  <si>
    <t>SCHWER, ROSEMARY</t>
  </si>
  <si>
    <t>FLORES, MARIA G</t>
  </si>
  <si>
    <t>RIVAS, SALVADOR</t>
  </si>
  <si>
    <t>LEE, TAMIKKA S</t>
  </si>
  <si>
    <t>MARIN, ESPERANZA</t>
  </si>
  <si>
    <t>PORTILLO, ROBERTO</t>
  </si>
  <si>
    <t>DAVILA, MARIA E</t>
  </si>
  <si>
    <t>ROUSH, JASON A</t>
  </si>
  <si>
    <t>PRIETO, ISMAEL</t>
  </si>
  <si>
    <t>SAENZ, SELENA</t>
  </si>
  <si>
    <t>PATINO, SILVIA</t>
  </si>
  <si>
    <t>DE LA CRUZ, LIDIA F</t>
  </si>
  <si>
    <t>NEVAREZ, GUADALUPE A</t>
  </si>
  <si>
    <t>MONTERO, JUAN A</t>
  </si>
  <si>
    <t>PRENDERGAST, ELIZABETH</t>
  </si>
  <si>
    <t>MOTZ, PEGGY L</t>
  </si>
  <si>
    <t>WARREN, PATIRICIA</t>
  </si>
  <si>
    <t>TORRES, JUAN A</t>
  </si>
  <si>
    <t>CASTANEDA, JOSEFA</t>
  </si>
  <si>
    <t>YANEZ, JOSE Q</t>
  </si>
  <si>
    <t>GUTIERREZ, MARIA D</t>
  </si>
  <si>
    <t>MCGILL, MARIA E</t>
  </si>
  <si>
    <t>GUTIERREZ, ROBERTO D</t>
  </si>
  <si>
    <t>GUTIERREZ-BARRON, PABLO S</t>
  </si>
  <si>
    <t>MIRELES, JUAN A</t>
  </si>
  <si>
    <t>ORRANTIA, ARMANDO</t>
  </si>
  <si>
    <t>SANDOVAL, DOLORES F</t>
  </si>
  <si>
    <t>MARCIALESPINOSA, JUNIOR</t>
  </si>
  <si>
    <t>DATTAGE, ARIELL</t>
  </si>
  <si>
    <t>ARNOLD, JOHN P</t>
  </si>
  <si>
    <t>GARCIA, LARRY</t>
  </si>
  <si>
    <t>TOBIAS, ARLENE</t>
  </si>
  <si>
    <t>FRANCO, JUAN D</t>
  </si>
  <si>
    <t>CASTILLO, JOSE L</t>
  </si>
  <si>
    <t>DIAZ, MIGUEL</t>
  </si>
  <si>
    <t>ARVIZU, RODRIGO</t>
  </si>
  <si>
    <t>FANG ORDUNA, GENARO</t>
  </si>
  <si>
    <t>MCGLAUN, DON W</t>
  </si>
  <si>
    <t>DIAZ, EDWIN</t>
  </si>
  <si>
    <t>FOWLIE, THOMAS G</t>
  </si>
  <si>
    <t>GUEVARA, DONNA A</t>
  </si>
  <si>
    <t>ACOSTA, NORMA L</t>
  </si>
  <si>
    <t>MUNOZ, GUADALUPE</t>
  </si>
  <si>
    <t>MELENDEZ, ROSEMARY</t>
  </si>
  <si>
    <t>CRUZ, MIGUEL A</t>
  </si>
  <si>
    <t>SIPPIO-JAMES, TOREY</t>
  </si>
  <si>
    <t>DIAZ, GENOVEVA</t>
  </si>
  <si>
    <t>LOYA, DANIEL</t>
  </si>
  <si>
    <t>GURROLAREVELES, MARCO A</t>
  </si>
  <si>
    <t>QUESADA, JORGE</t>
  </si>
  <si>
    <t>FINNEN, JAMES E</t>
  </si>
  <si>
    <t>COLWELL, STEPHEN B</t>
  </si>
  <si>
    <t>PEREZ, ALMA C</t>
  </si>
  <si>
    <t>GONZALEZ, ELIA E</t>
  </si>
  <si>
    <t>LEE, MARIA M</t>
  </si>
  <si>
    <t>ARIAS, FRANCISCO</t>
  </si>
  <si>
    <t>BALDERRAMA, ROSA</t>
  </si>
  <si>
    <t>BANKS, MICHAEL A</t>
  </si>
  <si>
    <t>GONZALEZ, LUIS G</t>
  </si>
  <si>
    <t>GARCIA, LORENA M</t>
  </si>
  <si>
    <t>MADRID, MODESTO</t>
  </si>
  <si>
    <t>ALBA, LORENZO</t>
  </si>
  <si>
    <t>LAPOSA, JOHNATHAN M</t>
  </si>
  <si>
    <t>MAREZ, EMILIA</t>
  </si>
  <si>
    <t>LOPEZ, LORENA M</t>
  </si>
  <si>
    <t>DE LEON, MARIA E</t>
  </si>
  <si>
    <t>FLORES, ROBERTO</t>
  </si>
  <si>
    <t>KNIGHT, KAY-LA</t>
  </si>
  <si>
    <t>ADAME, TERESA M</t>
  </si>
  <si>
    <t>MARIN, CARLOS E</t>
  </si>
  <si>
    <t>FRANCO, SUKY</t>
  </si>
  <si>
    <t>PONCE SOLORZANO, ARMANDO</t>
  </si>
  <si>
    <t>ESPARZA, LETICIA</t>
  </si>
  <si>
    <t>ESPARZA, XAVIER A</t>
  </si>
  <si>
    <t>NAVARRO MOLINA, SAMUEL</t>
  </si>
  <si>
    <t>HARDY, KIMBERLY</t>
  </si>
  <si>
    <t>CAIN, MYRON E</t>
  </si>
  <si>
    <t>CUTRER, DIANNA S</t>
  </si>
  <si>
    <t>SMITH, CHARLES</t>
  </si>
  <si>
    <t>RODRIGUEZ, VALERIE A</t>
  </si>
  <si>
    <t>GAMILLO, NORMA</t>
  </si>
  <si>
    <t>SILVA, PRUDENCIA</t>
  </si>
  <si>
    <t>PETTEYS, SUZAN</t>
  </si>
  <si>
    <t>SARABIA, AMANDA J</t>
  </si>
  <si>
    <t>HINOJOS, LIDIA</t>
  </si>
  <si>
    <t>PINEDA, MARIA C</t>
  </si>
  <si>
    <t>GARCIA, GUADALUPE D</t>
  </si>
  <si>
    <t>RAMOS, PATRICIA</t>
  </si>
  <si>
    <t>PADILLA, MARISSA E</t>
  </si>
  <si>
    <t>CAMPOS, MARIA L</t>
  </si>
  <si>
    <t>ARIAS, GUILLERMO</t>
  </si>
  <si>
    <t>GOMEZ, VANESSA</t>
  </si>
  <si>
    <t>RUSH, ADAM C</t>
  </si>
  <si>
    <t>OLIVAS LERMA, JULIO C</t>
  </si>
  <si>
    <t>DUKES, ARLENE M</t>
  </si>
  <si>
    <t>VEGA, KEVIN J</t>
  </si>
  <si>
    <t>DOMINGUEZ, LYDIA</t>
  </si>
  <si>
    <t>BALLI, JOSEPH E</t>
  </si>
  <si>
    <t>MONTES, RAYMUNDO</t>
  </si>
  <si>
    <t>RAMIREZ, ALICIA O</t>
  </si>
  <si>
    <t>TITUS, DOLLY</t>
  </si>
  <si>
    <t>LUNA, ANGELICA</t>
  </si>
  <si>
    <t>QUINONES, OTILIA</t>
  </si>
  <si>
    <t>QUINTANA, MARIA L</t>
  </si>
  <si>
    <t>LEOS, ANNETTE</t>
  </si>
  <si>
    <t>LOPEZ GARCIA, EUGENIA</t>
  </si>
  <si>
    <t>GAMON, ROSEMARY</t>
  </si>
  <si>
    <t>QUEVEDO, MARIA</t>
  </si>
  <si>
    <t>DANCIGER, ANNA</t>
  </si>
  <si>
    <t>CURTIS, YVONNE</t>
  </si>
  <si>
    <t>RAGA, GUADALUPE</t>
  </si>
  <si>
    <t>CASTILLO, CARLOS</t>
  </si>
  <si>
    <t>ESPARZA, ROSA M</t>
  </si>
  <si>
    <t>JUEN, WILLIAM R</t>
  </si>
  <si>
    <t>CERDA, DEBRA A</t>
  </si>
  <si>
    <t>ORTIZ, DEBRA</t>
  </si>
  <si>
    <t>SALAS, JOSEPH A</t>
  </si>
  <si>
    <t>FRANCO, BRIAN M</t>
  </si>
  <si>
    <t>QUINONEZ, JAIME</t>
  </si>
  <si>
    <t>LOZANO, HERMENEGILDO J</t>
  </si>
  <si>
    <t>ROSALES, INOCENCIO</t>
  </si>
  <si>
    <t>PIZANA, URSULA O</t>
  </si>
  <si>
    <t>CALAVENNA, MARTIN G</t>
  </si>
  <si>
    <t>HARRISON, JOAN R</t>
  </si>
  <si>
    <t>COBB, SHARON I</t>
  </si>
  <si>
    <t>LEVARIO, SAUL</t>
  </si>
  <si>
    <t>JORDAN, DAVID</t>
  </si>
  <si>
    <t>NUNEZ, GUADALUPE</t>
  </si>
  <si>
    <t>MEZA, MARIA DEL CARMEN</t>
  </si>
  <si>
    <t>RUIZ, MARIA G</t>
  </si>
  <si>
    <t>THOMPSON, SHAINE N</t>
  </si>
  <si>
    <t>BELTRAN, JORGE</t>
  </si>
  <si>
    <t>CABALES, LAMBERT B</t>
  </si>
  <si>
    <t>ESPARZA, YOLANDA</t>
  </si>
  <si>
    <t>SOLTERO, MIGUEL M</t>
  </si>
  <si>
    <t>MARTINEZ, SEVERO</t>
  </si>
  <si>
    <t>HERNANDEZ, RICARDO</t>
  </si>
  <si>
    <t>ARREDONDO VEGA, J REYES</t>
  </si>
  <si>
    <t>GALLEGOS, ANGEL M</t>
  </si>
  <si>
    <t>NAVARRETE, RICARDO</t>
  </si>
  <si>
    <t>BENTON, ERMILA</t>
  </si>
  <si>
    <t>ROBLEDO, IDA M</t>
  </si>
  <si>
    <t>FULLER, CHARLES M</t>
  </si>
  <si>
    <t>SALVIDREZ, ELISA</t>
  </si>
  <si>
    <t>CISNEY, LAURA J</t>
  </si>
  <si>
    <t>BAUTISTA, ARTURO</t>
  </si>
  <si>
    <t>ESPINOZA, MARIA I</t>
  </si>
  <si>
    <t>EMERY, JOHN</t>
  </si>
  <si>
    <t>RAMOS, ELLA A</t>
  </si>
  <si>
    <t>POLANCO, LIZBETTE</t>
  </si>
  <si>
    <t>RUIZ, JANIE D</t>
  </si>
  <si>
    <t>MORALES, OMAR</t>
  </si>
  <si>
    <t>GARCIA CORONA, LAURA</t>
  </si>
  <si>
    <t>NUNEZ, ALBERTO</t>
  </si>
  <si>
    <t>SOLIS, HELGA A</t>
  </si>
  <si>
    <t>PADILLA, LILIA P</t>
  </si>
  <si>
    <t>BROOKS, ZAIMIS R</t>
  </si>
  <si>
    <t>MARQUEZ, ELVIRA</t>
  </si>
  <si>
    <t>GUTIERREZ, LILIA A</t>
  </si>
  <si>
    <t>MELENDEZ, ADRIANA J</t>
  </si>
  <si>
    <t>FRANCO, ROXANNE R</t>
  </si>
  <si>
    <t>ULLOA, MIGUEL A</t>
  </si>
  <si>
    <t>GARDNER, GARY C</t>
  </si>
  <si>
    <t>MOLINAR, YVETTE T</t>
  </si>
  <si>
    <t>GARCIA, MARGARITA</t>
  </si>
  <si>
    <t>VASQUEZ, ALYCIA Y</t>
  </si>
  <si>
    <t>GARCIA, CARMEN A</t>
  </si>
  <si>
    <t>ORTIZ, MARIA D</t>
  </si>
  <si>
    <t>ESPARZA, JOSE JR</t>
  </si>
  <si>
    <t>ELIAS, YVONNE</t>
  </si>
  <si>
    <t>RUBIO, LORENZA C</t>
  </si>
  <si>
    <t>LOPEZ, BEATRIZ</t>
  </si>
  <si>
    <t>REYES, CELIA R</t>
  </si>
  <si>
    <t>ROMAN, IVAN A</t>
  </si>
  <si>
    <t>SIMPSON, DENISE</t>
  </si>
  <si>
    <t>CENDEJAS, SUSANA E</t>
  </si>
  <si>
    <t>DURAN, SANTIAGO</t>
  </si>
  <si>
    <t>PANTOJA, CYNTHIA A</t>
  </si>
  <si>
    <t>RAMIREZ, LUZ V</t>
  </si>
  <si>
    <t>TALBOT, ROSA</t>
  </si>
  <si>
    <t>CABALLERO, MARY J</t>
  </si>
  <si>
    <t>ZAVALA, ERICA R</t>
  </si>
  <si>
    <t>ADZIMAHE, EVELYN M</t>
  </si>
  <si>
    <t>CARRILLO, ANTHONY V</t>
  </si>
  <si>
    <t>ROBLES LEYVA, RAMON</t>
  </si>
  <si>
    <t>AGUIRRE, JESUS</t>
  </si>
  <si>
    <t>CHAPMAN, RANDY R</t>
  </si>
  <si>
    <t>HOLGUIN, ROSA E</t>
  </si>
  <si>
    <t>JUAREZ, FLORENCIA</t>
  </si>
  <si>
    <t>GARCIA, DOLORES E</t>
  </si>
  <si>
    <t>PENA, RODOLFO</t>
  </si>
  <si>
    <t>BLANQUEZ, JACQUELINE</t>
  </si>
  <si>
    <t>VILLA, MELISSA C</t>
  </si>
  <si>
    <t>VEGA, CARMEN</t>
  </si>
  <si>
    <t>BECERRA, MARIA F</t>
  </si>
  <si>
    <t>CARAGON, MARIA C</t>
  </si>
  <si>
    <t>LANE, CHANTILLY N</t>
  </si>
  <si>
    <t>FLORES, JOSHUA K</t>
  </si>
  <si>
    <t>ORTIZ, MARIA Y</t>
  </si>
  <si>
    <t>GARCIA, GLORIA G</t>
  </si>
  <si>
    <t>SERRANO, MARY M</t>
  </si>
  <si>
    <t>MOLINA, CARMEN</t>
  </si>
  <si>
    <t>LUNA SANCHEZ, JOSEFINA</t>
  </si>
  <si>
    <t>DE LA ROSA, CRUZ T</t>
  </si>
  <si>
    <t>LUNA, SOURAYA</t>
  </si>
  <si>
    <t>QUINONES CARRILLO, MARIA S</t>
  </si>
  <si>
    <t>VANDENBURG, ALICE V</t>
  </si>
  <si>
    <t>BUTLER, ADAM W</t>
  </si>
  <si>
    <t>LONG, DARELL</t>
  </si>
  <si>
    <t>SANTOYO, CONSTANTINA</t>
  </si>
  <si>
    <t>LOPEZ, PAULA</t>
  </si>
  <si>
    <t>TORRES, SANTA</t>
  </si>
  <si>
    <t>MEDINA, JOSE</t>
  </si>
  <si>
    <t>SOBARZO DE BARRERA, IVONNE</t>
  </si>
  <si>
    <t>DEL CORRO, MARIA</t>
  </si>
  <si>
    <t>GAYTAN, VERONICA</t>
  </si>
  <si>
    <t>CADENA, HERMENEGILDA B</t>
  </si>
  <si>
    <t>VILLANUEVA, CARMEN</t>
  </si>
  <si>
    <t>GALLARDO, RAYMOND D</t>
  </si>
  <si>
    <t>GONZALEZ, AMALIA</t>
  </si>
  <si>
    <t>SERRANO, IMELDA V</t>
  </si>
  <si>
    <t>RODRIGUEZ, PAULA</t>
  </si>
  <si>
    <t>LASALDE, SANDRA</t>
  </si>
  <si>
    <t>PEREZ, CARMEN</t>
  </si>
  <si>
    <t>AGUILAR, IMELDA A</t>
  </si>
  <si>
    <t>WALKER, CLARA</t>
  </si>
  <si>
    <t>PADILLA, JOSE</t>
  </si>
  <si>
    <t>PLUMMER, JANET M</t>
  </si>
  <si>
    <t>SALCIDO, ESTELA</t>
  </si>
  <si>
    <t>RAMIREZ, HUMBERTO</t>
  </si>
  <si>
    <t>SALANDY, ARLENE B</t>
  </si>
  <si>
    <t>CHAVEZ, MARIA E</t>
  </si>
  <si>
    <t>MIRAMONTES, JOSE M</t>
  </si>
  <si>
    <t>GONZALEZ, ESPERANZA</t>
  </si>
  <si>
    <t>RODRIGUEZ GONZALEZ, YVETTE</t>
  </si>
  <si>
    <t>ENRIQUEZ, ROSA M</t>
  </si>
  <si>
    <t>DRAYTON, FLORA R</t>
  </si>
  <si>
    <t>COZAD-FULLER, KAREN S</t>
  </si>
  <si>
    <t>AVALOS, SYLVIA</t>
  </si>
  <si>
    <t>GRAY, ALICE</t>
  </si>
  <si>
    <t>GONZALEZ, IRMA</t>
  </si>
  <si>
    <t>FAJARDO, JORGE</t>
  </si>
  <si>
    <t>SHAND, MARVELENE M</t>
  </si>
  <si>
    <t>CHAPPELL, JONATHAN A</t>
  </si>
  <si>
    <t>GARCIA, NANCY M</t>
  </si>
  <si>
    <t>GAVALDON, BERTHA</t>
  </si>
  <si>
    <t>PATRICK, JONAS W</t>
  </si>
  <si>
    <t>OLVERA, CONCEPCION</t>
  </si>
  <si>
    <t>REYES, KATHY</t>
  </si>
  <si>
    <t>LOPEZ, FERNANDO</t>
  </si>
  <si>
    <t>TORRES, HERIBERTO</t>
  </si>
  <si>
    <t>CARRILLO, OFELIA</t>
  </si>
  <si>
    <t>VILLANUEVA, FELIPE</t>
  </si>
  <si>
    <t>CADENA, YESENIA</t>
  </si>
  <si>
    <t>ESCALANTE, MARIO LUIS JR</t>
  </si>
  <si>
    <t>ALARCON, SONIA</t>
  </si>
  <si>
    <t>GIRARD, WILLIAM PAUL</t>
  </si>
  <si>
    <t>HERNANDEZ, ARNULFO</t>
  </si>
  <si>
    <t>MARQUEZ, SAUL E</t>
  </si>
  <si>
    <t>ALBERTO, MARLENE</t>
  </si>
  <si>
    <t>PINON DE BELTRAN, GLORIA R</t>
  </si>
  <si>
    <t>GARCIA, GRACIELA</t>
  </si>
  <si>
    <t>APODACA, MARIA E</t>
  </si>
  <si>
    <t>VALDEZ, MONICA</t>
  </si>
  <si>
    <t>QUINONES, DANIEL S</t>
  </si>
  <si>
    <t>MOORE, TERESA</t>
  </si>
  <si>
    <t>WILLIAMS, CURT L</t>
  </si>
  <si>
    <t>RAMIREZ, MARIA D</t>
  </si>
  <si>
    <t>CORRAL DEL PALMA, BERTHA</t>
  </si>
  <si>
    <t>OLIVAS, GERARDO</t>
  </si>
  <si>
    <t>VACIO, GUADALUPE</t>
  </si>
  <si>
    <t>ROMERO, LETICIA</t>
  </si>
  <si>
    <t>RENTERIA, SARA L</t>
  </si>
  <si>
    <t>RODRIGUEZ, JOSE</t>
  </si>
  <si>
    <t>RODRIGUEZ, REBECCA</t>
  </si>
  <si>
    <t>GODINEZ, CARLA</t>
  </si>
  <si>
    <t>NIETO, LUZ M</t>
  </si>
  <si>
    <t>SPENCER, CHARLES</t>
  </si>
  <si>
    <t>CANO, SOTERA B</t>
  </si>
  <si>
    <t>ROGERS, STEVEN R</t>
  </si>
  <si>
    <t>LOZANO, MARIA S</t>
  </si>
  <si>
    <t>VIZCAINO, JULIA</t>
  </si>
  <si>
    <t>RAMIREZ, MARIANO</t>
  </si>
  <si>
    <t>SOSA, DORIS</t>
  </si>
  <si>
    <t>CHAVEZ, CONCEPCION P</t>
  </si>
  <si>
    <t>JIMENEZ, ADELINA J</t>
  </si>
  <si>
    <t>LOPEZ, BOBBY</t>
  </si>
  <si>
    <t>GAENZLE, GORDON</t>
  </si>
  <si>
    <t>CASTANEDA, LILIA</t>
  </si>
  <si>
    <t>MARRUFO, MARK</t>
  </si>
  <si>
    <t>GARDNER, TERSEA M</t>
  </si>
  <si>
    <t>FAVELA, JORGE</t>
  </si>
  <si>
    <t>PEREZ, BEATRICE</t>
  </si>
  <si>
    <t>JONES, EDRENA S</t>
  </si>
  <si>
    <t>PRIEMER, CARLOS G</t>
  </si>
  <si>
    <t>RAMIREZ, CECILIA</t>
  </si>
  <si>
    <t>NERIA, ELIZABETH</t>
  </si>
  <si>
    <t>ESCAJEDA, JAVIER</t>
  </si>
  <si>
    <t>PAZ, JUAN</t>
  </si>
  <si>
    <t>ABDULJABER, NAZMEYAH M</t>
  </si>
  <si>
    <t>MENDOZA AUSTIN, ELIA E</t>
  </si>
  <si>
    <t>BURROW, JUSTIN</t>
  </si>
  <si>
    <t>WALL, ANTHONY R</t>
  </si>
  <si>
    <t>WALTERS, SOCORRO P</t>
  </si>
  <si>
    <t>ALVAREZ DE LOPEZ, MAGDALENA</t>
  </si>
  <si>
    <t>MUNOZ PONCE, JOSE D</t>
  </si>
  <si>
    <t>ODIOTT, ANGEL L</t>
  </si>
  <si>
    <t>ARMENDARIZ FLORES, PRIMITIVO</t>
  </si>
  <si>
    <t>GUERRERO, JOSE LUIS</t>
  </si>
  <si>
    <t>SOLIS, JOSE LUIS</t>
  </si>
  <si>
    <t>PERRALDI, JOSE</t>
  </si>
  <si>
    <t>BESS-OBERTO, JORGE D</t>
  </si>
  <si>
    <t>BESS-OBERTO, BLANCA E</t>
  </si>
  <si>
    <t>SALAS, FERNIE</t>
  </si>
  <si>
    <t>BRAVO, MYRIAM</t>
  </si>
  <si>
    <t>SAUNDERS, DARREN E</t>
  </si>
  <si>
    <t>STANBROUGH, LEIGHTON T</t>
  </si>
  <si>
    <t>WEST, TIMOTHY M</t>
  </si>
  <si>
    <t>MCDANIEL, DANA R</t>
  </si>
  <si>
    <t>ALVARADO, SILVIA</t>
  </si>
  <si>
    <t>ELLIOTT, MARY A</t>
  </si>
  <si>
    <t>GUERECA, ANA B</t>
  </si>
  <si>
    <t>BERNAL, GILBERTO</t>
  </si>
  <si>
    <t>BUCKHALTER, JEANETTE</t>
  </si>
  <si>
    <t>VILLANUEVA, JOHANA</t>
  </si>
  <si>
    <t>BENNETT, JULES G</t>
  </si>
  <si>
    <t>GONZALEZ, DORIS</t>
  </si>
  <si>
    <t>URQUIDI, PATRICIA C</t>
  </si>
  <si>
    <t>QUINTERO, URBANO</t>
  </si>
  <si>
    <t>AMRANI, ROBERT J</t>
  </si>
  <si>
    <t>LIRA, MARTHA</t>
  </si>
  <si>
    <t>NAVARRETTE, SAMUEL D</t>
  </si>
  <si>
    <t>MELENDEZ, CATALINA</t>
  </si>
  <si>
    <t>CERECERES, YOLANDA</t>
  </si>
  <si>
    <t>FLORES, MARCELA</t>
  </si>
  <si>
    <t>MEDRANO, CORINA</t>
  </si>
  <si>
    <t>INGRAM, RUTH D</t>
  </si>
  <si>
    <t>CONTRERAS, GREGORIO G</t>
  </si>
  <si>
    <t>ALEXANDER, LEILAMAY B</t>
  </si>
  <si>
    <t>SAMANIEGO, MARY E</t>
  </si>
  <si>
    <t>RENZ, ROBERT G</t>
  </si>
  <si>
    <t>FRANCO, AURORA</t>
  </si>
  <si>
    <t>BENNETT, JULANA</t>
  </si>
  <si>
    <t>KROEGER, ROBERT L</t>
  </si>
  <si>
    <t>GOMEZ-LOZANO, JOSE</t>
  </si>
  <si>
    <t>CARMONA, HILDA</t>
  </si>
  <si>
    <t>ESQUIVEL, CECILIO</t>
  </si>
  <si>
    <t>DIAZ, FRANCISCO</t>
  </si>
  <si>
    <t>FIORE, ALBERTO</t>
  </si>
  <si>
    <t>CARRERA, MONICA</t>
  </si>
  <si>
    <t>RUBIO, JEANETTE M</t>
  </si>
  <si>
    <t>SNELL, CAROLOTTE W</t>
  </si>
  <si>
    <t>SITFUENTES, IRMA</t>
  </si>
  <si>
    <t>DAVIS, MOSES</t>
  </si>
  <si>
    <t>MANON, SERGIO A</t>
  </si>
  <si>
    <t>FUNG, MARIA S</t>
  </si>
  <si>
    <t>FERNANDEZ, JOSEPH</t>
  </si>
  <si>
    <t>GILLESPIE STEELE, YEVETTE</t>
  </si>
  <si>
    <t>MARTINEZ, EVA</t>
  </si>
  <si>
    <t>ANCHONDO, JUAN M</t>
  </si>
  <si>
    <t>GOMEZ, FABIAN</t>
  </si>
  <si>
    <t>SAENZ, ROSA</t>
  </si>
  <si>
    <t>CHAVEZ, MANUELA</t>
  </si>
  <si>
    <t>HOLGUIN, SANDRA P</t>
  </si>
  <si>
    <t>HOLGUIN, YOLANDA R</t>
  </si>
  <si>
    <t>SANDERS, CHRISTINE</t>
  </si>
  <si>
    <t>SARRATORI, GWENDOLINE M</t>
  </si>
  <si>
    <t>HERRERA, MARY G</t>
  </si>
  <si>
    <t>MARRUFO, TERESA</t>
  </si>
  <si>
    <t>TORRES, RAUL G</t>
  </si>
  <si>
    <t>GALINDO, ANITA</t>
  </si>
  <si>
    <t>BERNAL, RAMONA C</t>
  </si>
  <si>
    <t>HERNANDEZ, MARIO</t>
  </si>
  <si>
    <t>GUERRERO DE AGUIRE, MARIA</t>
  </si>
  <si>
    <t>FRANCO, PATRICIA S</t>
  </si>
  <si>
    <t>ESCOBAR, NORMA</t>
  </si>
  <si>
    <t>HAND, MICHAEL K</t>
  </si>
  <si>
    <t>GARCIA-ASTORGA, NORMA C</t>
  </si>
  <si>
    <t>RICO, JOSE O</t>
  </si>
  <si>
    <t>SANCHEZ, BARBARA R</t>
  </si>
  <si>
    <t>COUDER, JAMES S</t>
  </si>
  <si>
    <t>ACOSTA, FELIPE</t>
  </si>
  <si>
    <t>TELLES, EMILIO J</t>
  </si>
  <si>
    <t>BAZIL, OSVALDO D</t>
  </si>
  <si>
    <t>MARTINEZ, BETSABE</t>
  </si>
  <si>
    <t>CAZARES, BENIGNO</t>
  </si>
  <si>
    <t>URIAS, MONICA G</t>
  </si>
  <si>
    <t>GONZALEZ, RICARDO</t>
  </si>
  <si>
    <t>ZARATE, ANTHONY J</t>
  </si>
  <si>
    <t>HERNANDEZ, IRMA P</t>
  </si>
  <si>
    <t>ESPINOZA BETANCOURT, MARIA G</t>
  </si>
  <si>
    <t>MEDINA, SUSANA</t>
  </si>
  <si>
    <t>MENDEZ, JUAN</t>
  </si>
  <si>
    <t>NUNEZ, PETRA H</t>
  </si>
  <si>
    <t>GARDEA, CAMILA M</t>
  </si>
  <si>
    <t>RUNYAN, PATRICIA A</t>
  </si>
  <si>
    <t>RODRIGUEZ CAMPOS, YOLANDA</t>
  </si>
  <si>
    <t>BYERS, LAUREN</t>
  </si>
  <si>
    <t>BARRAGAN, JESUS M</t>
  </si>
  <si>
    <t>ISLA, ADRIANA</t>
  </si>
  <si>
    <t>OYLER, ELLA C</t>
  </si>
  <si>
    <t>DOMINGUEZ OROZCO, FELIPE D</t>
  </si>
  <si>
    <t>HERNANDEZ, FERDERICO</t>
  </si>
  <si>
    <t>HERRIMAN, GENE E</t>
  </si>
  <si>
    <t>CERA, MARISELA</t>
  </si>
  <si>
    <t>HOLGUIN, RODOLFO</t>
  </si>
  <si>
    <t>GARZA, MARIA D</t>
  </si>
  <si>
    <t>ANCHONDO, SARAH G</t>
  </si>
  <si>
    <t>SOTO MARTINEZ, GILBERTO</t>
  </si>
  <si>
    <t>QUINTANA, OSCAR</t>
  </si>
  <si>
    <t>MORENO, CARMEN</t>
  </si>
  <si>
    <t>LOPEZ, LUIS E</t>
  </si>
  <si>
    <t>BORJAS, JORGE</t>
  </si>
  <si>
    <t>LOYA, MARIO S</t>
  </si>
  <si>
    <t>RODARTE, VANESSA</t>
  </si>
  <si>
    <t>GODINA, YOLANDA</t>
  </si>
  <si>
    <t>PORRAS, JENNIFER</t>
  </si>
  <si>
    <t>SANTOS, ONEY S</t>
  </si>
  <si>
    <t>ARIAS, ANA</t>
  </si>
  <si>
    <t>COOK, SOCORRO L</t>
  </si>
  <si>
    <t>HORN, LARRY</t>
  </si>
  <si>
    <t>POPCHOKE, CHRISTOPHER L</t>
  </si>
  <si>
    <t>LAMBERTY FAJ, ROSA M</t>
  </si>
  <si>
    <t>TERRIAN, VIRGINIA M</t>
  </si>
  <si>
    <t>OCHOA, JOSE M</t>
  </si>
  <si>
    <t>QUINTANA, LAILA</t>
  </si>
  <si>
    <t>LANDERS, PRISCILLA</t>
  </si>
  <si>
    <t>VASQUEZ, GILBERT D</t>
  </si>
  <si>
    <t>KELLY, JENNIFER</t>
  </si>
  <si>
    <t>CAMARENA, SARA H</t>
  </si>
  <si>
    <t>RODRIGUEZ, MARTHA J</t>
  </si>
  <si>
    <t>KLOKEID, ANDREW T</t>
  </si>
  <si>
    <t>RICO, FRANK T</t>
  </si>
  <si>
    <t>CASTILLO, JAVIER A</t>
  </si>
  <si>
    <t>DOMINGUEZ, LEOPOLDO</t>
  </si>
  <si>
    <t>JACOBSON, DOUGLAS C</t>
  </si>
  <si>
    <t>LOZANO, TOMAS</t>
  </si>
  <si>
    <t>WOODRUFF, GLORIANNE</t>
  </si>
  <si>
    <t>TERRAZAS, MARCO B</t>
  </si>
  <si>
    <t>NYBERG, GARY E</t>
  </si>
  <si>
    <t>GOMEZ DE BALDERAS, PAULA</t>
  </si>
  <si>
    <t>HEATON, ANN M</t>
  </si>
  <si>
    <t>ALCARAZ, DONNA</t>
  </si>
  <si>
    <t>JIMENEZ, MARTA G</t>
  </si>
  <si>
    <t>HILL, THEODORE</t>
  </si>
  <si>
    <t>APODACA, CLARA</t>
  </si>
  <si>
    <t>GRANILLO, LUDOVICO</t>
  </si>
  <si>
    <t>CASTRO, MARIA V</t>
  </si>
  <si>
    <t>PEREZ, ELVIA L</t>
  </si>
  <si>
    <t>REYES, REFUGIO R</t>
  </si>
  <si>
    <t>FOUST, DELAINA J</t>
  </si>
  <si>
    <t>BAILEY, PATRICK H</t>
  </si>
  <si>
    <t>DIAZ, JOSE M</t>
  </si>
  <si>
    <t>RIOS, BLANCA C</t>
  </si>
  <si>
    <t>GONZALEZ, SERGIO</t>
  </si>
  <si>
    <t>ROBLEDO, CARLOS L</t>
  </si>
  <si>
    <t>CANCHOLA, SOCORRO</t>
  </si>
  <si>
    <t>WILLIAMS, JOHN L</t>
  </si>
  <si>
    <t>SCHUMACHER, JEANINE G</t>
  </si>
  <si>
    <t>YANEZ, ALEJANDRO</t>
  </si>
  <si>
    <t>HIPOLITO, JAVIER G</t>
  </si>
  <si>
    <t>QUINONES, JUAN M</t>
  </si>
  <si>
    <t>DANIELS, SHARRONA L</t>
  </si>
  <si>
    <t>DEIMERLY, LISA B</t>
  </si>
  <si>
    <t>PEREZ, JUVENTINO</t>
  </si>
  <si>
    <t>ROBLES, ERIKA</t>
  </si>
  <si>
    <t>OROZCO, RENE</t>
  </si>
  <si>
    <t>GILLIS, RICHARD F</t>
  </si>
  <si>
    <t>ORTEGA, CECILIA G</t>
  </si>
  <si>
    <t>RODRIGUEZ, CHRISTIAN</t>
  </si>
  <si>
    <t>KROLL, JOHN M</t>
  </si>
  <si>
    <t>MUNRO, MARI M</t>
  </si>
  <si>
    <t>PONZIO, RAUL</t>
  </si>
  <si>
    <t>GUERRERO, GUILLERMO A</t>
  </si>
  <si>
    <t>DOMINGUEZ, MARIA I</t>
  </si>
  <si>
    <t>CONTRERAS, SYLVIA</t>
  </si>
  <si>
    <t>KENNEDY, TAMMY</t>
  </si>
  <si>
    <t>JACOBES, ELIZABETH H</t>
  </si>
  <si>
    <t>BENITEZ, CONSUELO M</t>
  </si>
  <si>
    <t>CAMPOS, ROSA M</t>
  </si>
  <si>
    <t>TORRES, FRANCISCO A</t>
  </si>
  <si>
    <t>FLORES BAZIL, DIDA E</t>
  </si>
  <si>
    <t>ALVAREZ, SERGIO I</t>
  </si>
  <si>
    <t>MADRID, MARIA DEL CARMEN</t>
  </si>
  <si>
    <t>AVILA-BALBUENA, IRMA M</t>
  </si>
  <si>
    <t>HERNANDEZ, SANDRA</t>
  </si>
  <si>
    <t>MICHELLETTI, MARIA DEL REFUGIO R</t>
  </si>
  <si>
    <t>PONCE-DE MUNOZ, LETICIA</t>
  </si>
  <si>
    <t>ATTRIDGE, ROBERT D</t>
  </si>
  <si>
    <t>GAINES, JAMON</t>
  </si>
  <si>
    <t>DOMINGUEZ, ENRIQUETA D</t>
  </si>
  <si>
    <t>AVILA, FELIX</t>
  </si>
  <si>
    <t>ESPERZA, CRYSTAL</t>
  </si>
  <si>
    <t>CONEN, MARY E</t>
  </si>
  <si>
    <t>EDDY, ANITA M</t>
  </si>
  <si>
    <t>DIAZ, RAUL</t>
  </si>
  <si>
    <t>MORALES, MONICA M</t>
  </si>
  <si>
    <t>MOLINAR, ARMANDO</t>
  </si>
  <si>
    <t>OROZCO, MELVA I</t>
  </si>
  <si>
    <t>FAJARDO, RUDOLPH C</t>
  </si>
  <si>
    <t>ADEBUSOYE, BABAWANDE</t>
  </si>
  <si>
    <t>BARLOW, MARILYN</t>
  </si>
  <si>
    <t>COERT-METCALF, REINA L</t>
  </si>
  <si>
    <t>RAMOS, HILDA</t>
  </si>
  <si>
    <t>BLANCO, BEATRICE</t>
  </si>
  <si>
    <t>JONES, MARIA G</t>
  </si>
  <si>
    <t>DE LA ROSA, CECILIA</t>
  </si>
  <si>
    <t>ROMAN, NOEMI</t>
  </si>
  <si>
    <t>GUTIERREZ, AGRIPIN</t>
  </si>
  <si>
    <t>SWEED, JIMMY L</t>
  </si>
  <si>
    <t>GAMBOA, SONIA</t>
  </si>
  <si>
    <t>LEYVA, JESUS</t>
  </si>
  <si>
    <t>CARDONA, ROSALIO</t>
  </si>
  <si>
    <t>MINARD, TERRA</t>
  </si>
  <si>
    <t>GONZALES, EDUVIGES</t>
  </si>
  <si>
    <t>LOPEZ ARREOLA, CECILIA</t>
  </si>
  <si>
    <t>CASTILLO, SILVIA E</t>
  </si>
  <si>
    <t>RODRIGUEZ, FERNANDO</t>
  </si>
  <si>
    <t>EPHIVESTE, ROSA LINDA</t>
  </si>
  <si>
    <t>ACEVEDO, CARMEN</t>
  </si>
  <si>
    <t>MORALES, ROSAURA</t>
  </si>
  <si>
    <t>ALVARADO, STEPHANIE</t>
  </si>
  <si>
    <t>ACOSTA, ARIANA M</t>
  </si>
  <si>
    <t>FRAUSTO, CARMEN L</t>
  </si>
  <si>
    <t>VASQUEZ, MARIA</t>
  </si>
  <si>
    <t>BASS, CHARLES</t>
  </si>
  <si>
    <t>CARRILLO, MELISSA A</t>
  </si>
  <si>
    <t>CASARES, GLORIA</t>
  </si>
  <si>
    <t>RIOS, DENISE</t>
  </si>
  <si>
    <t>BLAIR, MARIA E</t>
  </si>
  <si>
    <t>PEREZ MONTES, HOMERO</t>
  </si>
  <si>
    <t>HERREJON, IVAN</t>
  </si>
  <si>
    <t>CORDOVA, KATHY S</t>
  </si>
  <si>
    <t>MENDEZ, SUJEY V</t>
  </si>
  <si>
    <t>JUAREZ, MARIA E</t>
  </si>
  <si>
    <t>GALAVIZ, MARTIN M</t>
  </si>
  <si>
    <t>HIDALGO, GILBERTO</t>
  </si>
  <si>
    <t>MARQUEZ, GUADALUPE</t>
  </si>
  <si>
    <t>GRIFFIN, ABIGAIL A</t>
  </si>
  <si>
    <t>SANDERSON, CAITLIN I</t>
  </si>
  <si>
    <t>DELGADO, LORETO J</t>
  </si>
  <si>
    <t>RISONSILLS, JUNE A</t>
  </si>
  <si>
    <t>CABALDON, BLANCA</t>
  </si>
  <si>
    <t>CHAVES, GEORGE J</t>
  </si>
  <si>
    <t>LUJAN, MARIA E</t>
  </si>
  <si>
    <t>STARKEY, JACK Y</t>
  </si>
  <si>
    <t>FACIO, JOSE L</t>
  </si>
  <si>
    <t>MELENDEZ, REBEKAH J</t>
  </si>
  <si>
    <t>COVARRUBIAS, LUIS A</t>
  </si>
  <si>
    <t>REYES, GUADALUPE</t>
  </si>
  <si>
    <t>TORRES, ROBERTO</t>
  </si>
  <si>
    <t>BORJES, MARIA D</t>
  </si>
  <si>
    <t>MARRERO, HECTOR J</t>
  </si>
  <si>
    <t>ARNAL, REBECCA C</t>
  </si>
  <si>
    <t>ALVAREZ, ANNETTE</t>
  </si>
  <si>
    <t>AVALOS, ABELARDO JR</t>
  </si>
  <si>
    <t>GUERRERO, GRISELDA</t>
  </si>
  <si>
    <t>DUENEZ, FERNANDO</t>
  </si>
  <si>
    <t>MARTINEZ, RUBEN</t>
  </si>
  <si>
    <t>BENAVIDEZ, ANGEL D</t>
  </si>
  <si>
    <t>MONTELONGO, ERICA</t>
  </si>
  <si>
    <t>MEDRANO, MARIA E</t>
  </si>
  <si>
    <t>SALDANA, ESPERANZA D</t>
  </si>
  <si>
    <t>VILLANUEVA, JESUS</t>
  </si>
  <si>
    <t>MONTOYA, MARTIN L</t>
  </si>
  <si>
    <t>NATIVIDAD, OLGA R</t>
  </si>
  <si>
    <t>SWEARS, KENNETH W</t>
  </si>
  <si>
    <t>SORRO, RICHARD J</t>
  </si>
  <si>
    <t>REYES, PATRICIA</t>
  </si>
  <si>
    <t>CASADO VEGA, ANA</t>
  </si>
  <si>
    <t>ABREGO, JOSE L</t>
  </si>
  <si>
    <t>CHAVEZ, YOLANDA H</t>
  </si>
  <si>
    <t>DELGADO, MARIA I</t>
  </si>
  <si>
    <t>TRIANA CEDILLO, ANA K</t>
  </si>
  <si>
    <t>ROJEDO, JUANA</t>
  </si>
  <si>
    <t>VARGAS, ANTHONY</t>
  </si>
  <si>
    <t>HERNANDEZ, LILIA</t>
  </si>
  <si>
    <t>CHAVEZ, JOSE L</t>
  </si>
  <si>
    <t>FIERRO, CELIA</t>
  </si>
  <si>
    <t>RAMIREZ, NORMA A</t>
  </si>
  <si>
    <t>MALDONADO, YOLANDA</t>
  </si>
  <si>
    <t>ACOSTA, MARY R</t>
  </si>
  <si>
    <t>DEBORA, JOSE A</t>
  </si>
  <si>
    <t>TORRES, JANNETTE</t>
  </si>
  <si>
    <t>ROMERO, SHANE</t>
  </si>
  <si>
    <t>LANDEROS, LETICIA</t>
  </si>
  <si>
    <t>MARTIS, TERESA</t>
  </si>
  <si>
    <t>MUNOZ DE OLIVAS, ANTONIA</t>
  </si>
  <si>
    <t>HERNANDEZ, ROSA E.</t>
  </si>
  <si>
    <t>ORTIZ RAMIREZ, JOSE R</t>
  </si>
  <si>
    <t>CASTANEDA, ROBERTO</t>
  </si>
  <si>
    <t>RETANA, LILIA</t>
  </si>
  <si>
    <t>REYES FACIO, JORGE</t>
  </si>
  <si>
    <t>CABATIC, ERIKA</t>
  </si>
  <si>
    <t>ANDERSON, SHEREE A</t>
  </si>
  <si>
    <t>RIVERA, ALFREDO</t>
  </si>
  <si>
    <t>ABREO, DANIEL S</t>
  </si>
  <si>
    <t>AVILA, OMAR</t>
  </si>
  <si>
    <t>WHITE, GILBERT V</t>
  </si>
  <si>
    <t>CARDOZA VARGAS, MARIA</t>
  </si>
  <si>
    <t>CUEVAS, JOSE L</t>
  </si>
  <si>
    <t>WALTERS, JESSICA P</t>
  </si>
  <si>
    <t>TARANGO, DANIEL J</t>
  </si>
  <si>
    <t>SALAZAR, RAMON C</t>
  </si>
  <si>
    <t>FLORES, JORGE H</t>
  </si>
  <si>
    <t>RODELA, MARIA DE LA LUZ</t>
  </si>
  <si>
    <t>MATHEWS, NICOLE</t>
  </si>
  <si>
    <t>ACOSTA, KATHRYN R</t>
  </si>
  <si>
    <t>GONZALEZ, GREGORIA D</t>
  </si>
  <si>
    <t>LUCERO, EDUARDO A</t>
  </si>
  <si>
    <t>TORRES, ALBERTO</t>
  </si>
  <si>
    <t>TORRES, LEONARDO</t>
  </si>
  <si>
    <t>HERNANDEZ, CORINA</t>
  </si>
  <si>
    <t>ROBLES, MARIA C</t>
  </si>
  <si>
    <t>CARROLL, EDMOND</t>
  </si>
  <si>
    <t>GALLEGOS, GUERRERO</t>
  </si>
  <si>
    <t>VILLALVA, JALEN B</t>
  </si>
  <si>
    <t>ACEVEDO, ROGELIO</t>
  </si>
  <si>
    <t>MORENO, GABRIEL A</t>
  </si>
  <si>
    <t>ZUBIA, LORENA P</t>
  </si>
  <si>
    <t>FIGUEROA, ELVA</t>
  </si>
  <si>
    <t>MC KENNA, RANDALL E</t>
  </si>
  <si>
    <t>LOPEZ, BLANCA</t>
  </si>
  <si>
    <t>ORTIZ, PERLA</t>
  </si>
  <si>
    <t>SOLIS, FELIPA</t>
  </si>
  <si>
    <t>CORRAL, ALICIA</t>
  </si>
  <si>
    <t>JONES, FRANK</t>
  </si>
  <si>
    <t>WILKINSON, PHILOMENA</t>
  </si>
  <si>
    <t>CALERO, ALMA</t>
  </si>
  <si>
    <t>TERRAZAS, SERGIO M</t>
  </si>
  <si>
    <t>BIRKELBACH, JOHN</t>
  </si>
  <si>
    <t>LARES, DELIA E</t>
  </si>
  <si>
    <t>FRAIRE, MARK</t>
  </si>
  <si>
    <t>MONTES, MARTHA E</t>
  </si>
  <si>
    <t>MIJARES, KATHERINE A</t>
  </si>
  <si>
    <t>ROMERO, ELVIA</t>
  </si>
  <si>
    <t>CAMACHO, MARIA A</t>
  </si>
  <si>
    <t>SARELLANO, GISELA</t>
  </si>
  <si>
    <t>MARTINEZ, ERIN E</t>
  </si>
  <si>
    <t>OROZCO, MARIO</t>
  </si>
  <si>
    <t>RONQUILLO, HECTOR</t>
  </si>
  <si>
    <t>REYES, MONSERRAT</t>
  </si>
  <si>
    <t>GALVAN, MARGARITA</t>
  </si>
  <si>
    <t>GIBBS, MARY E</t>
  </si>
  <si>
    <t>BRUNS, ALVIN G</t>
  </si>
  <si>
    <t>QUINTERO, FRANCISCO G</t>
  </si>
  <si>
    <t>RAMIREZ, DAVID</t>
  </si>
  <si>
    <t>RUIZ, BERTHA</t>
  </si>
  <si>
    <t>REYES, MARIA D</t>
  </si>
  <si>
    <t>MATA, ALBERTO</t>
  </si>
  <si>
    <t>ESPRAZA, ENRIQUE</t>
  </si>
  <si>
    <t>PAULSEN, GUADALUPE</t>
  </si>
  <si>
    <t>RIOS-MENDEZ, HECTOR</t>
  </si>
  <si>
    <t>GONZALEZ, CHRISTIAN J</t>
  </si>
  <si>
    <t>MENDEZ, TOMAS</t>
  </si>
  <si>
    <t>ZAMORA, MARGIE A</t>
  </si>
  <si>
    <t>ACOSTA, JOSE</t>
  </si>
  <si>
    <t>GUZMAN, ISIDRA G</t>
  </si>
  <si>
    <t>MARTINEZ, ROBERTO</t>
  </si>
  <si>
    <t>AMEZQUITA, NOHEMY</t>
  </si>
  <si>
    <t>RUBIN, SUE W</t>
  </si>
  <si>
    <t>PORRAS, MIREILLE M</t>
  </si>
  <si>
    <t>SANTIAGO BARRAZA, JULIAN</t>
  </si>
  <si>
    <t>OLVERA, LINDA</t>
  </si>
  <si>
    <t>DOYAL, CHARLES</t>
  </si>
  <si>
    <t>SANCHEZ, MARTHA A</t>
  </si>
  <si>
    <t>DELGADO, NORMA</t>
  </si>
  <si>
    <t>BRACEY, LORENZA O</t>
  </si>
  <si>
    <t>MARTINEZ, ABELARDO</t>
  </si>
  <si>
    <t>PACHECO, EMILIO</t>
  </si>
  <si>
    <t>MINJAREZ, FERNANDO</t>
  </si>
  <si>
    <t>CHAVEZ, ALFREDO</t>
  </si>
  <si>
    <t>DIAZ, BERNARD</t>
  </si>
  <si>
    <t>CHAVEZ, JULIAN</t>
  </si>
  <si>
    <t>ANAYA, ROSANNA</t>
  </si>
  <si>
    <t>NEAL, FELICIA R</t>
  </si>
  <si>
    <t>CARAVEO, MARTHA E</t>
  </si>
  <si>
    <t>PEREZ, IRMA</t>
  </si>
  <si>
    <t>YATES, ANN</t>
  </si>
  <si>
    <t>HERNANDEZ, BLANCA A</t>
  </si>
  <si>
    <t>CHARRON, ARLENE M</t>
  </si>
  <si>
    <t>PATTERSON, EVA A</t>
  </si>
  <si>
    <t>SMITH, JESSICA L</t>
  </si>
  <si>
    <t>RODRIGUEZ, RAUL</t>
  </si>
  <si>
    <t>HERNANDEZ, IGNACIO S</t>
  </si>
  <si>
    <t>GARCIA, PAULENE R</t>
  </si>
  <si>
    <t>CEJAS RIVERA, PEDRO</t>
  </si>
  <si>
    <t>CARRELL, FLOYD S</t>
  </si>
  <si>
    <t>RAMOS, RUBEN</t>
  </si>
  <si>
    <t>MARTINEZ, BERTHA A</t>
  </si>
  <si>
    <t>CARRASCO, GLORIA</t>
  </si>
  <si>
    <t>MAGDALENO NA, MARTHA</t>
  </si>
  <si>
    <t>HALOW, LAURA P</t>
  </si>
  <si>
    <t>SORIA, FERNANDO</t>
  </si>
  <si>
    <t>HERNANDEZ, BERTHA A</t>
  </si>
  <si>
    <t>FRANKY, CARMEN G</t>
  </si>
  <si>
    <t>VEGA, ANGELA S</t>
  </si>
  <si>
    <t>NAJERA, MINERVA</t>
  </si>
  <si>
    <t>MORALES, TERESA P</t>
  </si>
  <si>
    <t>FLORES, GABRIELA</t>
  </si>
  <si>
    <t>MOLINA, JUANITA M</t>
  </si>
  <si>
    <t>LUCIO, CARLOS</t>
  </si>
  <si>
    <t>MATA, JUAN A</t>
  </si>
  <si>
    <t>TORRES, FRANCISCO</t>
  </si>
  <si>
    <t>ORTIZ, BERTHA</t>
  </si>
  <si>
    <t>BARRON, LILIA</t>
  </si>
  <si>
    <t>ARMIJO, MARIA M</t>
  </si>
  <si>
    <t>PACHECO, JOSE A</t>
  </si>
  <si>
    <t>FRANCO, MARGARITA E</t>
  </si>
  <si>
    <t>SILVA, MARIO</t>
  </si>
  <si>
    <t>RUIZ, CARLOS</t>
  </si>
  <si>
    <t>ANDERSON, DIANA</t>
  </si>
  <si>
    <t>RAMIREZ, CANDELARIO</t>
  </si>
  <si>
    <t>LIZARRAGA, MARIA G</t>
  </si>
  <si>
    <t>ANTHONY, ROBIN T</t>
  </si>
  <si>
    <t>GARCIA, VICTOR</t>
  </si>
  <si>
    <t>ONTIVEROS, YVONNE</t>
  </si>
  <si>
    <t>SANCHEZ, VICTOR</t>
  </si>
  <si>
    <t>MORADO, RAYMUNDO</t>
  </si>
  <si>
    <t>GARDEA, GABRIELA</t>
  </si>
  <si>
    <t>CASTANEDA VILLEGAS, OSCAR</t>
  </si>
  <si>
    <t>UGARTE, FERNANDO</t>
  </si>
  <si>
    <t>ARZATE, MANUEL</t>
  </si>
  <si>
    <t>JACQUEZ, MARIA E</t>
  </si>
  <si>
    <t>PRATS, BLANCA N</t>
  </si>
  <si>
    <t>MARTINEZ, MARIO</t>
  </si>
  <si>
    <t>MARTINEZ, MARIA A</t>
  </si>
  <si>
    <t>MARQUEZ, LUIS R</t>
  </si>
  <si>
    <t>GADSDEN, LASHAWNA D</t>
  </si>
  <si>
    <t>SOUFLEE, MARIA D</t>
  </si>
  <si>
    <t>CARBAJAL, JESSICA V</t>
  </si>
  <si>
    <t>LERMA, MARIA</t>
  </si>
  <si>
    <t>GAUNA, ARMANDO</t>
  </si>
  <si>
    <t>SPENCER, JAMIE D</t>
  </si>
  <si>
    <t>ELIAS, JORGE L</t>
  </si>
  <si>
    <t>MONTES, NORMA L</t>
  </si>
  <si>
    <t>MANRIQUE, MICHELLE</t>
  </si>
  <si>
    <t>FRAUSTO, FERNANDO</t>
  </si>
  <si>
    <t>FELIX, MARIA A</t>
  </si>
  <si>
    <t>AUSTIN, MELISSA B</t>
  </si>
  <si>
    <t>DURAN, RICARDO</t>
  </si>
  <si>
    <t>CHESTERS, SARAH M</t>
  </si>
  <si>
    <t>DARBONNIER, PIERRE</t>
  </si>
  <si>
    <t>HERNANDEZ, YOLANDA</t>
  </si>
  <si>
    <t>HERAS, CLAUDIA VALENZUELA</t>
  </si>
  <si>
    <t>MONTES, EDNA</t>
  </si>
  <si>
    <t>SERTUCHE, FRANK</t>
  </si>
  <si>
    <t>PEREZ, MARCO</t>
  </si>
  <si>
    <t>MARTINEZ, EVANGELINA</t>
  </si>
  <si>
    <t>CIGARROA GUERRERO, YOLANDA</t>
  </si>
  <si>
    <t>LAREDO, ANA</t>
  </si>
  <si>
    <t>MCDONALD, PETER M</t>
  </si>
  <si>
    <t>OROZCO, JOSE A</t>
  </si>
  <si>
    <t>GILCHRIST, LINWOOD P</t>
  </si>
  <si>
    <t>CEVEDO, JAIME</t>
  </si>
  <si>
    <t>SALDANA, GUADALUPE</t>
  </si>
  <si>
    <t>LOPEZ, MELANIE</t>
  </si>
  <si>
    <t>HERNANDEZ, AGUSTIN</t>
  </si>
  <si>
    <t>LEYVA, FRANCISCO</t>
  </si>
  <si>
    <t>MAIO, RUDOLPH J</t>
  </si>
  <si>
    <t>TORRES DE MELENDEZ, CARMEN</t>
  </si>
  <si>
    <t>ARNAL, TORIBIA</t>
  </si>
  <si>
    <t>CEGLIO, MARY S</t>
  </si>
  <si>
    <t>COBOS, BERNABE</t>
  </si>
  <si>
    <t>MENDOZA, JACKIE</t>
  </si>
  <si>
    <t>GONZALEZ, JUAN M</t>
  </si>
  <si>
    <t>SOSA, LILIA V</t>
  </si>
  <si>
    <t>ARELLANO, ANTHONY J</t>
  </si>
  <si>
    <t>REYES, ALICIA L</t>
  </si>
  <si>
    <t>GAETZKE, BRAD S</t>
  </si>
  <si>
    <t>MUNOZ, ARTURO B</t>
  </si>
  <si>
    <t>CONTRERAS, MARIA D</t>
  </si>
  <si>
    <t>CARNES, DELILA</t>
  </si>
  <si>
    <t>GONZALEZ, ERIKA</t>
  </si>
  <si>
    <t>ARMENDARIZ, DIANA Y</t>
  </si>
  <si>
    <t>MINJARES, MARGARITA A</t>
  </si>
  <si>
    <t>O'ROUKE, THERESA</t>
  </si>
  <si>
    <t>ALMARAZ, BENITO</t>
  </si>
  <si>
    <t>BARCENA, BERTHA</t>
  </si>
  <si>
    <t>ALARCON, MARGARITA S</t>
  </si>
  <si>
    <t>CHACON, VERONICA</t>
  </si>
  <si>
    <t>QUIJAS, MARISSA Y</t>
  </si>
  <si>
    <t>OLIVAS, GILBERT</t>
  </si>
  <si>
    <t>FRANCO, VALERIA</t>
  </si>
  <si>
    <t>GONZALEZ DE MARTINEZ, MARIA R</t>
  </si>
  <si>
    <t>MORENO, SALVADOR</t>
  </si>
  <si>
    <t>RODRIGUEZ, HERMINA G</t>
  </si>
  <si>
    <t>PERALES, CARLOS F</t>
  </si>
  <si>
    <t>TOUSIGNANT, JAMES E</t>
  </si>
  <si>
    <t>RODRIGUEZ, GABRIEL</t>
  </si>
  <si>
    <t>CANDELARIA, ANTONIO</t>
  </si>
  <si>
    <t>BELMAN-GONZALEZ, NORBERTO</t>
  </si>
  <si>
    <t>AGUIRRE, RAUL</t>
  </si>
  <si>
    <t>MENESES, MIGUEL</t>
  </si>
  <si>
    <t>CARRILLO, ENRIQUE</t>
  </si>
  <si>
    <t>GOMEZ, ARON</t>
  </si>
  <si>
    <t>ALVARADO, LORENA</t>
  </si>
  <si>
    <t>FELIX, DORA R</t>
  </si>
  <si>
    <t>CANO, BRANDON</t>
  </si>
  <si>
    <t>MUNOZ, EDELMIRA L</t>
  </si>
  <si>
    <t>CERVANTES, ANTONIO</t>
  </si>
  <si>
    <t>TRAVER, MARIA T</t>
  </si>
  <si>
    <t>PADILLA, JANICE A</t>
  </si>
  <si>
    <t>TORRES SANDOVAL, ALFREDO</t>
  </si>
  <si>
    <t>DE LA CRUZ, MARIA</t>
  </si>
  <si>
    <t>BRITO, MARIA E</t>
  </si>
  <si>
    <t>BORGES, JOSEPH P</t>
  </si>
  <si>
    <t>MORENO, DAISY</t>
  </si>
  <si>
    <t>OSORIA MUNIZ, ERIC E</t>
  </si>
  <si>
    <t>DE LA ROSA, ANITA G</t>
  </si>
  <si>
    <t>IZUNDU, VIVIAN T</t>
  </si>
  <si>
    <t>ALFARO, REBECCA</t>
  </si>
  <si>
    <t>SILKER, BLUE E</t>
  </si>
  <si>
    <t>FLORES, MARIA</t>
  </si>
  <si>
    <t>PAYAN, LORENZO</t>
  </si>
  <si>
    <t>GUTIERREZ ALVARADO, ROSA M</t>
  </si>
  <si>
    <t>ACOSTA, OFELIA</t>
  </si>
  <si>
    <t>RAMIREZ, LIZETH</t>
  </si>
  <si>
    <t>CARRARA, PATRICIA</t>
  </si>
  <si>
    <t>LEGARRETA, CECILIA</t>
  </si>
  <si>
    <t>RILEY, FRANCISCA F</t>
  </si>
  <si>
    <t>HERNANDEZ, JUAN D</t>
  </si>
  <si>
    <t>CARRASCO, MICHELLE Y</t>
  </si>
  <si>
    <t>GARCIA, RAMON M</t>
  </si>
  <si>
    <t>ANTONIOU, PAUL E</t>
  </si>
  <si>
    <t>MURILLO, BENJAMIN</t>
  </si>
  <si>
    <t>MARQUEZ, JOSE D</t>
  </si>
  <si>
    <t>RAMIREZ, BEATRIZ G</t>
  </si>
  <si>
    <t>VELAZQUEZ, RUDY</t>
  </si>
  <si>
    <t>FLORES, JUAN E</t>
  </si>
  <si>
    <t>TORRES, ANGELICA V</t>
  </si>
  <si>
    <t>MARTINEZ, MA N</t>
  </si>
  <si>
    <t>BECERRA, CARLOS</t>
  </si>
  <si>
    <t>ARMENDARIZ, VERONICA</t>
  </si>
  <si>
    <t>CASTANEDA, ARCELIA</t>
  </si>
  <si>
    <t>MORALES, OFELIA</t>
  </si>
  <si>
    <t>PALAFOX, ANDREW J</t>
  </si>
  <si>
    <t>ENRIQUEZ, HECTOR M</t>
  </si>
  <si>
    <t>CARDOZA-JACQUEZ, MARIA L</t>
  </si>
  <si>
    <t>ARRIOLA, MARIA</t>
  </si>
  <si>
    <t>JOHNSON, CECILIA C</t>
  </si>
  <si>
    <t>GOMEZ HERRERA, ALEJANDRO</t>
  </si>
  <si>
    <t>LLEWELLYN, DIANA</t>
  </si>
  <si>
    <t>GALLEGOS, MARIA E</t>
  </si>
  <si>
    <t>GUERRERO, MARIA J</t>
  </si>
  <si>
    <t>KUHFAL, RONALD J</t>
  </si>
  <si>
    <t>DAVIS, WILLIAM</t>
  </si>
  <si>
    <t>WASHINGTON, HENRY L</t>
  </si>
  <si>
    <t>GONZALEZ, EDUARDO L</t>
  </si>
  <si>
    <t>MORENO, BRENDA L</t>
  </si>
  <si>
    <t>CLARK, RAY A</t>
  </si>
  <si>
    <t>LOPEZ, MATIANAE</t>
  </si>
  <si>
    <t>DELORA, BERTHA</t>
  </si>
  <si>
    <t>ZUANY, CARLOS E</t>
  </si>
  <si>
    <t>ACOSTA, OLGA</t>
  </si>
  <si>
    <t>MUNOZ, ELENA M</t>
  </si>
  <si>
    <t>GOMEZ, TOMMY R</t>
  </si>
  <si>
    <t>TORRES, ERIKA</t>
  </si>
  <si>
    <t>TOVAR, LETICIA</t>
  </si>
  <si>
    <t>TRUETT, FLORA</t>
  </si>
  <si>
    <t>TRUETT, EUGENE T</t>
  </si>
  <si>
    <t>VASQUEZ, SAUL</t>
  </si>
  <si>
    <t>SAENZ, MATTHEW O</t>
  </si>
  <si>
    <t>ORTIZ, MANUEL M</t>
  </si>
  <si>
    <t>AVALOS, MICHAELA</t>
  </si>
  <si>
    <t>BARCELEAU, MARIA C</t>
  </si>
  <si>
    <t>SUBIA, JOSEFINA J</t>
  </si>
  <si>
    <t>LOPEZ, CLEMENTE M</t>
  </si>
  <si>
    <t>SILVA, MARIA</t>
  </si>
  <si>
    <t>NAJAR, GUTEMBERG</t>
  </si>
  <si>
    <t>A DE VELASQUEZ, MANUELA</t>
  </si>
  <si>
    <t>MADRID, NANCY</t>
  </si>
  <si>
    <t>GONZALEZ, LORINA</t>
  </si>
  <si>
    <t>RAMIREZ, ISIDRO</t>
  </si>
  <si>
    <t>GARCIA, ROMUALDO</t>
  </si>
  <si>
    <t>SALINAS, GLORIA</t>
  </si>
  <si>
    <t>BITTICKS, CAROLYN</t>
  </si>
  <si>
    <t>FONTANA, ASHELEY</t>
  </si>
  <si>
    <t>VIEL, HOLGER P</t>
  </si>
  <si>
    <t>SPRAGUE, GUADALUPE</t>
  </si>
  <si>
    <t>RAMOS, MARIA G</t>
  </si>
  <si>
    <t>MURPHY, DANILO</t>
  </si>
  <si>
    <t>BARDSLEY, JOHN C</t>
  </si>
  <si>
    <t>SANTIAGO, MARIA</t>
  </si>
  <si>
    <t>CAMACHO, JUAN M</t>
  </si>
  <si>
    <t>NELSON, AUDREY A</t>
  </si>
  <si>
    <t>HOOVER, BENNY</t>
  </si>
  <si>
    <t>GOMEZ, CRUZ</t>
  </si>
  <si>
    <t>ROMERO, GLORIA</t>
  </si>
  <si>
    <t>REYES, LUZ</t>
  </si>
  <si>
    <t>MIRANDA, ROSA</t>
  </si>
  <si>
    <t>LF 9562</t>
  </si>
  <si>
    <t>CANALDA, SERGIO L</t>
  </si>
  <si>
    <t>PRN10340</t>
  </si>
  <si>
    <t>PRN10460</t>
  </si>
  <si>
    <t>PRN10714</t>
  </si>
  <si>
    <t>PRN10807</t>
  </si>
  <si>
    <t>PRN10973</t>
  </si>
  <si>
    <t>PRN10978</t>
  </si>
  <si>
    <t>PRN11055</t>
  </si>
  <si>
    <t>VERLANDER, SHARON J</t>
  </si>
  <si>
    <t>PRN11071</t>
  </si>
  <si>
    <t>PRN11073</t>
  </si>
  <si>
    <t>PRN11085</t>
  </si>
  <si>
    <t>PRN11159</t>
  </si>
  <si>
    <t>HURST, BIANCA</t>
  </si>
  <si>
    <t>PRN11341</t>
  </si>
  <si>
    <t>PRN11573</t>
  </si>
  <si>
    <t>PRN12121</t>
  </si>
  <si>
    <t>RAMIREZ, VERONICA</t>
  </si>
  <si>
    <t>PRN12161</t>
  </si>
  <si>
    <t>PRN12175</t>
  </si>
  <si>
    <t>PRN12465</t>
  </si>
  <si>
    <t>PRN12590</t>
  </si>
  <si>
    <t>PRN12773</t>
  </si>
  <si>
    <t>PRN12826</t>
  </si>
  <si>
    <t>PAZ, LILIA</t>
  </si>
  <si>
    <t>PRN12928</t>
  </si>
  <si>
    <t>BUENO, LETICIA</t>
  </si>
  <si>
    <t>PRN12984</t>
  </si>
  <si>
    <t>PRN13083</t>
  </si>
  <si>
    <t>PRN13211</t>
  </si>
  <si>
    <t>PRN13306</t>
  </si>
  <si>
    <t>PRN13369</t>
  </si>
  <si>
    <t>PRN13463</t>
  </si>
  <si>
    <t>PRN13467</t>
  </si>
  <si>
    <t>PRN13604</t>
  </si>
  <si>
    <t>BURACZYK, STEVEN</t>
  </si>
  <si>
    <t>PRN13646</t>
  </si>
  <si>
    <t>PRN13718</t>
  </si>
  <si>
    <t>PRN13731</t>
  </si>
  <si>
    <t>PRN13732</t>
  </si>
  <si>
    <t>PRN13749</t>
  </si>
  <si>
    <t>PRN13765</t>
  </si>
  <si>
    <t>PRN13907</t>
  </si>
  <si>
    <t>PRN13926</t>
  </si>
  <si>
    <t>GUEVARA, JULIAN</t>
  </si>
  <si>
    <t>PRN13988</t>
  </si>
  <si>
    <t>GARCIA, PARIE</t>
  </si>
  <si>
    <t>PRN13996</t>
  </si>
  <si>
    <t>PRN14053</t>
  </si>
  <si>
    <t>PRN14122</t>
  </si>
  <si>
    <t>WASHINGTON, ANTHONY O</t>
  </si>
  <si>
    <t>PRN14172</t>
  </si>
  <si>
    <t>PRN14236</t>
  </si>
  <si>
    <t>PRN14239</t>
  </si>
  <si>
    <t>PRN14338</t>
  </si>
  <si>
    <t>PRN14496</t>
  </si>
  <si>
    <t>PRN14513</t>
  </si>
  <si>
    <t>PRN14521</t>
  </si>
  <si>
    <t>PRN14524</t>
  </si>
  <si>
    <t>PRN14601</t>
  </si>
  <si>
    <t>PRN14631</t>
  </si>
  <si>
    <t>PRN14707</t>
  </si>
  <si>
    <t>PRN14862</t>
  </si>
  <si>
    <t>PRN15052</t>
  </si>
  <si>
    <t>PRN15128</t>
  </si>
  <si>
    <t>PRN15157</t>
  </si>
  <si>
    <t>PRN15246</t>
  </si>
  <si>
    <t>PRN15262</t>
  </si>
  <si>
    <t>PRN15356</t>
  </si>
  <si>
    <t>PRN15379</t>
  </si>
  <si>
    <t>PRN15471</t>
  </si>
  <si>
    <t>PRN15588</t>
  </si>
  <si>
    <t>PRN15676</t>
  </si>
  <si>
    <t>PRN15678</t>
  </si>
  <si>
    <t>PRN15746</t>
  </si>
  <si>
    <t>PRN15756</t>
  </si>
  <si>
    <t>PRN15774</t>
  </si>
  <si>
    <t>PRN15797</t>
  </si>
  <si>
    <t>PRN15843</t>
  </si>
  <si>
    <t>PRN15890</t>
  </si>
  <si>
    <t>PRN15924</t>
  </si>
  <si>
    <t>PRN15940</t>
  </si>
  <si>
    <t>JENSEN, PAUL B</t>
  </si>
  <si>
    <t>PRN15977</t>
  </si>
  <si>
    <t>PRN16014</t>
  </si>
  <si>
    <t>PRN16362</t>
  </si>
  <si>
    <t>PRN16540</t>
  </si>
  <si>
    <t>OTERO, JOHN R</t>
  </si>
  <si>
    <t>PRN16614</t>
  </si>
  <si>
    <t>PRN16709</t>
  </si>
  <si>
    <t>PRN16933</t>
  </si>
  <si>
    <t>GONZALES, DORIS A</t>
  </si>
  <si>
    <t>PRN17440</t>
  </si>
  <si>
    <t>ARANDA CAMPOS, MELANI S</t>
  </si>
  <si>
    <t>PRN9160</t>
  </si>
  <si>
    <t>PRN9506</t>
  </si>
  <si>
    <t>PRN9623</t>
  </si>
  <si>
    <t>PRN9790</t>
  </si>
  <si>
    <t>WC9299</t>
  </si>
  <si>
    <t>LANKFORD, MICHAEL S</t>
  </si>
  <si>
    <t>CARRILLO, MELISSA J</t>
  </si>
  <si>
    <t>GARCIA, MARIA L</t>
  </si>
  <si>
    <t>QUINTERO, TERESA</t>
  </si>
  <si>
    <t>VELASQUEZ, RICARDO</t>
  </si>
  <si>
    <t>HEMLIN, PAMELA J</t>
  </si>
  <si>
    <t>MENDOZA, ENRIQUE</t>
  </si>
  <si>
    <t>DE MARTE, CECILIA</t>
  </si>
  <si>
    <t>RITA, WOOLLEY</t>
  </si>
  <si>
    <t>RAMIREZ, ANTONIO A</t>
  </si>
  <si>
    <t>BURTON, MARY</t>
  </si>
  <si>
    <t>PUENTES, ESTELLA</t>
  </si>
  <si>
    <t>MONTESIONOS, LORENA</t>
  </si>
  <si>
    <t>SNELL CAROLOTTE</t>
  </si>
  <si>
    <t>RAMIREZ, PATRICIA T</t>
  </si>
  <si>
    <t>PORRAS, FRANCISCO R</t>
  </si>
  <si>
    <t>SIERRA, YOLANDA</t>
  </si>
  <si>
    <t>RODRIGUEZ, LYDIA G</t>
  </si>
  <si>
    <t>CARRASCO, MANUEL J</t>
  </si>
  <si>
    <t>BENOIT, DEIRDRE</t>
  </si>
  <si>
    <t>CANO, CORINA L</t>
  </si>
  <si>
    <t>AMARO, JENNIFER</t>
  </si>
  <si>
    <t>ESPINOZA, CRYSTAL</t>
  </si>
  <si>
    <t>CHAVEZ DE MARQUEZ, OFELIA</t>
  </si>
  <si>
    <t>BIDDLE RICHARD, JACKELINE</t>
  </si>
  <si>
    <t>ARVIZO, TERESA</t>
  </si>
  <si>
    <t>TUECKMANTEL, RUDY</t>
  </si>
  <si>
    <t>MATA, MIRELLA</t>
  </si>
  <si>
    <t>SOTO, LUZ A</t>
  </si>
  <si>
    <t>ARNAL, ERNIE</t>
  </si>
  <si>
    <t>SIGALA, GABRIEL A</t>
  </si>
  <si>
    <t>POTTER, LEONOR M</t>
  </si>
  <si>
    <t>NUNEZ, MARISELA</t>
  </si>
  <si>
    <t>CASTILLO, CLAUDIA</t>
  </si>
  <si>
    <t>ORTIZ, CASSIE</t>
  </si>
  <si>
    <t>BRYAN, JOYCE E</t>
  </si>
  <si>
    <t>THOMAS, MARIE C</t>
  </si>
  <si>
    <t>LEYVA, IRMA</t>
  </si>
  <si>
    <t>CALDERON, JUAN</t>
  </si>
  <si>
    <t>ACOSTA, CHRISTINA</t>
  </si>
  <si>
    <t>MOLINA, JESUS A</t>
  </si>
  <si>
    <t>OBLINGER, TERESA</t>
  </si>
  <si>
    <t>RIOS, GLORIA F</t>
  </si>
  <si>
    <t>MASSINGILL, SANDRA</t>
  </si>
  <si>
    <t>RIOS, BERTHA</t>
  </si>
  <si>
    <t>CARRIZALES DE BURLINGAME, MARIA S</t>
  </si>
  <si>
    <t>JIMENEZ, VIRGINIA E</t>
  </si>
  <si>
    <t>FAVELA, DANIEL H</t>
  </si>
  <si>
    <t>ALVIDREZ, MARIA</t>
  </si>
  <si>
    <t>ESCOBEDO, FERNANDO</t>
  </si>
  <si>
    <t>CAPOTE, SABRINA</t>
  </si>
  <si>
    <t>VEGA, DELIA</t>
  </si>
  <si>
    <t>SANDOVAL, TERESA</t>
  </si>
  <si>
    <t>HARTNETT, EDDIE</t>
  </si>
  <si>
    <t>ZAPATA, AMANDA J</t>
  </si>
  <si>
    <t>JORDAN, FRANCISCO</t>
  </si>
  <si>
    <t>MANCINAS DE GALARZA, NAYELI</t>
  </si>
  <si>
    <t>ESTRADA, OMAR</t>
  </si>
  <si>
    <t>MUCHA, STEVEN J</t>
  </si>
  <si>
    <t>GARCIA, JOEL B</t>
  </si>
  <si>
    <t>VALENCIA, DELIA I</t>
  </si>
  <si>
    <t>URBAN, FRANCES</t>
  </si>
  <si>
    <t>LANDEROS, ERNESTO</t>
  </si>
  <si>
    <t>MOLINA, GABRIELA S</t>
  </si>
  <si>
    <t>ARANDA, ANTONIO JR</t>
  </si>
  <si>
    <t>FERNANDEZ, JORGE H</t>
  </si>
  <si>
    <t>VILLARREAL, ELSA</t>
  </si>
  <si>
    <t>GONZALEZ, JANIE M</t>
  </si>
  <si>
    <t>DODSON, NEAL O</t>
  </si>
  <si>
    <t>MADRID, ELAINE G</t>
  </si>
  <si>
    <t>MCQUADE, DIANA</t>
  </si>
  <si>
    <t>NAJERA DE MIRANDA, GLORIA</t>
  </si>
  <si>
    <t>TORRES, BEATRIZ</t>
  </si>
  <si>
    <t>JIMENEZ, LETICIA</t>
  </si>
  <si>
    <t>SHIVELY, PHILIP D</t>
  </si>
  <si>
    <t>HERNANDEZ, MARIA E</t>
  </si>
  <si>
    <t>GARCIA, MARIA DEL SOCORRO</t>
  </si>
  <si>
    <t>CISNEROS, MARIADELCARMEN</t>
  </si>
  <si>
    <t>WILBOURN, CHARLES P</t>
  </si>
  <si>
    <t>MCDANIEL, CURTIS E</t>
  </si>
  <si>
    <t>QUINONES, LUZ E</t>
  </si>
  <si>
    <t>REICHMAN, BRUCE A</t>
  </si>
  <si>
    <t>PINA, CELSA E</t>
  </si>
  <si>
    <t>REALY VASQUEZ, RICARDO</t>
  </si>
  <si>
    <t>ORTIZ, EVA A</t>
  </si>
  <si>
    <t>ESPARZA, ROSA</t>
  </si>
  <si>
    <t>OSCAR, JOSEFINA D</t>
  </si>
  <si>
    <t>FLORES, ENRIQUE R</t>
  </si>
  <si>
    <t>LEAL, ERIC</t>
  </si>
  <si>
    <t>SHIVELY, DEBORAH</t>
  </si>
  <si>
    <t>AMEZQUITA, JOSE ISMAEL R</t>
  </si>
  <si>
    <t>GONZALEZ, ADELA M</t>
  </si>
  <si>
    <t>ALFEREZ, RUBEN</t>
  </si>
  <si>
    <t>SILVAS, TOMAS M</t>
  </si>
  <si>
    <t>LUNA, CRYSTAL D</t>
  </si>
  <si>
    <t>BARCENAS SEGURA, SONIA I</t>
  </si>
  <si>
    <t>RUBINO, ANNA</t>
  </si>
  <si>
    <t>BYERS, CHRISTINA O</t>
  </si>
  <si>
    <t>RODRIGUEZ, CONSUELO</t>
  </si>
  <si>
    <t>TARIN, LUIS A</t>
  </si>
  <si>
    <t>MITCHELL, LAUREN J</t>
  </si>
  <si>
    <t>NAVARRO, RAMON</t>
  </si>
  <si>
    <t>ARTEAGA, MARIA G</t>
  </si>
  <si>
    <t>CHRISTIANSON, SANDRA V</t>
  </si>
  <si>
    <t>DOMINGUEZ, RITA</t>
  </si>
  <si>
    <t>SALAIZ, SOFIA C</t>
  </si>
  <si>
    <t>BAUTISTA, BRITANY</t>
  </si>
  <si>
    <t>FRANCO, YVONNE E</t>
  </si>
  <si>
    <t>MEJIA, AGUSTINA F</t>
  </si>
  <si>
    <t>ROSALES, ISABEL</t>
  </si>
  <si>
    <t>CASTILLO, ALBERT</t>
  </si>
  <si>
    <t>ALVARADO, GUADALUPE</t>
  </si>
  <si>
    <t>CARRERA, ADELAIDA</t>
  </si>
  <si>
    <t>JUAREZ, MARIA</t>
  </si>
  <si>
    <t>CISNEROS, JAVIER</t>
  </si>
  <si>
    <t>DOMINGUEZ, LUZ R</t>
  </si>
  <si>
    <t>RODRIGUEZ, AURORA</t>
  </si>
  <si>
    <t>SERRATO, RAYMOND</t>
  </si>
  <si>
    <t>HERNANDEZ, RICARDO J</t>
  </si>
  <si>
    <t>DOMINGUEZ, RITA Z</t>
  </si>
  <si>
    <t>ORQUIZ, LILIANA</t>
  </si>
  <si>
    <t>RODRIGUEZ FOXWORTHY, SYLVIA R</t>
  </si>
  <si>
    <t>CAMACHO, LOTTI F</t>
  </si>
  <si>
    <t>DE MARTE, CECILIA A</t>
  </si>
  <si>
    <t>MONTESINOS, LORENA</t>
  </si>
  <si>
    <t>KNIGHT, KAY-LA AYANA N</t>
  </si>
  <si>
    <t>RIVERA, JAIME J</t>
  </si>
  <si>
    <t>MELENDEZ DE DIAZ, MARIA DE JESUS</t>
  </si>
  <si>
    <t>BLANQUEZ, JACQUELINE D</t>
  </si>
  <si>
    <t>SILVA, MARIA A</t>
  </si>
  <si>
    <t>MATA, ELIZABETH</t>
  </si>
  <si>
    <t>COSSEO, IRMA</t>
  </si>
  <si>
    <t>SWITZER, JOHN</t>
  </si>
  <si>
    <t>ELLIS, PATRICIA</t>
  </si>
  <si>
    <t>SALINAS, GLORIA S</t>
  </si>
  <si>
    <t>BITTICKS, CAROLYN S</t>
  </si>
  <si>
    <t>ALVAREZ, MARISSA</t>
  </si>
  <si>
    <t>FAULKNER, HALEY</t>
  </si>
  <si>
    <t>ROBLES, BERTHA D</t>
  </si>
  <si>
    <t>RUPAS, ZACHARY</t>
  </si>
  <si>
    <t>SMITH, MONICA PATRICIA</t>
  </si>
  <si>
    <t>ALONSO, ADELA</t>
  </si>
  <si>
    <t>TORRES, LUIS</t>
  </si>
  <si>
    <t>CEJA RIVERA, PEDRO</t>
  </si>
  <si>
    <t>CORRAL, EDUARDO A</t>
  </si>
  <si>
    <t>RICO, JOSE</t>
  </si>
  <si>
    <t>ESTRADA, ALEJANDRO</t>
  </si>
  <si>
    <t>AVILA, CECILIA E</t>
  </si>
  <si>
    <t>RODRIGUEZ, SALVADOR</t>
  </si>
  <si>
    <t>STOUFFER, PEYTON</t>
  </si>
  <si>
    <t>PEREZ, ABEL</t>
  </si>
  <si>
    <t>PACHECHO, LUZ MARIA</t>
  </si>
  <si>
    <t>GODINEZ, JESUS</t>
  </si>
  <si>
    <t>MARTINEZ SOTO, BLANCA I</t>
  </si>
  <si>
    <t>KHINE, MAY</t>
  </si>
  <si>
    <t>MUNOZ, JUAN M</t>
  </si>
  <si>
    <t>MORGAN, MARTINA A</t>
  </si>
  <si>
    <t>RAMOS, KARINA</t>
  </si>
  <si>
    <t>FRANCO, VALERIA G</t>
  </si>
  <si>
    <t>LUJAN, ISMAEL</t>
  </si>
  <si>
    <t>SIQUEIROS, EVANGELINA</t>
  </si>
  <si>
    <t>WOOLLEY, RITA V</t>
  </si>
  <si>
    <t>BORGES, MARIA D</t>
  </si>
  <si>
    <t>CARRILLO, ARMANDO M</t>
  </si>
  <si>
    <t>ZUMIDO, LILIA H</t>
  </si>
  <si>
    <t>KRAWCION, PATRICIA</t>
  </si>
  <si>
    <t>AMAYA, JUAN</t>
  </si>
  <si>
    <t>MENDOZA, ROSA E</t>
  </si>
  <si>
    <t>ESQUIVEL, IRENE M</t>
  </si>
  <si>
    <t>LANDRY, NETTIE L</t>
  </si>
  <si>
    <t>AGUAYO, JOSE M</t>
  </si>
  <si>
    <t>GANDARA HERNANDEZ, RICARDO</t>
  </si>
  <si>
    <t>HERRERA, MARIA</t>
  </si>
  <si>
    <t>VALLES DE MUNOZ, MANUELA</t>
  </si>
  <si>
    <t>MACIAS, GUADALUPE</t>
  </si>
  <si>
    <t>PULIDO, MIGUEL</t>
  </si>
  <si>
    <t>COBOS RODRIGUEZ, MARTHA</t>
  </si>
  <si>
    <t>ACEVEDO, BERTHA</t>
  </si>
  <si>
    <t>ENCARNACION, STELIANA</t>
  </si>
  <si>
    <t>CASTRO, ALEJANDRA</t>
  </si>
  <si>
    <t>DE LEON DE TOVAR, MARIA E</t>
  </si>
  <si>
    <t>OROURKE, THERESA A</t>
  </si>
  <si>
    <t>ALFARO, REBECCA M</t>
  </si>
  <si>
    <t>TORRES, HERIBERTO JR</t>
  </si>
  <si>
    <t>CISNEROS, MARIA DEL CARMEN</t>
  </si>
  <si>
    <t>BLACHARD, LAILA</t>
  </si>
  <si>
    <t>GARDNER, LUZ M</t>
  </si>
  <si>
    <t>ACOSTA, GUILLERMO D</t>
  </si>
  <si>
    <t>PRN14600</t>
  </si>
  <si>
    <t>ACEVEDO, JUANA</t>
  </si>
  <si>
    <t>CARDOZA VARGAS, MARIA G</t>
  </si>
  <si>
    <t>MORENO, SALVADOR JR</t>
  </si>
  <si>
    <t>MATTHEWS, REGINALD</t>
  </si>
  <si>
    <t>SIAS, RODOLOFO R</t>
  </si>
  <si>
    <t>RISER, MARIA E</t>
  </si>
  <si>
    <t>MUNOZ MOLINAR, RAMIRO</t>
  </si>
  <si>
    <t>HERNANDEZ, KRISTOPHER</t>
  </si>
  <si>
    <t>BONNER, DONALD J</t>
  </si>
  <si>
    <t>TORRES, JESUS J</t>
  </si>
  <si>
    <t>RODRIGUEZ, MARGARET</t>
  </si>
  <si>
    <t>DEANDA, LINDA</t>
  </si>
  <si>
    <t>ANCHONDO, BLANCA L</t>
  </si>
  <si>
    <t>HUIZAR, ROSA E</t>
  </si>
  <si>
    <t>HERRERA, BLAS</t>
  </si>
  <si>
    <t>CHERENA, LUIS</t>
  </si>
  <si>
    <t>BAUGH, WILLIAM</t>
  </si>
  <si>
    <t>CHAVEZ, ALFRED</t>
  </si>
  <si>
    <t>ACEVEDO, JAIME</t>
  </si>
  <si>
    <t>VELASQUEZ, MANUELA A</t>
  </si>
  <si>
    <t>MARTINEZ, BETSABE M</t>
  </si>
  <si>
    <t>VIERA, EDWARD L</t>
  </si>
  <si>
    <t>GONZALES, ANDY</t>
  </si>
  <si>
    <t>RIVERA, ISRAEL</t>
  </si>
  <si>
    <t>ALTORAN MONTIJO, DOMINGO</t>
  </si>
  <si>
    <t>MUELA, GUSTAVO</t>
  </si>
  <si>
    <t>ORTIZ, ADRIAN</t>
  </si>
  <si>
    <t>WARREN, PATRICIA</t>
  </si>
  <si>
    <t>HUNTER, WARREN A</t>
  </si>
  <si>
    <t>PEREZ, JUVENTINO M</t>
  </si>
  <si>
    <t>LOPEZ, MATIANA E</t>
  </si>
  <si>
    <t>RIOS, DENISE A</t>
  </si>
  <si>
    <t>NIETO, LUCY M</t>
  </si>
  <si>
    <t>REYES, LUZ M</t>
  </si>
  <si>
    <t>CEJA, SALVADOR</t>
  </si>
  <si>
    <t>DOMINGUEZ, MARILYN</t>
  </si>
  <si>
    <t>ORTEGA, DOLORES O</t>
  </si>
  <si>
    <t>RIVERA HERNANDEZ, LETICIA M</t>
  </si>
  <si>
    <t>ALTORAN MONTIJO, DOMINGO G</t>
  </si>
  <si>
    <t>TEST, ESMERALDA K</t>
  </si>
  <si>
    <t>HERAS, CLAUDIA V</t>
  </si>
  <si>
    <t>MACDONALD, PETER M</t>
  </si>
  <si>
    <t>KENNEDY, TAMMY L</t>
  </si>
  <si>
    <t>LLEWELLYN, DIANA L</t>
  </si>
  <si>
    <t>MURPHY, DANILO A</t>
  </si>
  <si>
    <t>SOLIS, FELIPA E</t>
  </si>
  <si>
    <t>PRN 16803</t>
  </si>
  <si>
    <t>CARRILLO, CHRISTINA M</t>
  </si>
  <si>
    <t>LINDSEY, ROBERT</t>
  </si>
  <si>
    <t>VASQUEZ, GUADALUPE</t>
  </si>
  <si>
    <t>GURROLA, PORFIRIO</t>
  </si>
  <si>
    <t>BLANTON, PATRICIA A</t>
  </si>
  <si>
    <t>ALMODOVAR VARGAS, GONZALO</t>
  </si>
  <si>
    <t>GOMEZ, ESTHELA</t>
  </si>
  <si>
    <t>PADILLA, RAUL</t>
  </si>
  <si>
    <t>MCINTOSH, CHRISTINE L</t>
  </si>
  <si>
    <t>BRISENO, SYLVIA D</t>
  </si>
  <si>
    <t>AJTUN, YESENIA M</t>
  </si>
  <si>
    <t>TREVINO, ROBERTO</t>
  </si>
  <si>
    <t>RIOS, GRACIELA A</t>
  </si>
  <si>
    <t>DELLOSSIE, GRACIELA</t>
  </si>
  <si>
    <t>CASTANON, GUADALUPE</t>
  </si>
  <si>
    <t>JIMENEZ, ROBERTO</t>
  </si>
  <si>
    <t>ACOSTA, OFELIA V</t>
  </si>
  <si>
    <t>CARMONA, LORENA</t>
  </si>
  <si>
    <t>DIAZ-SANCHEZ, IRMA E</t>
  </si>
  <si>
    <t>VON MITTENWALD, LEANNE W</t>
  </si>
  <si>
    <t>ALEMAN, GRACIELA</t>
  </si>
  <si>
    <t>MUNN, GARRY L</t>
  </si>
  <si>
    <t>ARTECHE, YOLANDA</t>
  </si>
  <si>
    <t>SALCIDO, ROBERT</t>
  </si>
  <si>
    <t>DOMINGUEZ, ADRIAN R</t>
  </si>
  <si>
    <t>RIOS, ESPERANZA</t>
  </si>
  <si>
    <t>ESTRADA, MARCO A</t>
  </si>
  <si>
    <t>HEIRAS, LUIS R</t>
  </si>
  <si>
    <t>MULHOLLAND, DEBORAH S</t>
  </si>
  <si>
    <t>CASTRO, DANIEL</t>
  </si>
  <si>
    <t>HERRERA, LUIS M</t>
  </si>
  <si>
    <t>ACUNA, YEZIKA M</t>
  </si>
  <si>
    <t>LEOS, GLORIA</t>
  </si>
  <si>
    <t>ACENCIO, DENISE M</t>
  </si>
  <si>
    <t>ROSE, LEROY</t>
  </si>
  <si>
    <t>AKPOROTU, SIMON</t>
  </si>
  <si>
    <t>LEGARRETA, CECILIA A</t>
  </si>
  <si>
    <t>GONZALEZ, ABRAHAM</t>
  </si>
  <si>
    <t>WC 9299</t>
  </si>
  <si>
    <t>REYES, MONSERRAT M</t>
  </si>
  <si>
    <t>MATHEWS, NICOLE J</t>
  </si>
  <si>
    <t>BENOIT, DEIRDRE E</t>
  </si>
  <si>
    <t>POTTER, LEONOR</t>
  </si>
  <si>
    <t>RIOS, BERTHA R</t>
  </si>
  <si>
    <t>VEGA, DELIA H</t>
  </si>
  <si>
    <t>HARTNETT, JAMES E</t>
  </si>
  <si>
    <t>RIVAS, LUCY</t>
  </si>
  <si>
    <t>PAZ, JORGE R.</t>
  </si>
  <si>
    <t>CASTILLO, CLAUDIA E</t>
  </si>
  <si>
    <t>PULIDO-REYES, MIGUEL</t>
  </si>
  <si>
    <t>RODRIGUEZ, MARTHA C</t>
  </si>
  <si>
    <t>BAUGH, ELIZABETH</t>
  </si>
  <si>
    <t>BARNNET, ANGELA M</t>
  </si>
  <si>
    <t>ROBLES ELIAS, ANTONIO</t>
  </si>
  <si>
    <t>PUENTES, OSIRIS</t>
  </si>
  <si>
    <t>GARCIA, RICHARD</t>
  </si>
  <si>
    <t>MEDRANO, MARIA</t>
  </si>
  <si>
    <t>COE, JOHN RICHARD</t>
  </si>
  <si>
    <t>FOLMER, MELANIE A</t>
  </si>
  <si>
    <t>SOTO, SOCORRO</t>
  </si>
  <si>
    <t>VELASCO, ROSARIO</t>
  </si>
  <si>
    <t>CHEW, LUIS ENRIQUE</t>
  </si>
  <si>
    <t>ABASTA, HERIBERTO O</t>
  </si>
  <si>
    <t>SANTIESTEBAN, CARMEN</t>
  </si>
  <si>
    <t>ROBLEDO, CARLOS</t>
  </si>
  <si>
    <t>WILLIAMS, MARTHA M</t>
  </si>
  <si>
    <t>PANFILO, JAYME</t>
  </si>
  <si>
    <t>GARCIA, ROSA M</t>
  </si>
  <si>
    <t>GREEN, VALERIE A</t>
  </si>
  <si>
    <t>VELASCO, MARIA E</t>
  </si>
  <si>
    <t>MARTINEZ, PHILIP</t>
  </si>
  <si>
    <t>JAMES, CAROLYN D</t>
  </si>
  <si>
    <t>CHAVIRA, VIRGINIA B</t>
  </si>
  <si>
    <t>HENDERSON, WILYUM</t>
  </si>
  <si>
    <t>RODRIGUEZ, FERNANDA I</t>
  </si>
  <si>
    <t>FLORES, EMMA U</t>
  </si>
  <si>
    <t>CABRERA VASQUEZ, FLAVIO</t>
  </si>
  <si>
    <t>CASTANEDA, HECTOR</t>
  </si>
  <si>
    <t>DELGADO, FELICIANA</t>
  </si>
  <si>
    <t>CARRASCO, EDWARD</t>
  </si>
  <si>
    <t>SANCHEZ, RADAMES</t>
  </si>
  <si>
    <t>LIZARRAGA, MARIA</t>
  </si>
  <si>
    <t>GIRARD, WILLIAM P</t>
  </si>
  <si>
    <t>MARQUEZ, GUADALUPE G</t>
  </si>
  <si>
    <t>RODRIGUEZ, ANGIE A</t>
  </si>
  <si>
    <t>KIDD PARTRIDGE, MARY K</t>
  </si>
  <si>
    <t>PRN 17156</t>
  </si>
  <si>
    <t>MARQUEZ, RICARDO</t>
  </si>
  <si>
    <t>TORRES, JOSE O</t>
  </si>
  <si>
    <t>GONZALES, TOMAS</t>
  </si>
  <si>
    <t>RUIZ, BERTHA R</t>
  </si>
  <si>
    <t>GARCIA, ERIC R</t>
  </si>
  <si>
    <t>NIETO, FRANK R</t>
  </si>
  <si>
    <t>SAENZ, SHEILA P</t>
  </si>
  <si>
    <t>SALINAS NANCE, GISSEL</t>
  </si>
  <si>
    <t>PEREZ, JOEL</t>
  </si>
  <si>
    <t>VILLALOBOS, HECTOR</t>
  </si>
  <si>
    <t>MELENDEZ, TERESA</t>
  </si>
  <si>
    <t>NUNEZ, JUANA M</t>
  </si>
  <si>
    <t>MIRSHAMSI, JEFFRY H</t>
  </si>
  <si>
    <t>TUCKER, LAWRENCE</t>
  </si>
  <si>
    <t>CLEMENTS, DARYL W</t>
  </si>
  <si>
    <t>PRN 17962</t>
  </si>
  <si>
    <t>ACOSTA, MARLENE</t>
  </si>
  <si>
    <t>LUJAN, ISMAEL J</t>
  </si>
  <si>
    <t>CRESPO, MAYRA L</t>
  </si>
  <si>
    <t>ENRIQUEZ, CECILIA</t>
  </si>
  <si>
    <t>CHACON, ANA M</t>
  </si>
  <si>
    <t>ARROYO, ISMAEL O</t>
  </si>
  <si>
    <t>OCAMPO, MARIA</t>
  </si>
  <si>
    <t>MOORE, MARGARET</t>
  </si>
  <si>
    <t>ARREOLA, LUIS G</t>
  </si>
  <si>
    <t>PEOPLES, JAMES J</t>
  </si>
  <si>
    <t>FUENTES, JAMES</t>
  </si>
  <si>
    <t>VILLALBA, SERGIO A</t>
  </si>
  <si>
    <t>RAZO, ELENA</t>
  </si>
  <si>
    <t>DE LA ROSA ESCOBEDO, FELIPE</t>
  </si>
  <si>
    <t>SILVA, DANIEL</t>
  </si>
  <si>
    <t>CABRALES CHAVIRA, GISSELLE</t>
  </si>
  <si>
    <t>MONTES, MARTHA P</t>
  </si>
  <si>
    <t>GUERRA, ARACELI</t>
  </si>
  <si>
    <t>VIGIL, KELLY</t>
  </si>
  <si>
    <t>TUCKER,LAWRENCE</t>
  </si>
  <si>
    <t>SANCHEZ, ROSARIO</t>
  </si>
  <si>
    <t>PRN 16702</t>
  </si>
  <si>
    <t>RODARTE, KARINA</t>
  </si>
  <si>
    <t>PRN 16636</t>
  </si>
  <si>
    <t>SALAZAR, JOSE A</t>
  </si>
  <si>
    <t>GARCIA, HORTENCIA</t>
  </si>
  <si>
    <t>LOPEZ, ALMA G</t>
  </si>
  <si>
    <t>BAGLEY, LORETTA</t>
  </si>
  <si>
    <t>LEWIS, BRIAN J</t>
  </si>
  <si>
    <t>GRANADO, ANTONIO</t>
  </si>
  <si>
    <t>RIPOLL, ADELIDA A</t>
  </si>
  <si>
    <t>PRN 11516</t>
  </si>
  <si>
    <t>HERNANDEZ, RAUL R</t>
  </si>
  <si>
    <t>CUBILLAS, DANIEL I</t>
  </si>
  <si>
    <t>THOMAS, CARL E</t>
  </si>
  <si>
    <t>PALOMARES, CLAUDIA</t>
  </si>
  <si>
    <t>BALSACH, NANCY</t>
  </si>
  <si>
    <t>CORRAL, VERONICA</t>
  </si>
  <si>
    <t>ELIZONDO, ERICA</t>
  </si>
  <si>
    <t>CARON, WANDA</t>
  </si>
  <si>
    <t>MELENDEZ, EDWIN</t>
  </si>
  <si>
    <t>KEIM, CHRISTINE C</t>
  </si>
  <si>
    <t>SPANGLER, JASON S</t>
  </si>
  <si>
    <t>PRN 15152</t>
  </si>
  <si>
    <t>LADUE, HILLARY G</t>
  </si>
  <si>
    <t>FREIBERG, JOANNA L</t>
  </si>
  <si>
    <t>PEREZ,JOEL</t>
  </si>
  <si>
    <t>LOPEZ, ERIKA M</t>
  </si>
  <si>
    <t>IBARRA, ANGIE R</t>
  </si>
  <si>
    <t>NIETO,FRANK R</t>
  </si>
  <si>
    <t>MERJIL, SOCORRO</t>
  </si>
  <si>
    <t>WILSON, MARK</t>
  </si>
  <si>
    <t>ESCAMILLA, RAUL</t>
  </si>
  <si>
    <t>PRN 15737</t>
  </si>
  <si>
    <t>PRN 11215</t>
  </si>
  <si>
    <t>LEYVA, ELIZABETH</t>
  </si>
  <si>
    <t>PRN 16187</t>
  </si>
  <si>
    <t>GARCIA, HILDA J</t>
  </si>
  <si>
    <t>VILLA DE TORRES, JUANA M</t>
  </si>
  <si>
    <t>GUTIERREZ, REFUGIO</t>
  </si>
  <si>
    <t>PRN 15895</t>
  </si>
  <si>
    <t>PRN 9158</t>
  </si>
  <si>
    <t>BELTRAN BARRIOS, LIZETH</t>
  </si>
  <si>
    <t>GOMEZ PEREZ, MACLOVIO</t>
  </si>
  <si>
    <t>PADERES, SILVIA</t>
  </si>
  <si>
    <t>PRN 9419</t>
  </si>
  <si>
    <t>BERNAL-SAINZ, HERLINDA</t>
  </si>
  <si>
    <t>NAVARRO, ELENA</t>
  </si>
  <si>
    <t>BARCENAS, SONIA I</t>
  </si>
  <si>
    <t>AVALOS, MICAELA</t>
  </si>
  <si>
    <t>PRN 14571</t>
  </si>
  <si>
    <t>ANCHONDO, SARA G</t>
  </si>
  <si>
    <t>GARCIA, JASON</t>
  </si>
  <si>
    <t>HARPER, AMBER M</t>
  </si>
  <si>
    <t>DE LA ROSA, DAVID</t>
  </si>
  <si>
    <t>GARCIA, YOLANDA J</t>
  </si>
  <si>
    <t>GUZMAN, ASHLEY C</t>
  </si>
  <si>
    <t>CABRERA, ADRIANA</t>
  </si>
  <si>
    <t>PEINADO, RICHARD</t>
  </si>
  <si>
    <t>REYES, ROSA M</t>
  </si>
  <si>
    <t>MARTINEZ, SHARON A</t>
  </si>
  <si>
    <t>FLORES ONTIVEROS, REBECCA</t>
  </si>
  <si>
    <t>GUERRERA, DEBBIE</t>
  </si>
  <si>
    <t>GARCIA, ROSA E</t>
  </si>
  <si>
    <t>KITCHENS, MARIA</t>
  </si>
  <si>
    <t>WANER, ANDREW M</t>
  </si>
  <si>
    <t>REVELES, LILIA</t>
  </si>
  <si>
    <t>JOHNSTON, GLORIA</t>
  </si>
  <si>
    <t>MELENDEZ,TERESA</t>
  </si>
  <si>
    <t>GONZALES,TOMAS</t>
  </si>
  <si>
    <t>AMAYA, PATRICIA S</t>
  </si>
  <si>
    <t>RAMIREZ, MARIA E</t>
  </si>
  <si>
    <t>DELGADO, FELICIANA V</t>
  </si>
  <si>
    <t>SERRANO, PAULA G</t>
  </si>
  <si>
    <t>BANDA, ROSE A</t>
  </si>
  <si>
    <t>GONZALEZ SILVA, AGUSTIN</t>
  </si>
  <si>
    <t>BAUERKEMPER, SAMUEL</t>
  </si>
  <si>
    <t>LOPEZ, BARBARA BRINKLEY</t>
  </si>
  <si>
    <t>PARRA, MAXIMO</t>
  </si>
  <si>
    <t>SANCHEZ, JANETH</t>
  </si>
  <si>
    <t>LLAMAS, MOISES D</t>
  </si>
  <si>
    <t>ARENAS RAYON, DULCE N</t>
  </si>
  <si>
    <t>HOGAN, CASEY</t>
  </si>
  <si>
    <t>DAVIS, ANITA C</t>
  </si>
  <si>
    <t>QUEZADA, ROSA</t>
  </si>
  <si>
    <t>GHODSEE, JOSEPH I</t>
  </si>
  <si>
    <t>ARMENDARIZ, ROBERTO</t>
  </si>
  <si>
    <t>HERNANDEZ, ALONZO H</t>
  </si>
  <si>
    <t>TORLA, FLORENCE M</t>
  </si>
  <si>
    <t>GREEN, SHARON G</t>
  </si>
  <si>
    <t>GAINES, JAMON E</t>
  </si>
  <si>
    <t>GUTIERREZ, ROSAURA</t>
  </si>
  <si>
    <t>HERRERA, DEBBIE</t>
  </si>
  <si>
    <t>GRANT, DEMETRIS S</t>
  </si>
  <si>
    <t>HERNANDEZ, JOSEPHINE M</t>
  </si>
  <si>
    <t>VELASQUEZ, RUDY</t>
  </si>
  <si>
    <t>NEVAREZ, MANUELA G</t>
  </si>
  <si>
    <t>SINGH, JATINDER</t>
  </si>
  <si>
    <t>BUCK, MICHAEL V</t>
  </si>
  <si>
    <t>ACOSTA, RAUL R</t>
  </si>
  <si>
    <t>SALES, PATRICIA B</t>
  </si>
  <si>
    <t>HOLGUIN, HECTOR M</t>
  </si>
  <si>
    <t>REYES, ELFIDA A</t>
  </si>
  <si>
    <t>ASENCIO, DENISE M</t>
  </si>
  <si>
    <t>MARTINEZ, TERESA</t>
  </si>
  <si>
    <t>PANOS, ELIZABETH</t>
  </si>
  <si>
    <t>RAMIREZ, CYNTHIA</t>
  </si>
  <si>
    <t>BOTELLO, EMMA A</t>
  </si>
  <si>
    <t>VENEGAS, CARLOS A</t>
  </si>
  <si>
    <t>VIEZCAS DE GIRON, ROSA M</t>
  </si>
  <si>
    <t>RUIZ, SONIA R</t>
  </si>
  <si>
    <t>MAGDALENO NAVARRO, MARTHA</t>
  </si>
  <si>
    <t>MUNOZ, LETICIA J</t>
  </si>
  <si>
    <t>PEREZ, ENITH</t>
  </si>
  <si>
    <t>JUVENAL RAMIREZ, JOSE</t>
  </si>
  <si>
    <t>UGARTE, FERNANDO JR</t>
  </si>
  <si>
    <t>AMAYA, SALVADOR</t>
  </si>
  <si>
    <t>RASSETTE, CHERYL L</t>
  </si>
  <si>
    <t>ARAIZA DE ENRIQUEZ, ROSA M</t>
  </si>
  <si>
    <t>PRN 17568</t>
  </si>
  <si>
    <t>ARCHULETA, ANGELICA</t>
  </si>
  <si>
    <t>CARROLL, EDMOUND A</t>
  </si>
  <si>
    <t>KHINE, MAY T</t>
  </si>
  <si>
    <t>RUVALCABA, MARTHA R</t>
  </si>
  <si>
    <t>FERNANDEZ, PURA P</t>
  </si>
  <si>
    <t>QUINTANA, JULIA</t>
  </si>
  <si>
    <t>BERTAUD, BRENDA</t>
  </si>
  <si>
    <t>GARRIS, ROBERT R</t>
  </si>
  <si>
    <t>REYES, OSCAR L</t>
  </si>
  <si>
    <t>CERON, FRANCISCO S</t>
  </si>
  <si>
    <t>COSSIO, IRMA</t>
  </si>
  <si>
    <t>ACOSTA, MARIA T</t>
  </si>
  <si>
    <t>SANDOVAL, JUAN</t>
  </si>
  <si>
    <t>SAENZ, JUAN</t>
  </si>
  <si>
    <t>CAVENDER, JACOB H</t>
  </si>
  <si>
    <t>MACIAS, DELIA</t>
  </si>
  <si>
    <t>ANGULO, GULISIAS E</t>
  </si>
  <si>
    <t>VILLALOBOS, DORA</t>
  </si>
  <si>
    <t>RODRIGUEZ, NORMA Y</t>
  </si>
  <si>
    <t>BRYAN, ANTONIO A</t>
  </si>
  <si>
    <t>GUERRA, PATRICK L</t>
  </si>
  <si>
    <t>ARRIOLA, ANTONIA</t>
  </si>
  <si>
    <t>PARRA, RAMONA G</t>
  </si>
  <si>
    <t>TEST, KARINA</t>
  </si>
  <si>
    <t>RAMIREZ, MARIA C</t>
  </si>
  <si>
    <t>BAUTISTA, ARTURO H</t>
  </si>
  <si>
    <t>CARO, MICHAEL</t>
  </si>
  <si>
    <t>CANO, CARMEN Z</t>
  </si>
  <si>
    <t>PRN18207</t>
  </si>
  <si>
    <t>PRN 15706</t>
  </si>
  <si>
    <t>PRN 15659</t>
  </si>
  <si>
    <t>PRN 13263</t>
  </si>
  <si>
    <t>PRN 17816</t>
  </si>
  <si>
    <t>JASSO DE GUTIERREZ, MANUELA</t>
  </si>
  <si>
    <t>MURPHY, MELISSA M</t>
  </si>
  <si>
    <t>TOSH, ERIKA H</t>
  </si>
  <si>
    <t>ROSALES, INOSENCIO</t>
  </si>
  <si>
    <t>ZAPATA, ALICIA</t>
  </si>
  <si>
    <t>WATTERS, WILLIAM</t>
  </si>
  <si>
    <t>GRANADOS, JOSE</t>
  </si>
  <si>
    <t>MENDEZ, SOCORRO</t>
  </si>
  <si>
    <t>DELGADO, SAUL</t>
  </si>
  <si>
    <t>MONTOYA, LEOPOLDO M</t>
  </si>
  <si>
    <t>GATLIN, VENNESSA M</t>
  </si>
  <si>
    <t>PRN 13909</t>
  </si>
  <si>
    <t>PRN 15923</t>
  </si>
  <si>
    <t>MOTES, TRENT I</t>
  </si>
  <si>
    <t>CARRILLO, MARY J</t>
  </si>
  <si>
    <t>SANCHEZ, AURORA</t>
  </si>
  <si>
    <t>GRANADO, MONICA</t>
  </si>
  <si>
    <t>RAZO, MARIAH N</t>
  </si>
  <si>
    <t>ANDAZOLA, LETICIA</t>
  </si>
  <si>
    <t>ROBLES, ADRIAN A</t>
  </si>
  <si>
    <t>MORENO, SOFIA</t>
  </si>
  <si>
    <t>PADILLA, PRISCILLA</t>
  </si>
  <si>
    <t>PORTILLO, ESTHER</t>
  </si>
  <si>
    <t>MATA VILLELA, ISIDRO</t>
  </si>
  <si>
    <t>SWEENY, LINDA</t>
  </si>
  <si>
    <t>ARANDA, RODOLFO</t>
  </si>
  <si>
    <t>ROSALES DE LOPEZ, REINA</t>
  </si>
  <si>
    <t>SOTO, SARAH L</t>
  </si>
  <si>
    <t>ACOSTA, LETICIA</t>
  </si>
  <si>
    <t>ROJANO, ROSA</t>
  </si>
  <si>
    <t>VARELA, MARIA C</t>
  </si>
  <si>
    <t>SERRANO, YVONNE</t>
  </si>
  <si>
    <t>YANEZ, AGUSTINA R</t>
  </si>
  <si>
    <t>WATSON, DANE A</t>
  </si>
  <si>
    <t>WARDOPPER, BENJAMIN J</t>
  </si>
  <si>
    <t>DOLZINBYRD, MARTHA M.</t>
  </si>
  <si>
    <t>RAMOS, JESUS G</t>
  </si>
  <si>
    <t>BLOT, RICHARD M</t>
  </si>
  <si>
    <t>GOMEZ, IGNACIO</t>
  </si>
  <si>
    <t>CARRASCO, RUBEN</t>
  </si>
  <si>
    <t>BURCIAGA, JAVIER</t>
  </si>
  <si>
    <t>TREVINO, EDUARDO</t>
  </si>
  <si>
    <t>ANDREWS, TRACY</t>
  </si>
  <si>
    <t>CARRILLO, DANNY</t>
  </si>
  <si>
    <t>LACA, RICHARD</t>
  </si>
  <si>
    <t>LOPEZ DE RODRIGUEZ, CARMEN</t>
  </si>
  <si>
    <t>MUNOZ, MARIA</t>
  </si>
  <si>
    <t>LUJAN, MARIA D</t>
  </si>
  <si>
    <t>LOPEZ, DINAH O</t>
  </si>
  <si>
    <t>MARTINEZ, GUADALUPE C</t>
  </si>
  <si>
    <t>REYES, REBECCA A</t>
  </si>
  <si>
    <t>DE LA O, ALEJANDRO</t>
  </si>
  <si>
    <t>RUIZ, JOSE</t>
  </si>
  <si>
    <t>ROA, MARIA L</t>
  </si>
  <si>
    <t>ACUNA, FELIPE J</t>
  </si>
  <si>
    <t>BELTRAN, MIGUEL</t>
  </si>
  <si>
    <t>ROJO, KAREN</t>
  </si>
  <si>
    <t>DIAZ, ROBERTO H</t>
  </si>
  <si>
    <t>SOLIS, ARACELY</t>
  </si>
  <si>
    <t>MUNOZ, DAVID</t>
  </si>
  <si>
    <t>GOMEZ, GILBERT</t>
  </si>
  <si>
    <t>MUNOZ DE KOESLER, SANJUANA</t>
  </si>
  <si>
    <t>DUNDORE, MARIA L</t>
  </si>
  <si>
    <t>LEON AGUIRRE, ANTONIO</t>
  </si>
  <si>
    <t>GARCIA, MARIA T</t>
  </si>
  <si>
    <t>PRN 18038</t>
  </si>
  <si>
    <t>CANCHOLA, GABRIEL M</t>
  </si>
  <si>
    <t>HERNANDEZ, BLANCA E</t>
  </si>
  <si>
    <t>OLIVAS, LETICIA</t>
  </si>
  <si>
    <t>ALLVILLAR, LUZ E</t>
  </si>
  <si>
    <t>ROYBAL, ROSENDO</t>
  </si>
  <si>
    <t>OWENS, ROBERT M</t>
  </si>
  <si>
    <t>CARDONA, SALVADOR</t>
  </si>
  <si>
    <t>MADRID, ELIZABETH A</t>
  </si>
  <si>
    <t>MENDOZA, DANIEL</t>
  </si>
  <si>
    <t>ROSALES, FAUSTINO G</t>
  </si>
  <si>
    <t>WILLIAMSON, KENT</t>
  </si>
  <si>
    <t>GODINEZ, ALICIA E</t>
  </si>
  <si>
    <t>ORLOWSKI, PATRICIA</t>
  </si>
  <si>
    <t>NIPPLE, DARIUS L</t>
  </si>
  <si>
    <t>MADRID, RUDY</t>
  </si>
  <si>
    <t>HERNANDEZ SORIA, VERONICA</t>
  </si>
  <si>
    <t>JURISIC, KYLE J</t>
  </si>
  <si>
    <t>CORTEZ, EVA</t>
  </si>
  <si>
    <t>MARQUEZ, MARTA M</t>
  </si>
  <si>
    <t>SOLIZ, OSCAR</t>
  </si>
  <si>
    <t>DELARNA, EVA A</t>
  </si>
  <si>
    <t>AGUERO MARTINEZ, ALFRED</t>
  </si>
  <si>
    <t>LIMON, JENNIE A</t>
  </si>
  <si>
    <t>HOLAN, SUK M</t>
  </si>
  <si>
    <t>GAVALDON, RICHARD</t>
  </si>
  <si>
    <t>TORRES, MARIA E</t>
  </si>
  <si>
    <t>LUNA, ROSA</t>
  </si>
  <si>
    <t>GALINDO, JOSE L</t>
  </si>
  <si>
    <t>VALLES, EDMUNDO</t>
  </si>
  <si>
    <t>RUIZ, TONY</t>
  </si>
  <si>
    <t>DURAN, JULIAN</t>
  </si>
  <si>
    <t>JONES, DEWAYNE W</t>
  </si>
  <si>
    <t>EASTMAN, CAROL K</t>
  </si>
  <si>
    <t>ROJO, BERTHA</t>
  </si>
  <si>
    <t>MULLEN, PATRICK T</t>
  </si>
  <si>
    <t>GARCIA, LUZ M</t>
  </si>
  <si>
    <t>CERVANTES, VICTORIA</t>
  </si>
  <si>
    <t>LUTMAN, SHANNON K</t>
  </si>
  <si>
    <t>CORDERO, ALEXIS</t>
  </si>
  <si>
    <t>JIMENEZ, EMMA</t>
  </si>
  <si>
    <t>JACQUEZ, ELISA M</t>
  </si>
  <si>
    <t>MARQUEZ, JAIRO</t>
  </si>
  <si>
    <t>ROMERO, JUAN</t>
  </si>
  <si>
    <t>RANGEL, SANDRA H</t>
  </si>
  <si>
    <t>WHITESIDE, STEPHANIE</t>
  </si>
  <si>
    <t>MCKENZIE, KARYN L</t>
  </si>
  <si>
    <t>REVELES, JOSE</t>
  </si>
  <si>
    <t>SANCHEZ, DAVINA</t>
  </si>
  <si>
    <t>GONZALEZ, JOSHUA M</t>
  </si>
  <si>
    <t>HODGKINS, GERALD</t>
  </si>
  <si>
    <t>CARDENAS, MARIA C</t>
  </si>
  <si>
    <t>SEANEZ, FREDERICK J</t>
  </si>
  <si>
    <t>COVARRUBIAS, YAMEL A</t>
  </si>
  <si>
    <t>EVRAGE, JAMES R</t>
  </si>
  <si>
    <t>PRIMARY INSURANCE NAME</t>
  </si>
  <si>
    <t>TIME</t>
  </si>
  <si>
    <t>DATE</t>
  </si>
  <si>
    <t>MEDICARE REPLACEMENT</t>
  </si>
  <si>
    <t>AARP MEDICARE COMPLETE</t>
  </si>
  <si>
    <t>AETNA MEDICARE</t>
  </si>
  <si>
    <t>AETNA</t>
  </si>
  <si>
    <t>AMERIVANTAGE</t>
  </si>
  <si>
    <t>AMERIVANTAGE DUAL</t>
  </si>
  <si>
    <t>AETNA MEDICARE ADVANTAGE</t>
  </si>
  <si>
    <t>BCBS MEDICARE ADVANTAGE NM</t>
  </si>
  <si>
    <t>ALLWELL - SUPERIOR</t>
  </si>
  <si>
    <t>BCBS MEDICARE ADVANTAGE TX</t>
  </si>
  <si>
    <t>AMBETTER - SUPERIOR</t>
  </si>
  <si>
    <t>CLOVER INSURANCE</t>
  </si>
  <si>
    <t>AMERIGROUP</t>
  </si>
  <si>
    <t>HUMANA GOLD CHOICE NETWORK PFFS</t>
  </si>
  <si>
    <t>AMERIGROUP MEDICAID</t>
  </si>
  <si>
    <t>HUMANA GOLD PLUS HMO</t>
  </si>
  <si>
    <t>HUMANA MEDICARE PPO</t>
  </si>
  <si>
    <t>MEDICARE</t>
  </si>
  <si>
    <t>BAS - PHCS PPO</t>
  </si>
  <si>
    <t>MOLINA DUAL COMPLETE NEW MEXICO</t>
  </si>
  <si>
    <t>BCBS CENTENNIAL</t>
  </si>
  <si>
    <t>MOLINA DUAL COMPLETE TEXAS</t>
  </si>
  <si>
    <t>BCBS FEDERAL</t>
  </si>
  <si>
    <t>MOLINA MEDICARE HMO NEW MEXICO</t>
  </si>
  <si>
    <t>BCBS HEALTH SELECT</t>
  </si>
  <si>
    <t>MOLINA MEDICARE NEW MEXICO</t>
  </si>
  <si>
    <t>BCBS HIGHMARK MEDICAL</t>
  </si>
  <si>
    <t>MOLINA MEDICARE TEXAS</t>
  </si>
  <si>
    <t>BCBS HMO NM</t>
  </si>
  <si>
    <t>RAILROAD MEDICARE</t>
  </si>
  <si>
    <t>BCBS HMO TX</t>
  </si>
  <si>
    <t>UNITED HEALTH CARE DUAL</t>
  </si>
  <si>
    <t>UNITED HEALTH CARE MEDICARE</t>
  </si>
  <si>
    <t>WELLCARE HMO / PPO</t>
  </si>
  <si>
    <t>BCBS PPO NEW MEXICO</t>
  </si>
  <si>
    <t>BCBSNM PPO (BLUE CROSS BLUE SHIELD) - CLAIMS GO TO LOCAL TEXAS</t>
  </si>
  <si>
    <t>BCBSTX FEDERAL (BLUE CROSS BLUE SHIELD)</t>
  </si>
  <si>
    <t>BCBSTX HMO</t>
  </si>
  <si>
    <t>BCBSTX PPO</t>
  </si>
  <si>
    <t>BLUE CROSS MEDICARE ADVANTAGE HMO TX</t>
  </si>
  <si>
    <t>CHAMPVA</t>
  </si>
  <si>
    <t>CIGNA</t>
  </si>
  <si>
    <t>CIGNA - SOCORRO ISD</t>
  </si>
  <si>
    <t>CIGNA HEALTHSPRING</t>
  </si>
  <si>
    <t>CIGNA NALC</t>
  </si>
  <si>
    <t>CIGNA OPEN ACCESS PLAN (OAP)</t>
  </si>
  <si>
    <t>CIGNA OPEN ACCESS PPO</t>
  </si>
  <si>
    <t>EL PASO HEALTH PLAN</t>
  </si>
  <si>
    <t>EL PASO VA</t>
  </si>
  <si>
    <t>FIRST HEALTH - FIVEPOINTS BENEFIT PLANS</t>
  </si>
  <si>
    <t>FIRST HEALTH PPO / COVENTRY</t>
  </si>
  <si>
    <t>FRIDAY HEALTH PLAN</t>
  </si>
  <si>
    <t>GEHA</t>
  </si>
  <si>
    <t>HUMANA CHOICE CARE</t>
  </si>
  <si>
    <t>HUMANA EMPLOYER PPO PLUS</t>
  </si>
  <si>
    <t>HUMANA OPEN ACCESS PLAN</t>
  </si>
  <si>
    <t>INSURANCE</t>
  </si>
  <si>
    <t>MEDICAID TEXAS</t>
  </si>
  <si>
    <t>MEDICARE TEXAS</t>
  </si>
  <si>
    <t>MOLINA MARKETPLACE NEW MEXICO</t>
  </si>
  <si>
    <t>MOLINA MARKETPLACE TEXAS</t>
  </si>
  <si>
    <t>MOLINA MEDICAID STAR PLUS TEXAS</t>
  </si>
  <si>
    <t>MOLINA MEDICAID STAR TEXAS</t>
  </si>
  <si>
    <t>MOLINA MEDICAID TEXAS</t>
  </si>
  <si>
    <t>MULTIPLAN / PHCS</t>
  </si>
  <si>
    <t>NEW MEXICO MEDICAID</t>
  </si>
  <si>
    <t>PREFERRED ADMINISTRATORS</t>
  </si>
  <si>
    <t>PRESBYTERIAN HEALTH PLAN</t>
  </si>
  <si>
    <t>SELF-PAY</t>
  </si>
  <si>
    <t>SUPERIOR HEALTH PLAN</t>
  </si>
  <si>
    <t>SUPERIOR HEALTH PLAN MEDICAID</t>
  </si>
  <si>
    <t>SUPERIOR HEALTH PLAN MEDICAID STAR / STAR PLUS</t>
  </si>
  <si>
    <t>THIRD PARTY PAYER TWO - EH</t>
  </si>
  <si>
    <t>THIRD PARTY PAYER TWO - MH</t>
  </si>
  <si>
    <t>TRICARE FOR LIFE</t>
  </si>
  <si>
    <t>TRICARE PRIME</t>
  </si>
  <si>
    <t>TRICARE SELECT</t>
  </si>
  <si>
    <t>UHC CHOICE PLUS</t>
  </si>
  <si>
    <t>UHC DUAL COMPLETE</t>
  </si>
  <si>
    <t>UHC MEDICARE COMPLETE</t>
  </si>
  <si>
    <t>UHC SHARED SERVICES</t>
  </si>
  <si>
    <t>UMR</t>
  </si>
  <si>
    <t>UNITED HEALTH CARE</t>
  </si>
  <si>
    <t>UNITED HEALTH CARE CHOICE PLUS</t>
  </si>
  <si>
    <t>UNITED HEALTH CARE COMMERCIAL</t>
  </si>
  <si>
    <t>UNITED HEALTH CARE COMMUNITY PLAN</t>
  </si>
  <si>
    <t>UNITED HEALTH CARE GEHA</t>
  </si>
  <si>
    <t>UNITED HEALTH CARE MEDICAID</t>
  </si>
  <si>
    <t>UNITED HEALTHCARE - HEALTH SELECT</t>
  </si>
  <si>
    <t>USA MCO PPO</t>
  </si>
  <si>
    <t>USA MCO WC</t>
  </si>
  <si>
    <t>WC - ANTHEMS ADMINISTRATORS ONE CALL</t>
  </si>
  <si>
    <t>WC - CCMSI</t>
  </si>
  <si>
    <t>WC - CLAIMS ADMINISTRATIVE</t>
  </si>
  <si>
    <t>WC - CORVEL</t>
  </si>
  <si>
    <t>WC - DEPARTMENT OF LABOR</t>
  </si>
  <si>
    <t>WC - DONEGAL MUTUAL INSURANCE</t>
  </si>
  <si>
    <t>WC - GALLAGHER BASSETT SERVICES</t>
  </si>
  <si>
    <t>WC - HIGHLANDS INSURANCE</t>
  </si>
  <si>
    <t>WC - L ROBERTS INC. AIG AMERICAN HOME</t>
  </si>
  <si>
    <t>WC - LIBERTY MUTUAL</t>
  </si>
  <si>
    <t>WC - ODESSA ENTERPRISE</t>
  </si>
  <si>
    <t>WC - PREMIAN CLAIM SERVICE INC</t>
  </si>
  <si>
    <t>WC - SEDGWICK</t>
  </si>
  <si>
    <t>WC - SUMMIT</t>
  </si>
  <si>
    <t>WC - TEXAS PROPERTY AND CASUALTY INSURANCE GUARANTY ASSOCIATION</t>
  </si>
  <si>
    <t>WC - TRAVELERS INSURANCE</t>
  </si>
  <si>
    <t>WELLCARE OF TEXAS</t>
  </si>
  <si>
    <t>WELLCARE OF TEXAS HMO</t>
  </si>
  <si>
    <t>WELLMED</t>
  </si>
  <si>
    <t>WELLMED - AARP MEDICARE COMPLETE</t>
  </si>
  <si>
    <t>WELLMED - AMERIVANTAGE</t>
  </si>
  <si>
    <t>WELLMED - CAREFIRST</t>
  </si>
  <si>
    <t>WELLMED - CIGNA HEALTHSPRING</t>
  </si>
  <si>
    <t>WELLMED - HUMANA</t>
  </si>
  <si>
    <t>WELLMED - UHC CHRONIC COMPLETE HMO C-SNP</t>
  </si>
  <si>
    <t>WELLMED - UHC DUAL COMPLETE HMO SNP</t>
  </si>
  <si>
    <t>WELLMED - UHC DUAL COMPLETE SNP</t>
  </si>
  <si>
    <t>WESTERN SKY COMMUNITY</t>
  </si>
  <si>
    <t>WPS VA</t>
  </si>
  <si>
    <t>WPS VA - COMMUNITY CARE</t>
  </si>
  <si>
    <t>WPS VA - PC3</t>
  </si>
  <si>
    <t>UNITED HEALTH ONE - UHC CHOICEPLUS</t>
  </si>
  <si>
    <t>UNITED HEALTH CARE CHOICEPLUS</t>
  </si>
  <si>
    <t>REVIEWED</t>
  </si>
  <si>
    <t>;</t>
  </si>
  <si>
    <t>https://forms.gle/p5UXxAQ3j4BErqmB8</t>
  </si>
  <si>
    <t>MRN #</t>
  </si>
  <si>
    <t>TIME COLLECTED</t>
  </si>
  <si>
    <t>GENDER</t>
  </si>
  <si>
    <t>PROVIDER</t>
  </si>
  <si>
    <t>NEW PATIENT</t>
  </si>
  <si>
    <t>FOLLOW UP PATIENT</t>
  </si>
  <si>
    <t>PRELIM ONLY</t>
  </si>
  <si>
    <t>NOTES</t>
  </si>
  <si>
    <t>MOLINA</t>
  </si>
  <si>
    <t>ECW VISIT TYPE</t>
  </si>
  <si>
    <t>ECW VISIT TYPE MATCH</t>
  </si>
  <si>
    <t>Total</t>
  </si>
  <si>
    <t>Prelim</t>
  </si>
  <si>
    <t>TOTAL</t>
  </si>
  <si>
    <t>COUNT</t>
  </si>
  <si>
    <t>missing</t>
  </si>
  <si>
    <t>MRNDOS</t>
  </si>
  <si>
    <t>VISIT TYPE</t>
  </si>
  <si>
    <t>RESOURCE</t>
  </si>
  <si>
    <t>VISIT STATUS</t>
  </si>
  <si>
    <t>CHECK-IN</t>
  </si>
  <si>
    <t>VERIFIED</t>
  </si>
  <si>
    <t>REPEAT</t>
  </si>
  <si>
    <t>UA-Prelim</t>
  </si>
  <si>
    <t>UA-NP</t>
  </si>
  <si>
    <t>MARTINEZ</t>
  </si>
  <si>
    <t>UACollecte</t>
  </si>
  <si>
    <t>UA</t>
  </si>
  <si>
    <t>TORRES</t>
  </si>
  <si>
    <t>UA-NWPT</t>
  </si>
  <si>
    <t>UA-Provider</t>
  </si>
  <si>
    <t>LOPEZ</t>
  </si>
  <si>
    <t>WESTERN SKY COMMUNITY CARE</t>
  </si>
  <si>
    <t>THOMAS</t>
  </si>
  <si>
    <t>MARTINEZ, CORINA</t>
  </si>
  <si>
    <t>CARSON, ELIZABETH</t>
  </si>
  <si>
    <t>GOMEZ, MARIA D</t>
  </si>
  <si>
    <t>CIGNA - NALC</t>
  </si>
  <si>
    <t>LEWIS, ANTHONY Y</t>
  </si>
  <si>
    <t>VILLANUEVA, RAYMUNDO</t>
  </si>
  <si>
    <t>ELISONDO, RAMON</t>
  </si>
  <si>
    <t>ANCHONDO DE GONZALEZ, EDNA H</t>
  </si>
  <si>
    <t>IGOCHE, ANAI</t>
  </si>
  <si>
    <t>UMR - UNITED HEALTHCARE</t>
  </si>
  <si>
    <t>AETNA HMO</t>
  </si>
  <si>
    <t>THE AMERICAN WORKER - PHCS PPO</t>
  </si>
  <si>
    <t>WC - INTERNATIONAL SOLUTIONS SERVICES</t>
  </si>
  <si>
    <t>MONTANEZ CARRILLO, CHRISTIAN</t>
  </si>
  <si>
    <t>CHAVEZ, ARTURO</t>
  </si>
  <si>
    <t>GIBSON, MARY L</t>
  </si>
  <si>
    <t>DIAZ, LINDA M</t>
  </si>
  <si>
    <t>MUNOZ, DANIEL</t>
  </si>
  <si>
    <t>CHAVEZ, MARIA C</t>
  </si>
  <si>
    <t>RENTERIA, FELIX J</t>
  </si>
  <si>
    <t>Thomas</t>
  </si>
  <si>
    <t>WC - ASARCO INCORP. OLD REPUBLIC</t>
  </si>
  <si>
    <t>ARRENAS RAYON, DULCE</t>
  </si>
  <si>
    <t>JIMENEZ, VIRGINIA</t>
  </si>
  <si>
    <t>ID</t>
  </si>
  <si>
    <t>NEW PT</t>
  </si>
  <si>
    <t>F/U PT</t>
  </si>
  <si>
    <t>PRELIM</t>
  </si>
  <si>
    <t>DM</t>
  </si>
  <si>
    <t>X</t>
  </si>
  <si>
    <t>DA</t>
  </si>
  <si>
    <t>CH</t>
  </si>
  <si>
    <t>LM</t>
  </si>
  <si>
    <t>ERRATA</t>
  </si>
  <si>
    <t>AVG</t>
  </si>
  <si>
    <t>SUM</t>
  </si>
  <si>
    <t>LATEST DATE</t>
  </si>
  <si>
    <t>EARLIEST DATE</t>
  </si>
  <si>
    <t>TIMEFRAME IN DAYS</t>
  </si>
  <si>
    <t>ERROR FREQ IN DAYS</t>
  </si>
  <si>
    <t>ERR</t>
  </si>
  <si>
    <t>MONTH</t>
  </si>
  <si>
    <t>SCORE</t>
  </si>
  <si>
    <t>NORMALIZED</t>
  </si>
  <si>
    <t>ERROR FREQ (DAYS)</t>
  </si>
  <si>
    <t>SD</t>
  </si>
  <si>
    <t>Z</t>
  </si>
  <si>
    <t>*EVERY 4 DAYS THERE IS 1 MISTAKE</t>
  </si>
  <si>
    <t>JANUARY 
FROM
01/06/2022
TO
02/03/2022</t>
  </si>
  <si>
    <t>THUS AT THIS RATE, THERE'S 7 MISTAKES PER COLLECTOR ON A 28 DAY PERIOD. 
DAYS SINCE COUNTING STARTED:</t>
  </si>
  <si>
    <t>Z SCORE</t>
  </si>
  <si>
    <t>-2Z</t>
  </si>
  <si>
    <t>-1Z</t>
  </si>
  <si>
    <t>1Z</t>
  </si>
  <si>
    <t>2Z</t>
  </si>
  <si>
    <t>COLL / ERRORS</t>
  </si>
  <si>
    <t>DAYS</t>
  </si>
  <si>
    <t>~ ANYONE BELOW A 70% IS TO BE WRITTEN UP</t>
  </si>
  <si>
    <t>OR EN ERROR FREQ BELOW</t>
  </si>
  <si>
    <t>TEAM ERRORS PER DAY</t>
  </si>
  <si>
    <t>AVERAGE</t>
  </si>
  <si>
    <t>AVERAGE ERROR FREQUENCY</t>
  </si>
  <si>
    <t>PEOPLE</t>
  </si>
  <si>
    <t>1555544613</t>
  </si>
  <si>
    <t>✓</t>
  </si>
  <si>
    <t>UA-Prelim : Preliminary UA Test</t>
  </si>
  <si>
    <t>MATCH</t>
  </si>
  <si>
    <t xml:space="preserve"> </t>
  </si>
  <si>
    <t>1814444613</t>
  </si>
  <si>
    <t>UA-NWPT : UA New Patient</t>
  </si>
  <si>
    <t>1279544613</t>
  </si>
  <si>
    <t>1537944613</t>
  </si>
  <si>
    <t>UA : Urine Analysis In House</t>
  </si>
  <si>
    <t>1583144613</t>
  </si>
  <si>
    <t>1798244613</t>
  </si>
  <si>
    <t>1802344613</t>
  </si>
  <si>
    <t>1609644613</t>
  </si>
  <si>
    <t>967644613</t>
  </si>
  <si>
    <t>1076644613</t>
  </si>
  <si>
    <t>1720944613</t>
  </si>
  <si>
    <t>1813044613</t>
  </si>
  <si>
    <t>1323544613</t>
  </si>
  <si>
    <t>1033744613</t>
  </si>
  <si>
    <t>1597244613</t>
  </si>
  <si>
    <t>1812844613</t>
  </si>
  <si>
    <t>1638844613</t>
  </si>
  <si>
    <t>1227544613</t>
  </si>
  <si>
    <t>1673944613</t>
  </si>
  <si>
    <t>1758144613</t>
  </si>
  <si>
    <t>1812544613</t>
  </si>
  <si>
    <t>1603544613</t>
  </si>
  <si>
    <t>1138944613</t>
  </si>
  <si>
    <t>1613544613</t>
  </si>
  <si>
    <t>926544613</t>
  </si>
  <si>
    <t>1388544613</t>
  </si>
  <si>
    <t>1425644613</t>
  </si>
  <si>
    <t>1815944613</t>
  </si>
  <si>
    <t>1763744613</t>
  </si>
  <si>
    <t>1255644613</t>
  </si>
  <si>
    <t>1490044613</t>
  </si>
  <si>
    <t>1062344613</t>
  </si>
  <si>
    <t>1004744613</t>
  </si>
  <si>
    <t>1418544613</t>
  </si>
  <si>
    <t>1812744613</t>
  </si>
  <si>
    <t>1817844613</t>
  </si>
  <si>
    <t>936144613</t>
  </si>
  <si>
    <t>1591044613</t>
  </si>
  <si>
    <t>924244613</t>
  </si>
  <si>
    <t>1169044613</t>
  </si>
  <si>
    <t>1418444613</t>
  </si>
  <si>
    <t>1135744614</t>
  </si>
  <si>
    <t>1557044614</t>
  </si>
  <si>
    <t>1816744614</t>
  </si>
  <si>
    <t>1383044614</t>
  </si>
  <si>
    <t>1561144614</t>
  </si>
  <si>
    <t>1120744614</t>
  </si>
  <si>
    <t>1437344614</t>
  </si>
  <si>
    <t>1624544614</t>
  </si>
  <si>
    <t>1816044614</t>
  </si>
  <si>
    <t>1818544614</t>
  </si>
  <si>
    <t>949244614</t>
  </si>
  <si>
    <t>1367344614</t>
  </si>
  <si>
    <t>1817344614</t>
  </si>
  <si>
    <t>1425744614</t>
  </si>
  <si>
    <t>1817944614</t>
  </si>
  <si>
    <t>1768344614</t>
  </si>
  <si>
    <t>1071844614</t>
  </si>
  <si>
    <t>1698344614</t>
  </si>
  <si>
    <t>1814944614</t>
  </si>
  <si>
    <t>1815444614</t>
  </si>
  <si>
    <t>1632044614</t>
  </si>
  <si>
    <t>1743244614</t>
  </si>
  <si>
    <t>1687344614</t>
  </si>
  <si>
    <t>1814244614</t>
  </si>
  <si>
    <t>1780444614</t>
  </si>
  <si>
    <t>1794544614</t>
  </si>
  <si>
    <t>1081744614</t>
  </si>
  <si>
    <t>1452044614</t>
  </si>
  <si>
    <t>1475744615</t>
  </si>
  <si>
    <t>1237544615</t>
  </si>
  <si>
    <t>1498544615</t>
  </si>
  <si>
    <t>1629444615</t>
  </si>
  <si>
    <t>1522344615</t>
  </si>
  <si>
    <t>928344615</t>
  </si>
  <si>
    <t>1172844615</t>
  </si>
  <si>
    <t>1817444615</t>
  </si>
  <si>
    <t>1785444615</t>
  </si>
  <si>
    <t>1751244615</t>
  </si>
  <si>
    <t>1342944615</t>
  </si>
  <si>
    <t>1565944615</t>
  </si>
  <si>
    <t>1626244615</t>
  </si>
  <si>
    <t>1105944615</t>
  </si>
  <si>
    <t>1778944615</t>
  </si>
  <si>
    <t>1107244615</t>
  </si>
  <si>
    <t>1817644615</t>
  </si>
  <si>
    <t>1820744615</t>
  </si>
  <si>
    <t>1046644615</t>
  </si>
  <si>
    <t>1639244615</t>
  </si>
  <si>
    <t>1521944615</t>
  </si>
  <si>
    <t>1532844615</t>
  </si>
  <si>
    <t>1628644615</t>
  </si>
  <si>
    <t>1819244615</t>
  </si>
  <si>
    <t>916444615</t>
  </si>
  <si>
    <t>957444615</t>
  </si>
  <si>
    <t>1818944615</t>
  </si>
  <si>
    <t>1003144615</t>
  </si>
  <si>
    <t>1044544615</t>
  </si>
  <si>
    <t>1141144615</t>
  </si>
  <si>
    <t>1173844615</t>
  </si>
  <si>
    <t>1244644615</t>
  </si>
  <si>
    <t>1504444615</t>
  </si>
  <si>
    <t>1553044615</t>
  </si>
  <si>
    <t>1122344616</t>
  </si>
  <si>
    <t>1418344616</t>
  </si>
  <si>
    <t>1697444616</t>
  </si>
  <si>
    <t>1633344616</t>
  </si>
  <si>
    <t>1277544616</t>
  </si>
  <si>
    <t>1345844616</t>
  </si>
  <si>
    <t>1450344616</t>
  </si>
  <si>
    <t>1560444616</t>
  </si>
  <si>
    <t>1011544616</t>
  </si>
  <si>
    <t>1079644616</t>
  </si>
  <si>
    <t>1266944616</t>
  </si>
  <si>
    <t>1731644616</t>
  </si>
  <si>
    <t>1754844616</t>
  </si>
  <si>
    <t>1791144616</t>
  </si>
  <si>
    <t>1360144616</t>
  </si>
  <si>
    <t>1647444616</t>
  </si>
  <si>
    <t>1379944616</t>
  </si>
  <si>
    <t>1460244616</t>
  </si>
  <si>
    <t>1286644616</t>
  </si>
  <si>
    <t>987844616</t>
  </si>
  <si>
    <t>1514544616</t>
  </si>
  <si>
    <t>1039544616</t>
  </si>
  <si>
    <t>1559144616</t>
  </si>
  <si>
    <t>1721444616</t>
  </si>
  <si>
    <t>1032344616</t>
  </si>
  <si>
    <t>1179744616</t>
  </si>
  <si>
    <t>1605344616</t>
  </si>
  <si>
    <t>1058344616</t>
  </si>
  <si>
    <t>1669544616</t>
  </si>
  <si>
    <t>1758744616</t>
  </si>
  <si>
    <t>1764544616</t>
  </si>
  <si>
    <t>1635544617</t>
  </si>
  <si>
    <t>1625244617</t>
  </si>
  <si>
    <t>1560644617</t>
  </si>
  <si>
    <t>1623644617</t>
  </si>
  <si>
    <t>1087844617</t>
  </si>
  <si>
    <t>1578644617</t>
  </si>
  <si>
    <t>1663744617</t>
  </si>
  <si>
    <t>1727644617</t>
  </si>
  <si>
    <t>1100444617</t>
  </si>
  <si>
    <t>918744617</t>
  </si>
  <si>
    <t>1057344620</t>
  </si>
  <si>
    <t>1176144620</t>
  </si>
  <si>
    <t>1222444620</t>
  </si>
  <si>
    <t>1418644620</t>
  </si>
  <si>
    <t>1461244620</t>
  </si>
  <si>
    <t>1475344620</t>
  </si>
  <si>
    <t>1490944620</t>
  </si>
  <si>
    <t>1517544620</t>
  </si>
  <si>
    <t>1537544620</t>
  </si>
  <si>
    <t>1554944620</t>
  </si>
  <si>
    <t>1612844620</t>
  </si>
  <si>
    <t>1765744620</t>
  </si>
  <si>
    <t>1788744620</t>
  </si>
  <si>
    <t>1800944620</t>
  </si>
  <si>
    <t>1810544620</t>
  </si>
  <si>
    <t>1817144620</t>
  </si>
  <si>
    <t>1819944620</t>
  </si>
  <si>
    <t>1820144620</t>
  </si>
  <si>
    <t>1820244620</t>
  </si>
  <si>
    <t>1820544620</t>
  </si>
  <si>
    <t>1824644620</t>
  </si>
  <si>
    <t/>
  </si>
  <si>
    <t>SEX</t>
  </si>
  <si>
    <t>M</t>
  </si>
  <si>
    <t>F</t>
  </si>
  <si>
    <t>BAXTER KATHY</t>
  </si>
  <si>
    <t>STAFFORD REGINALD</t>
  </si>
  <si>
    <t>10/03/97</t>
  </si>
  <si>
    <t>DB</t>
  </si>
  <si>
    <t>MANNING DALE</t>
  </si>
  <si>
    <t>Medicare Texas</t>
  </si>
  <si>
    <t>LUJAN MARIA</t>
  </si>
  <si>
    <t xml:space="preserve">LOPEZ </t>
  </si>
  <si>
    <t>COE JOHN</t>
  </si>
  <si>
    <t>QUINONES FRANCISCO</t>
  </si>
  <si>
    <t>HARBER, LYNN</t>
  </si>
  <si>
    <t>WELLMED- UHC CHRONIC COMPLETE HMO C-SNP</t>
  </si>
  <si>
    <t>LOPEZ, DINAH</t>
  </si>
  <si>
    <t xml:space="preserve">BCBSTX PPO </t>
  </si>
  <si>
    <t>CHRISTO HARRY</t>
  </si>
  <si>
    <t>NAJERA MINERVA</t>
  </si>
  <si>
    <t>GARCIA,LEONARDA</t>
  </si>
  <si>
    <t>WELLMED-CIGNA HEALTHSPRING</t>
  </si>
  <si>
    <t>ACOSTA, MARIA</t>
  </si>
  <si>
    <t>BAS- PHCS PPO</t>
  </si>
  <si>
    <t>FRYE, DEBORAH</t>
  </si>
  <si>
    <t xml:space="preserve">WELLMED-AMERIVANTAGE </t>
  </si>
  <si>
    <t>MMARTINEZ DEANA</t>
  </si>
  <si>
    <t>MARTINEZ, GUADALUPE</t>
  </si>
  <si>
    <t>SWAB</t>
  </si>
  <si>
    <t>SOTO, SARAH</t>
  </si>
  <si>
    <t xml:space="preserve">AMERIVANTAGE DUAL </t>
  </si>
  <si>
    <t>REYES, REBECCA</t>
  </si>
  <si>
    <t xml:space="preserve">CHAVEZ RUBEN </t>
  </si>
  <si>
    <t>HUMANA GLOD PLUS HMO</t>
  </si>
  <si>
    <t>LANDRY NETTIE</t>
  </si>
  <si>
    <t>OROZCO MARIA</t>
  </si>
  <si>
    <t>WC- GALLAGHER BASSETT SERVICES</t>
  </si>
  <si>
    <t>GUERRERO, GUILLERMO</t>
  </si>
  <si>
    <t>WPS VA COMMUNITY CARE</t>
  </si>
  <si>
    <t>WOLFE, PEGGY</t>
  </si>
  <si>
    <t>Escamilla Raul</t>
  </si>
  <si>
    <t>Enciso Hortensia</t>
  </si>
  <si>
    <t>GARCIA JUAN</t>
  </si>
  <si>
    <t>TORRES SYLVIA</t>
  </si>
  <si>
    <t>MORALES, FRANK</t>
  </si>
  <si>
    <t>WPS VA-COMMUNITY CARE</t>
  </si>
  <si>
    <t>Bachus, Guadalupe</t>
  </si>
  <si>
    <t>WELLMED-AARP MEDICARE COMPLETE</t>
  </si>
  <si>
    <t>Doherty William</t>
  </si>
  <si>
    <t>Castaneda Olga</t>
  </si>
  <si>
    <t>Lopez</t>
  </si>
  <si>
    <t>Amerigroup</t>
  </si>
  <si>
    <t>Lopez,Natividad</t>
  </si>
  <si>
    <t>f</t>
  </si>
  <si>
    <t>lm</t>
  </si>
  <si>
    <t>Mata, Roland</t>
  </si>
  <si>
    <t>Esquivel, Armando</t>
  </si>
  <si>
    <t>Garcia, Hilda</t>
  </si>
  <si>
    <t>UKE CHIBUIKE</t>
  </si>
  <si>
    <t xml:space="preserve">CAMPOS HECTOR </t>
  </si>
  <si>
    <t xml:space="preserve">WHEAT-ERBY RUTH </t>
  </si>
  <si>
    <t>HENSLEY LAURA</t>
  </si>
  <si>
    <t>VALENZUELA LAURA</t>
  </si>
  <si>
    <t>RICHARDSON SIOMARA</t>
  </si>
  <si>
    <t xml:space="preserve">WPS -  VA COMMUNITY CARE </t>
  </si>
  <si>
    <t>CUELLAR JOSE</t>
  </si>
  <si>
    <t>AETNA MEDICARE ADVENTAGE</t>
  </si>
  <si>
    <t>FERNANDEZ, RICARDO</t>
  </si>
  <si>
    <t>Ghodsee, Joseph</t>
  </si>
  <si>
    <t>cancelled per Belem</t>
  </si>
  <si>
    <t>Acosta, Leticia</t>
  </si>
  <si>
    <t>WELLMED-UHC DUAL COMPLETE SNP</t>
  </si>
  <si>
    <t>De La O, Alejandro</t>
  </si>
  <si>
    <t>WELLMED- UHC DUAL COMPLETE SNP</t>
  </si>
  <si>
    <t>MURGA, TOMAS</t>
  </si>
  <si>
    <t>Ruiz, Jose</t>
  </si>
  <si>
    <t xml:space="preserve">WELLMED-HUMANA </t>
  </si>
  <si>
    <t>MIRANDA PASCUALA</t>
  </si>
  <si>
    <t>Frausto, Carmen</t>
  </si>
  <si>
    <t>WELLMED- HUMANA</t>
  </si>
  <si>
    <t>BUSTILLOS MANUEL</t>
  </si>
  <si>
    <t>ORTEGA YVONNE</t>
  </si>
  <si>
    <t>CARRILLO VICTOR</t>
  </si>
  <si>
    <t xml:space="preserve">MOLINA MARKETPLACE TEXAS </t>
  </si>
  <si>
    <t>Rodriguez, Martha</t>
  </si>
  <si>
    <t>Montes, Ofelia</t>
  </si>
  <si>
    <t>WELLMED- AARP MEDICARE COMPLETE</t>
  </si>
  <si>
    <t>Santiago, Maria</t>
  </si>
  <si>
    <t>PETERSEN SUSANA</t>
  </si>
  <si>
    <t>TOREES</t>
  </si>
  <si>
    <t xml:space="preserve">RAMIREZ MARTIN </t>
  </si>
  <si>
    <t>GLADY MICHELLE</t>
  </si>
  <si>
    <t xml:space="preserve">FLORES, ARMANDO </t>
  </si>
  <si>
    <t>OLIVER, TIFFANY</t>
  </si>
  <si>
    <t>Hernandez, Alonzo</t>
  </si>
  <si>
    <t>thomas</t>
  </si>
  <si>
    <t>wellmed- cigna healthspring</t>
  </si>
  <si>
    <t>x</t>
  </si>
  <si>
    <t>DELLOSSIE GRACIELA</t>
  </si>
  <si>
    <t>WC DEPARTMENT OF LABOR</t>
  </si>
  <si>
    <t>BROWN, ALTHEA</t>
  </si>
  <si>
    <t>Priego, Leopoldo</t>
  </si>
  <si>
    <t>ALVIDREZ MARCELA</t>
  </si>
  <si>
    <t>SCARCELLI TOHN</t>
  </si>
  <si>
    <t>RICHARDSON VICTORIA</t>
  </si>
  <si>
    <t>MAYO ELMER</t>
  </si>
  <si>
    <t>NAVA ERIC</t>
  </si>
  <si>
    <t>Arteche, Yolanda</t>
  </si>
  <si>
    <t>Robles Elias, Antonio</t>
  </si>
  <si>
    <t>Gonzalez, Betty</t>
  </si>
  <si>
    <t>Servin, Lisette</t>
  </si>
  <si>
    <t>Roa, Maria</t>
  </si>
  <si>
    <t>ch</t>
  </si>
  <si>
    <t>Wilbourn, Charles</t>
  </si>
  <si>
    <t>m</t>
  </si>
  <si>
    <t>wellmed-uhc dual complete hmo snp</t>
  </si>
  <si>
    <t>OSTROFF STEVEN</t>
  </si>
  <si>
    <t>NARTINEZ JARA</t>
  </si>
  <si>
    <t>Acuna, Felipe</t>
  </si>
  <si>
    <t>loPEZ</t>
  </si>
  <si>
    <t>wps va-community care</t>
  </si>
  <si>
    <t>Cobb, Sharon</t>
  </si>
  <si>
    <t>ALLSMAN EMILY</t>
  </si>
  <si>
    <t>ZUNIGA ROSAURA</t>
  </si>
  <si>
    <t>Carruthers, Keoki</t>
  </si>
  <si>
    <t xml:space="preserve"> LM</t>
  </si>
  <si>
    <t>Robles, Patricia</t>
  </si>
  <si>
    <t>Rico, Jose</t>
  </si>
  <si>
    <t>Suitonu, Peter</t>
  </si>
  <si>
    <t>FARNQUIST DENNIS</t>
  </si>
  <si>
    <t>Sanchez, Roberto</t>
  </si>
  <si>
    <t xml:space="preserve">WELLMED- CIGNA HEALTHSPRING </t>
  </si>
  <si>
    <t>FRAHN CRAIG</t>
  </si>
  <si>
    <t>Salloum, Diana</t>
  </si>
  <si>
    <t>ROSALES INOCENCIO</t>
  </si>
  <si>
    <t>BUSTILLOS ANDRES</t>
  </si>
  <si>
    <t>Cuskey, Larry</t>
  </si>
  <si>
    <t>Halfhill, Matthew</t>
  </si>
  <si>
    <t>lopez</t>
  </si>
  <si>
    <t xml:space="preserve">wc-department of labor </t>
  </si>
  <si>
    <t>ALEMAN FELIX</t>
  </si>
  <si>
    <t>VEGA ANGELA</t>
  </si>
  <si>
    <t>LEYVA YARAGISEL</t>
  </si>
  <si>
    <t>Moss, Jennie</t>
  </si>
  <si>
    <t>medicare TEXAS</t>
  </si>
  <si>
    <t>BORCKY ROBERT</t>
  </si>
  <si>
    <t xml:space="preserve">CRESPO GABRIEL </t>
  </si>
  <si>
    <t>Sanderson,Caitlin</t>
  </si>
  <si>
    <t xml:space="preserve">ambetter-superior </t>
  </si>
  <si>
    <t>Beltran, Miguel</t>
  </si>
  <si>
    <t>wellmed-uhc dual complete snp</t>
  </si>
  <si>
    <t>YSALDE ROBBIE</t>
  </si>
  <si>
    <t>Castaneda De Ochoa Nohemi</t>
  </si>
  <si>
    <t>MONTERO MARGARITA</t>
  </si>
  <si>
    <t>Silvas, Antonio</t>
  </si>
  <si>
    <t>Rios De Solis, Maria</t>
  </si>
  <si>
    <t>Mendoza, Jose</t>
  </si>
  <si>
    <t>FARR, AVERY</t>
  </si>
  <si>
    <t>MARTINEZ, DIONEL</t>
  </si>
  <si>
    <t>Gandara, Isidra</t>
  </si>
  <si>
    <t>Bess-Oberto, Jorge</t>
  </si>
  <si>
    <t>Salcido, Estela</t>
  </si>
  <si>
    <t>Hunt, Sharon</t>
  </si>
  <si>
    <t>Ruiz, Graciela</t>
  </si>
  <si>
    <t>Chapman, Randy</t>
  </si>
  <si>
    <t xml:space="preserve">CIGNA OPEN ACESS PLAN </t>
  </si>
  <si>
    <t>Penaloza, Grace</t>
  </si>
  <si>
    <t>WELLMED -CIGNA HEALTHSPRING</t>
  </si>
  <si>
    <t xml:space="preserve">  </t>
  </si>
  <si>
    <t>Carreon Palfreeman, Maria</t>
  </si>
  <si>
    <t>CAMACHO, JUAN</t>
  </si>
  <si>
    <t>MCGLAUN, DON</t>
  </si>
  <si>
    <t>Girosky Gariby, Jaime</t>
  </si>
  <si>
    <t>Verdier, Graciela</t>
  </si>
  <si>
    <t>Fierro, Arturo</t>
  </si>
  <si>
    <t>PAZ, JUANA</t>
  </si>
  <si>
    <t>GLASCO, STEVEN</t>
  </si>
  <si>
    <t>Baquera, Manuel</t>
  </si>
  <si>
    <t xml:space="preserve">WELLMED- UHC CHRONIC COMPLETE HMO C-SNP </t>
  </si>
  <si>
    <t>PEREZ, ROSALIE</t>
  </si>
  <si>
    <t>MAYNES RUBEN</t>
  </si>
  <si>
    <t>GAENZLE STEVE</t>
  </si>
  <si>
    <t>VARGAS JUAN</t>
  </si>
  <si>
    <t>Simonds, Roy jr.</t>
  </si>
  <si>
    <t xml:space="preserve">WPS VA-COMMUNITY CARE </t>
  </si>
  <si>
    <t>AMAYA MARIA</t>
  </si>
  <si>
    <t>ALVARADO YSELA</t>
  </si>
  <si>
    <t>Lopez, Margarita</t>
  </si>
  <si>
    <t>Covarrubias, Luis</t>
  </si>
  <si>
    <t>Lopez Erika</t>
  </si>
  <si>
    <t>Wagner, Linda</t>
  </si>
  <si>
    <t>Barlow, Marilyn</t>
  </si>
  <si>
    <t>AMBETTER-SUPERIOR</t>
  </si>
  <si>
    <t>Motes Trent</t>
  </si>
  <si>
    <t>Tricare Prime</t>
  </si>
  <si>
    <t>BROOKS MICHELLE</t>
  </si>
  <si>
    <t>Ramirez Maria</t>
  </si>
  <si>
    <t xml:space="preserve">Molina Medicaid Texas </t>
  </si>
  <si>
    <t>GARCES H, HUMBERTO</t>
  </si>
  <si>
    <t xml:space="preserve">HOLGUIN NORMA </t>
  </si>
  <si>
    <t>Padilla,Janice</t>
  </si>
  <si>
    <t>Castro,Iannette</t>
  </si>
  <si>
    <t>GONZALEZ MAGDA</t>
  </si>
  <si>
    <t>KUZMA MARIAN</t>
  </si>
  <si>
    <t>Clarke, Donato</t>
  </si>
  <si>
    <t xml:space="preserve">DIAZ, ROBERTO </t>
  </si>
  <si>
    <t>HERNANDEZ ELENA</t>
  </si>
  <si>
    <t xml:space="preserve">CARRELL FLOYD </t>
  </si>
  <si>
    <t>Alvarez, Melissa</t>
  </si>
  <si>
    <t xml:space="preserve">CH </t>
  </si>
  <si>
    <t xml:space="preserve">EL PASO HEALTH PLAN </t>
  </si>
  <si>
    <t xml:space="preserve">PINA ISIDRA </t>
  </si>
  <si>
    <t>PARRA, RAMONA</t>
  </si>
  <si>
    <t>Solis, Aracely</t>
  </si>
  <si>
    <t>MURPHY DANILO</t>
  </si>
  <si>
    <t>Rodriguez, Fernanda</t>
  </si>
  <si>
    <t>Wilson, Donna</t>
  </si>
  <si>
    <t>Guerra, Teresa</t>
  </si>
  <si>
    <t>Munoz, David</t>
  </si>
  <si>
    <t>Perez, Joel</t>
  </si>
  <si>
    <t>MOLINA MARKET TEXAS</t>
  </si>
  <si>
    <t>Cadena, Yesenia</t>
  </si>
  <si>
    <t>Guevara, Raul</t>
  </si>
  <si>
    <t>WELLMED-UHC DUAL COMPLETE HMO SNP</t>
  </si>
  <si>
    <t>MURDOCK ROBERT</t>
  </si>
  <si>
    <t>YOUNG, DEANNA</t>
  </si>
  <si>
    <t>SALAS, TERESA</t>
  </si>
  <si>
    <t>MORENO, JOSE</t>
  </si>
  <si>
    <t>Gomez, Gilbert</t>
  </si>
  <si>
    <t>Munoz De Koesler, SanJuana</t>
  </si>
  <si>
    <t>SPILLER, LINDA</t>
  </si>
  <si>
    <t>KROEGER ROBERT</t>
  </si>
  <si>
    <t>Dundore, Maria</t>
  </si>
  <si>
    <t xml:space="preserve">HUMANA GOLD PLUS HMO </t>
  </si>
  <si>
    <t>FLORES MARCELA</t>
  </si>
  <si>
    <t>Goroeoff, Michelle</t>
  </si>
  <si>
    <t>WELLMED-HUMANA</t>
  </si>
  <si>
    <t>Leon Aguirre, Antonio</t>
  </si>
  <si>
    <t>Pacheco, Carmen</t>
  </si>
  <si>
    <t xml:space="preserve">WELLMED-CIGNA HEALTHSPRING </t>
  </si>
  <si>
    <t>Garcia, Maria</t>
  </si>
  <si>
    <t>Gonzalez, David</t>
  </si>
  <si>
    <t>Canchola, Gabriel</t>
  </si>
  <si>
    <t>REYNOLD CYNTHIA</t>
  </si>
  <si>
    <t>VALENZUELA  YVETTE</t>
  </si>
  <si>
    <t>LOPEZ JOSE</t>
  </si>
  <si>
    <t>02/08/22</t>
  </si>
  <si>
    <t>Casas, Elia</t>
  </si>
  <si>
    <t>Hernandez, Blanca</t>
  </si>
  <si>
    <t xml:space="preserve">FRIDAY HEALTH PLAN </t>
  </si>
  <si>
    <t>KENNDY TAMMY</t>
  </si>
  <si>
    <t>CARRILLO CHRISTINA</t>
  </si>
  <si>
    <t>RENTERIA RAYMUNDO</t>
  </si>
  <si>
    <t>CASTRUITA ROSA</t>
  </si>
  <si>
    <t>RAMIREZ ISIDRO</t>
  </si>
  <si>
    <t>KIRKWOOD DOUGLAS</t>
  </si>
  <si>
    <t>Moreno, Cruz</t>
  </si>
  <si>
    <t xml:space="preserve">WELLMED- UHC DUAL COMPLETE SNP </t>
  </si>
  <si>
    <t>Bess-Oberto, Blanca</t>
  </si>
  <si>
    <t>CARREON SANJUANA</t>
  </si>
  <si>
    <t>Morado, Raymundo</t>
  </si>
  <si>
    <t>Saenz, Beatriz</t>
  </si>
  <si>
    <t>Olivas, Leticia</t>
  </si>
  <si>
    <t>Tejada De Rueda, Bertha</t>
  </si>
  <si>
    <t xml:space="preserve">WELLMED-UHC DUAL COMPLETE SNP </t>
  </si>
  <si>
    <t>Miranda De Franco, Zenaida</t>
  </si>
  <si>
    <t>Van Ruiten, Maria</t>
  </si>
  <si>
    <t>Alvidrez, Maria</t>
  </si>
  <si>
    <t>Byers, Lauren</t>
  </si>
  <si>
    <t>CALDERA GEMA</t>
  </si>
  <si>
    <t>KELLER ANNMARIE</t>
  </si>
  <si>
    <t>KILLINGWORTH STEVEN</t>
  </si>
  <si>
    <t>ELORDOY ROVERTA</t>
  </si>
  <si>
    <t>GOMEZ BRIANA</t>
  </si>
  <si>
    <t>PELLETIER NELSON KELLY</t>
  </si>
  <si>
    <t>FISTHER IRA</t>
  </si>
  <si>
    <t>ALVARADO STEPHANIE</t>
  </si>
  <si>
    <t>GONZALEZ VELIA</t>
  </si>
  <si>
    <t>COOPER OLGA</t>
  </si>
  <si>
    <t>SANTANA ANA</t>
  </si>
  <si>
    <t>ZUBIA ADRIANA</t>
  </si>
  <si>
    <t>Stout, Stephen</t>
  </si>
  <si>
    <t>PIZANA NORMA</t>
  </si>
  <si>
    <t>OUTUA-NWRW</t>
  </si>
  <si>
    <t>OUTUA-PrRW</t>
  </si>
  <si>
    <t>OUTUA-FURW</t>
  </si>
  <si>
    <t>OUTSA-RW</t>
  </si>
  <si>
    <t>WC - STAFF FORCE CORP</t>
  </si>
  <si>
    <t xml:space="preserve">PEREZ, AMELIA </t>
  </si>
  <si>
    <t>SE CAMBIO SEGURO 02/11/22</t>
  </si>
  <si>
    <t>FAVIOLA, JUDY</t>
  </si>
  <si>
    <t>MELENDEZ, CARMEN A</t>
  </si>
  <si>
    <t>WELLMED - UHC MEDICARE PPO</t>
  </si>
  <si>
    <t>QUEST</t>
  </si>
  <si>
    <t>OUT-UAQ</t>
  </si>
  <si>
    <t>SALCIDO, ROBERT JR</t>
  </si>
  <si>
    <t>swab</t>
  </si>
  <si>
    <t>outbound</t>
  </si>
  <si>
    <t xml:space="preserve">SOLIZ, OSCAR </t>
  </si>
  <si>
    <t xml:space="preserve">AGUERO MARTINEZ, ALFRED </t>
  </si>
  <si>
    <t xml:space="preserve">HOLAN, SUK </t>
  </si>
  <si>
    <t xml:space="preserve">GAVALDON, RICHARD </t>
  </si>
  <si>
    <t xml:space="preserve">LUNA, ROSA </t>
  </si>
  <si>
    <t xml:space="preserve">VALLES, EDMUNDO </t>
  </si>
  <si>
    <t xml:space="preserve">RUIZ, TONY </t>
  </si>
  <si>
    <t xml:space="preserve">DURAN, JULIAN </t>
  </si>
  <si>
    <t>Swab</t>
  </si>
  <si>
    <t>PRESBYTERIAN DUAL PLUS NM</t>
  </si>
  <si>
    <t>OV-F/U</t>
  </si>
  <si>
    <t>OSBORNE, JEROME</t>
  </si>
  <si>
    <t>PADILLA, LARRY S.</t>
  </si>
  <si>
    <t>CAMPOS, ROSA M.</t>
  </si>
  <si>
    <t>LEYVA, MARIA J.</t>
  </si>
  <si>
    <t>corresponde UA</t>
  </si>
  <si>
    <t>MENDOZA, ELIA</t>
  </si>
  <si>
    <t>WELLMED - UHC MEDICARE  PPO</t>
  </si>
  <si>
    <t>WEEK DAY</t>
  </si>
  <si>
    <t>SCANNED</t>
  </si>
  <si>
    <t>TUESDAY</t>
  </si>
  <si>
    <t>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</si>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</sst>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/d/yyyy h:mm:ss"/>
    <numFmt numFmtId="165" formatCode="mm&quot;/&quot;dd&quot;/&quot;yy"/>
    <numFmt numFmtId="166" formatCode="mm/dd/yy"/>
    <numFmt numFmtId="167" formatCode="hh&quot;:&quot;mm&quot; &quot;am/pm"/>
    <numFmt numFmtId="168" formatCode="mm&quot;/&quot;dd&quot;/&quot;yyyy"/>
    <numFmt numFmtId="169" formatCode="h&quot;:&quot;mm"/>
    <numFmt numFmtId="170" formatCode="h:mm am/pm"/>
    <numFmt numFmtId="171" formatCode="0.0"/>
    <numFmt numFmtId="172" formatCode="0.0%"/>
    <numFmt numFmtId="173" formatCode="m/d/yyyy"/>
    <numFmt numFmtId="174" formatCode="mm/dd/yyyy"/>
  </numFmts>
  <fonts count="2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b/>
      <color theme="1"/>
      <name val="Arial"/>
    </font>
    <font>
      <b/>
      <sz val="8.0"/>
      <color rgb="FFFFFFFF"/>
      <name val="Arial"/>
    </font>
    <font>
      <b/>
      <sz val="8.0"/>
      <color theme="1"/>
      <name val="Arial"/>
    </font>
    <font>
      <sz val="8.0"/>
      <color theme="1"/>
      <name val="Arial"/>
    </font>
    <font>
      <u/>
      <sz val="6.0"/>
      <color rgb="FF1155CC"/>
      <name val="Arial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rgb="FF000000"/>
      <name val="Arial"/>
    </font>
    <font>
      <sz val="9.0"/>
      <color rgb="FF000000"/>
      <name val="Inconsolata"/>
    </font>
    <font>
      <b/>
      <sz val="8.0"/>
      <color theme="0"/>
      <name val="Arial"/>
    </font>
    <font>
      <sz val="9.0"/>
      <color theme="0"/>
      <name val="Arial"/>
    </font>
    <font>
      <sz val="8.0"/>
      <color theme="0"/>
      <name val="Arial"/>
    </font>
    <font>
      <b/>
      <sz val="9.0"/>
      <color theme="0"/>
      <name val="Arial"/>
    </font>
    <font>
      <b/>
      <sz val="6.0"/>
      <color rgb="FFFFFFFF"/>
      <name val="Arial"/>
    </font>
    <font>
      <sz val="8.0"/>
      <color rgb="FFFFFFFF"/>
      <name val="Arial"/>
    </font>
    <font>
      <sz val="9.0"/>
      <color rgb="FFFF0000"/>
      <name val="Arial"/>
    </font>
    <font/>
    <font>
      <sz val="7.0"/>
      <color theme="1"/>
      <name val="Arial"/>
    </font>
    <font>
      <b/>
      <sz val="7.0"/>
      <color theme="0"/>
      <name val="Arial"/>
    </font>
    <font>
      <b/>
      <sz val="7.0"/>
      <color theme="1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BDBDBD"/>
        <bgColor rgb="FFBDBDBD"/>
      </patternFill>
    </fill>
    <fill>
      <patternFill patternType="solid">
        <fgColor rgb="FFF7CB4D"/>
        <bgColor rgb="FFF7CB4D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EF8E3"/>
        <bgColor rgb="FFFEF8E3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8E7CC3"/>
        <bgColor rgb="FF8E7CC3"/>
      </patternFill>
    </fill>
    <fill>
      <patternFill patternType="solid">
        <fgColor rgb="FF4A86E8"/>
        <bgColor rgb="FF4A86E8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4285F4"/>
        <bgColor rgb="FF4285F4"/>
      </patternFill>
    </fill>
  </fills>
  <borders count="5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vertical="center"/>
    </xf>
    <xf borderId="0" fillId="0" fontId="1" numFmtId="14" xfId="0" applyAlignment="1" applyFont="1" applyNumberFormat="1">
      <alignment vertical="center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165" xfId="0" applyAlignment="1" applyBorder="1" applyFont="1" applyNumberFormat="1">
      <alignment horizontal="left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vertical="bottom"/>
    </xf>
    <xf borderId="6" fillId="0" fontId="1" numFmtId="20" xfId="0" applyBorder="1" applyFont="1" applyNumberFormat="1"/>
    <xf borderId="7" fillId="0" fontId="1" numFmtId="166" xfId="0" applyBorder="1" applyFont="1" applyNumberFormat="1"/>
    <xf borderId="5" fillId="0" fontId="1" numFmtId="0" xfId="0" applyBorder="1" applyFont="1"/>
    <xf borderId="8" fillId="0" fontId="1" numFmtId="0" xfId="0" applyAlignment="1" applyBorder="1" applyFont="1">
      <alignment vertical="bottom"/>
    </xf>
    <xf borderId="9" fillId="0" fontId="1" numFmtId="20" xfId="0" applyBorder="1" applyFont="1" applyNumberFormat="1"/>
    <xf borderId="10" fillId="0" fontId="1" numFmtId="166" xfId="0" applyBorder="1" applyFont="1" applyNumberFormat="1"/>
    <xf borderId="8" fillId="0" fontId="1" numFmtId="0" xfId="0" applyBorder="1" applyFont="1"/>
    <xf borderId="9" fillId="0" fontId="1" numFmtId="0" xfId="0" applyBorder="1" applyFont="1"/>
    <xf borderId="8" fillId="0" fontId="1" numFmtId="0" xfId="0" applyAlignment="1" applyBorder="1" applyFont="1">
      <alignment horizontal="left"/>
    </xf>
    <xf borderId="1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" fillId="2" fontId="5" numFmtId="0" xfId="0" applyAlignment="1" applyBorder="1" applyFill="1" applyFont="1">
      <alignment horizontal="left" vertical="center"/>
    </xf>
    <xf borderId="13" fillId="2" fontId="5" numFmtId="0" xfId="0" applyAlignment="1" applyBorder="1" applyFont="1">
      <alignment horizontal="left" shrinkToFit="0" vertical="center" wrapText="1"/>
    </xf>
    <xf borderId="1" fillId="2" fontId="5" numFmtId="165" xfId="0" applyAlignment="1" applyBorder="1" applyFont="1" applyNumberFormat="1">
      <alignment horizontal="left" vertical="center"/>
    </xf>
    <xf borderId="13" fillId="2" fontId="5" numFmtId="0" xfId="0" applyAlignment="1" applyBorder="1" applyFont="1">
      <alignment horizontal="left" vertical="center"/>
    </xf>
    <xf borderId="13" fillId="3" fontId="6" numFmtId="0" xfId="0" applyAlignment="1" applyBorder="1" applyFill="1" applyFont="1">
      <alignment horizontal="left" vertical="center"/>
    </xf>
    <xf borderId="13" fillId="2" fontId="5" numFmtId="165" xfId="0" applyAlignment="1" applyBorder="1" applyFont="1" applyNumberFormat="1">
      <alignment horizontal="left" vertical="center"/>
    </xf>
    <xf borderId="1" fillId="0" fontId="7" numFmtId="164" xfId="0" applyAlignment="1" applyBorder="1" applyFont="1" applyNumberFormat="1">
      <alignment horizontal="left" vertical="center"/>
    </xf>
    <xf borderId="1" fillId="0" fontId="7" numFmtId="165" xfId="0" applyAlignment="1" applyBorder="1" applyFont="1" applyNumberFormat="1">
      <alignment horizontal="left" vertical="center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vertical="center"/>
    </xf>
    <xf borderId="1" fillId="3" fontId="7" numFmtId="0" xfId="0" applyAlignment="1" applyBorder="1" applyFont="1">
      <alignment horizontal="left" vertical="center"/>
    </xf>
    <xf borderId="1" fillId="4" fontId="7" numFmtId="164" xfId="0" applyAlignment="1" applyBorder="1" applyFill="1" applyFont="1" applyNumberFormat="1">
      <alignment horizontal="left" vertical="center"/>
    </xf>
    <xf borderId="1" fillId="4" fontId="7" numFmtId="0" xfId="0" applyAlignment="1" applyBorder="1" applyFont="1">
      <alignment horizontal="left"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9" numFmtId="0" xfId="0" applyAlignment="1" applyBorder="1" applyFont="1">
      <alignment horizontal="center" vertical="center"/>
    </xf>
    <xf borderId="14" fillId="5" fontId="9" numFmtId="0" xfId="0" applyAlignment="1" applyBorder="1" applyFill="1" applyFont="1">
      <alignment horizontal="center" vertical="center"/>
    </xf>
    <xf borderId="2" fillId="6" fontId="9" numFmtId="0" xfId="0" applyAlignment="1" applyBorder="1" applyFill="1" applyFont="1">
      <alignment horizontal="center" shrinkToFit="0" textRotation="90" vertical="center" wrapText="1"/>
    </xf>
    <xf borderId="15" fillId="3" fontId="9" numFmtId="0" xfId="0" applyAlignment="1" applyBorder="1" applyFont="1">
      <alignment horizontal="center" vertical="center"/>
    </xf>
    <xf borderId="16" fillId="3" fontId="9" numFmtId="167" xfId="0" applyAlignment="1" applyBorder="1" applyFont="1" applyNumberFormat="1">
      <alignment horizontal="center" shrinkToFit="0" vertical="center" wrapText="1"/>
    </xf>
    <xf borderId="16" fillId="3" fontId="9" numFmtId="0" xfId="0" applyAlignment="1" applyBorder="1" applyFont="1">
      <alignment horizontal="center" shrinkToFit="0" vertical="center" wrapText="1"/>
    </xf>
    <xf borderId="16" fillId="3" fontId="9" numFmtId="0" xfId="0" applyAlignment="1" applyBorder="1" applyFont="1">
      <alignment horizontal="center" vertical="center"/>
    </xf>
    <xf borderId="17" fillId="2" fontId="9" numFmtId="0" xfId="0" applyAlignment="1" applyBorder="1" applyFont="1">
      <alignment horizontal="center" vertical="center"/>
    </xf>
    <xf borderId="17" fillId="3" fontId="9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vertical="bottom"/>
    </xf>
    <xf borderId="16" fillId="2" fontId="9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" fillId="4" fontId="11" numFmtId="0" xfId="0" applyBorder="1" applyFont="1"/>
    <xf borderId="10" fillId="7" fontId="3" numFmtId="0" xfId="0" applyBorder="1" applyFill="1" applyFont="1"/>
    <xf borderId="2" fillId="4" fontId="12" numFmtId="0" xfId="0" applyAlignment="1" applyBorder="1" applyFont="1">
      <alignment horizontal="center"/>
    </xf>
    <xf borderId="18" fillId="8" fontId="3" numFmtId="168" xfId="0" applyBorder="1" applyFill="1" applyFont="1" applyNumberFormat="1"/>
    <xf borderId="1" fillId="9" fontId="3" numFmtId="165" xfId="0" applyAlignment="1" applyBorder="1" applyFill="1" applyFont="1" applyNumberFormat="1">
      <alignment horizontal="right"/>
    </xf>
    <xf borderId="1" fillId="10" fontId="3" numFmtId="167" xfId="0" applyBorder="1" applyFill="1" applyFont="1" applyNumberFormat="1"/>
    <xf borderId="1" fillId="11" fontId="3" numFmtId="0" xfId="0" applyBorder="1" applyFill="1" applyFont="1"/>
    <xf borderId="1" fillId="12" fontId="3" numFmtId="0" xfId="0" applyBorder="1" applyFill="1" applyFont="1"/>
    <xf borderId="1" fillId="13" fontId="3" numFmtId="0" xfId="0" applyBorder="1" applyFill="1" applyFont="1"/>
    <xf borderId="1" fillId="14" fontId="3" numFmtId="0" xfId="0" applyBorder="1" applyFill="1" applyFont="1"/>
    <xf borderId="1" fillId="15" fontId="3" numFmtId="0" xfId="0" applyBorder="1" applyFill="1" applyFont="1"/>
    <xf borderId="1" fillId="9" fontId="3" numFmtId="168" xfId="0" applyBorder="1" applyFont="1" applyNumberFormat="1"/>
    <xf borderId="1" fillId="10" fontId="3" numFmtId="169" xfId="0" applyBorder="1" applyFont="1" applyNumberFormat="1"/>
    <xf borderId="1" fillId="0" fontId="3" numFmtId="0" xfId="0" applyAlignment="1" applyBorder="1" applyFont="1">
      <alignment horizontal="center" vertical="bottom"/>
    </xf>
    <xf borderId="1" fillId="0" fontId="3" numFmtId="0" xfId="0" applyBorder="1" applyFont="1"/>
    <xf borderId="0" fillId="0" fontId="3" numFmtId="0" xfId="0" applyFont="1"/>
    <xf borderId="10" fillId="7" fontId="10" numFmtId="0" xfId="0" applyBorder="1" applyFont="1"/>
    <xf borderId="19" fillId="4" fontId="12" numFmtId="0" xfId="0" applyAlignment="1" applyBorder="1" applyFont="1">
      <alignment horizontal="center"/>
    </xf>
    <xf borderId="20" fillId="11" fontId="3" numFmtId="0" xfId="0" applyBorder="1" applyFont="1"/>
    <xf borderId="21" fillId="4" fontId="12" numFmtId="0" xfId="0" applyAlignment="1" applyBorder="1" applyFont="1">
      <alignment horizontal="center"/>
    </xf>
    <xf borderId="13" fillId="4" fontId="11" numFmtId="0" xfId="0" applyBorder="1" applyFont="1"/>
    <xf borderId="7" fillId="7" fontId="3" numFmtId="0" xfId="0" applyBorder="1" applyFont="1"/>
    <xf borderId="22" fillId="4" fontId="12" numFmtId="0" xfId="0" applyAlignment="1" applyBorder="1" applyFont="1">
      <alignment horizontal="center"/>
    </xf>
    <xf borderId="23" fillId="8" fontId="3" numFmtId="168" xfId="0" applyBorder="1" applyFont="1" applyNumberFormat="1"/>
    <xf borderId="13" fillId="9" fontId="3" numFmtId="165" xfId="0" applyAlignment="1" applyBorder="1" applyFont="1" applyNumberFormat="1">
      <alignment horizontal="right"/>
    </xf>
    <xf borderId="13" fillId="10" fontId="3" numFmtId="167" xfId="0" applyBorder="1" applyFont="1" applyNumberFormat="1"/>
    <xf borderId="24" fillId="11" fontId="3" numFmtId="0" xfId="0" applyBorder="1" applyFont="1"/>
    <xf borderId="13" fillId="12" fontId="3" numFmtId="0" xfId="0" applyBorder="1" applyFont="1"/>
    <xf borderId="23" fillId="13" fontId="3" numFmtId="0" xfId="0" applyBorder="1" applyFont="1"/>
    <xf borderId="13" fillId="14" fontId="3" numFmtId="0" xfId="0" applyBorder="1" applyFont="1"/>
    <xf borderId="13" fillId="15" fontId="3" numFmtId="0" xfId="0" applyBorder="1" applyFont="1"/>
    <xf borderId="25" fillId="4" fontId="12" numFmtId="0" xfId="0" applyAlignment="1" applyBorder="1" applyFont="1">
      <alignment horizontal="center"/>
    </xf>
    <xf borderId="13" fillId="0" fontId="3" numFmtId="0" xfId="0" applyAlignment="1" applyBorder="1" applyFont="1">
      <alignment horizontal="center" vertical="bottom"/>
    </xf>
    <xf borderId="18" fillId="13" fontId="3" numFmtId="0" xfId="0" applyBorder="1" applyFont="1"/>
    <xf borderId="4" fillId="2" fontId="3" numFmtId="0" xfId="0" applyBorder="1" applyFont="1"/>
    <xf borderId="4" fillId="2" fontId="3" numFmtId="165" xfId="0" applyAlignment="1" applyBorder="1" applyFont="1" applyNumberFormat="1">
      <alignment horizontal="right"/>
    </xf>
    <xf borderId="4" fillId="2" fontId="3" numFmtId="167" xfId="0" applyBorder="1" applyFont="1" applyNumberFormat="1"/>
    <xf borderId="26" fillId="2" fontId="3" numFmtId="0" xfId="0" applyBorder="1" applyFont="1"/>
    <xf borderId="1" fillId="0" fontId="10" numFmtId="0" xfId="0" applyAlignment="1" applyBorder="1" applyFont="1">
      <alignment horizontal="center"/>
    </xf>
    <xf borderId="0" fillId="2" fontId="3" numFmtId="0" xfId="0" applyFont="1"/>
    <xf borderId="0" fillId="2" fontId="3" numFmtId="0" xfId="0" applyAlignment="1" applyFont="1">
      <alignment vertical="bottom"/>
    </xf>
    <xf borderId="0" fillId="3" fontId="5" numFmtId="0" xfId="0" applyAlignment="1" applyFont="1">
      <alignment horizontal="center" vertical="center"/>
    </xf>
    <xf borderId="1" fillId="3" fontId="13" numFmtId="0" xfId="0" applyAlignment="1" applyBorder="1" applyFont="1">
      <alignment horizontal="center" vertical="center"/>
    </xf>
    <xf borderId="1" fillId="3" fontId="13" numFmtId="165" xfId="0" applyAlignment="1" applyBorder="1" applyFont="1" applyNumberFormat="1">
      <alignment horizontal="center" vertical="center"/>
    </xf>
    <xf borderId="0" fillId="3" fontId="13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3" fontId="13" numFmtId="165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6" numFmtId="0" xfId="0" applyBorder="1" applyFont="1"/>
    <xf borderId="1" fillId="0" fontId="6" numFmtId="0" xfId="0" applyAlignment="1" applyBorder="1" applyFont="1">
      <alignment vertical="bottom"/>
    </xf>
    <xf borderId="1" fillId="0" fontId="6" numFmtId="170" xfId="0" applyAlignment="1" applyBorder="1" applyFont="1" applyNumberFormat="1">
      <alignment vertical="bottom"/>
    </xf>
    <xf borderId="1" fillId="0" fontId="6" numFmtId="166" xfId="0" applyAlignment="1" applyBorder="1" applyFont="1" applyNumberFormat="1">
      <alignment vertical="bottom"/>
    </xf>
    <xf borderId="1" fillId="0" fontId="6" numFmtId="165" xfId="0" applyAlignment="1" applyBorder="1" applyFont="1" applyNumberFormat="1">
      <alignment vertical="bottom"/>
    </xf>
    <xf borderId="1" fillId="2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1" fillId="0" fontId="7" numFmtId="170" xfId="0" applyAlignment="1" applyBorder="1" applyFont="1" applyNumberFormat="1">
      <alignment horizontal="left"/>
    </xf>
    <xf borderId="1" fillId="0" fontId="7" numFmtId="166" xfId="0" applyAlignment="1" applyBorder="1" applyFont="1" applyNumberFormat="1">
      <alignment horizontal="left"/>
    </xf>
    <xf borderId="1" fillId="0" fontId="7" numFmtId="165" xfId="0" applyAlignment="1" applyBorder="1" applyFont="1" applyNumberFormat="1">
      <alignment horizontal="left"/>
    </xf>
    <xf borderId="1" fillId="0" fontId="7" numFmtId="0" xfId="0" applyAlignment="1" applyBorder="1" applyFont="1">
      <alignment horizontal="left" vertical="bottom"/>
    </xf>
    <xf borderId="1" fillId="5" fontId="9" numFmtId="0" xfId="0" applyAlignment="1" applyBorder="1" applyFont="1">
      <alignment horizontal="center" vertical="center"/>
    </xf>
    <xf borderId="1" fillId="6" fontId="9" numFmtId="0" xfId="0" applyAlignment="1" applyBorder="1" applyFont="1">
      <alignment horizontal="center" shrinkToFit="0" textRotation="9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25" fillId="4" fontId="11" numFmtId="0" xfId="0" applyAlignment="1" applyBorder="1" applyFont="1">
      <alignment horizontal="center"/>
    </xf>
    <xf borderId="13" fillId="13" fontId="3" numFmtId="0" xfId="0" applyBorder="1" applyFont="1"/>
    <xf borderId="13" fillId="9" fontId="3" numFmtId="168" xfId="0" applyBorder="1" applyFont="1" applyNumberFormat="1"/>
    <xf borderId="13" fillId="10" fontId="3" numFmtId="169" xfId="0" applyBorder="1" applyFont="1" applyNumberFormat="1"/>
    <xf borderId="13" fillId="11" fontId="3" numFmtId="0" xfId="0" applyBorder="1" applyFont="1"/>
    <xf borderId="13" fillId="0" fontId="3" numFmtId="0" xfId="0" applyBorder="1" applyFont="1"/>
    <xf borderId="2" fillId="4" fontId="11" numFmtId="0" xfId="0" applyAlignment="1" applyBorder="1" applyFont="1">
      <alignment horizontal="center"/>
    </xf>
    <xf borderId="0" fillId="16" fontId="13" numFmtId="0" xfId="0" applyFill="1" applyFont="1"/>
    <xf borderId="27" fillId="3" fontId="14" numFmtId="0" xfId="0" applyAlignment="1" applyBorder="1" applyFont="1">
      <alignment horizontal="center" vertical="center"/>
    </xf>
    <xf borderId="28" fillId="17" fontId="10" numFmtId="0" xfId="0" applyAlignment="1" applyBorder="1" applyFill="1" applyFont="1">
      <alignment horizontal="center" shrinkToFit="0" vertical="center" wrapText="0"/>
    </xf>
    <xf borderId="29" fillId="17" fontId="10" numFmtId="0" xfId="0" applyAlignment="1" applyBorder="1" applyFont="1">
      <alignment horizontal="center" shrinkToFit="0" vertical="center" wrapText="0"/>
    </xf>
    <xf borderId="3" fillId="17" fontId="10" numFmtId="165" xfId="0" applyAlignment="1" applyBorder="1" applyFont="1" applyNumberFormat="1">
      <alignment horizontal="center" shrinkToFit="0" vertical="center" wrapText="1"/>
    </xf>
    <xf borderId="29" fillId="18" fontId="10" numFmtId="165" xfId="0" applyAlignment="1" applyBorder="1" applyFill="1" applyFont="1" applyNumberFormat="1">
      <alignment horizontal="center" shrinkToFit="0" vertical="center" wrapText="0"/>
    </xf>
    <xf borderId="3" fillId="18" fontId="10" numFmtId="165" xfId="0" applyAlignment="1" applyBorder="1" applyFont="1" applyNumberFormat="1">
      <alignment horizontal="center" shrinkToFit="0" vertical="center" wrapText="1"/>
    </xf>
    <xf borderId="29" fillId="19" fontId="10" numFmtId="0" xfId="0" applyAlignment="1" applyBorder="1" applyFill="1" applyFont="1">
      <alignment horizontal="center" shrinkToFit="0" vertical="center" wrapText="0"/>
    </xf>
    <xf borderId="3" fillId="19" fontId="3" numFmtId="165" xfId="0" applyAlignment="1" applyBorder="1" applyFont="1" applyNumberFormat="1">
      <alignment horizontal="center" shrinkToFit="0" vertical="center" wrapText="1"/>
    </xf>
    <xf borderId="3" fillId="20" fontId="10" numFmtId="0" xfId="0" applyAlignment="1" applyBorder="1" applyFill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30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vertical="center"/>
    </xf>
    <xf borderId="31" fillId="4" fontId="3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32" fillId="4" fontId="3" numFmtId="165" xfId="0" applyAlignment="1" applyBorder="1" applyFont="1" applyNumberFormat="1">
      <alignment horizontal="center" shrinkToFit="0" vertical="center" wrapText="1"/>
    </xf>
    <xf borderId="31" fillId="4" fontId="3" numFmtId="165" xfId="0" applyAlignment="1" applyBorder="1" applyFont="1" applyNumberFormat="1">
      <alignment horizontal="center" shrinkToFit="0" vertical="center" wrapText="1"/>
    </xf>
    <xf borderId="32" fillId="4" fontId="3" numFmtId="0" xfId="0" applyAlignment="1" applyBorder="1" applyFont="1">
      <alignment horizontal="center" shrinkToFit="0" vertical="center" wrapText="1"/>
    </xf>
    <xf borderId="22" fillId="4" fontId="3" numFmtId="0" xfId="0" applyAlignment="1" applyBorder="1" applyFont="1">
      <alignment horizontal="center" shrinkToFit="0" vertical="center" wrapText="1"/>
    </xf>
    <xf borderId="31" fillId="21" fontId="3" numFmtId="0" xfId="0" applyAlignment="1" applyBorder="1" applyFill="1" applyFont="1">
      <alignment horizontal="center" shrinkToFit="0" vertical="center" wrapText="1"/>
    </xf>
    <xf borderId="0" fillId="21" fontId="3" numFmtId="0" xfId="0" applyAlignment="1" applyFont="1">
      <alignment horizontal="center" shrinkToFit="0" vertical="center" wrapText="1"/>
    </xf>
    <xf borderId="32" fillId="21" fontId="3" numFmtId="165" xfId="0" applyAlignment="1" applyBorder="1" applyFont="1" applyNumberFormat="1">
      <alignment horizontal="center" shrinkToFit="0" vertical="center" wrapText="1"/>
    </xf>
    <xf borderId="31" fillId="22" fontId="3" numFmtId="165" xfId="0" applyAlignment="1" applyBorder="1" applyFill="1" applyFont="1" applyNumberFormat="1">
      <alignment horizontal="center" shrinkToFit="0" vertical="center" wrapText="1"/>
    </xf>
    <xf borderId="0" fillId="22" fontId="3" numFmtId="0" xfId="0" applyAlignment="1" applyFont="1">
      <alignment horizontal="center" shrinkToFit="0" vertical="center" wrapText="1"/>
    </xf>
    <xf borderId="32" fillId="22" fontId="3" numFmtId="0" xfId="0" applyAlignment="1" applyBorder="1" applyFont="1">
      <alignment horizontal="center" shrinkToFit="0" vertical="center" wrapText="1"/>
    </xf>
    <xf borderId="0" fillId="15" fontId="3" numFmtId="0" xfId="0" applyAlignment="1" applyFont="1">
      <alignment horizontal="center" shrinkToFit="0" vertical="center" wrapText="1"/>
    </xf>
    <xf borderId="22" fillId="23" fontId="3" numFmtId="0" xfId="0" applyAlignment="1" applyBorder="1" applyFill="1" applyFont="1">
      <alignment horizontal="center" shrinkToFit="0" vertical="center" wrapText="1"/>
    </xf>
    <xf borderId="0" fillId="3" fontId="15" numFmtId="0" xfId="0" applyAlignment="1" applyFont="1">
      <alignment horizontal="center" vertical="center"/>
    </xf>
    <xf borderId="31" fillId="3" fontId="15" numFmtId="0" xfId="0" applyAlignment="1" applyBorder="1" applyFont="1">
      <alignment horizontal="center" vertical="center"/>
    </xf>
    <xf borderId="0" fillId="21" fontId="1" numFmtId="0" xfId="0" applyFont="1"/>
    <xf borderId="0" fillId="4" fontId="1" numFmtId="0" xfId="0" applyFont="1"/>
    <xf borderId="31" fillId="4" fontId="1" numFmtId="0" xfId="0" applyBorder="1" applyFont="1"/>
    <xf borderId="1" fillId="4" fontId="1" numFmtId="0" xfId="0" applyBorder="1" applyFont="1"/>
    <xf borderId="33" fillId="21" fontId="3" numFmtId="0" xfId="0" applyAlignment="1" applyBorder="1" applyFont="1">
      <alignment horizontal="center" vertical="center"/>
    </xf>
    <xf borderId="0" fillId="21" fontId="3" numFmtId="0" xfId="0" applyAlignment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15" numFmtId="4" xfId="0" applyAlignment="1" applyFont="1" applyNumberFormat="1">
      <alignment horizontal="center" vertical="center"/>
    </xf>
    <xf borderId="31" fillId="21" fontId="3" numFmtId="0" xfId="0" applyAlignment="1" applyBorder="1" applyFont="1">
      <alignment horizontal="center" vertical="center"/>
    </xf>
    <xf borderId="0" fillId="3" fontId="9" numFmtId="0" xfId="0" applyAlignment="1" applyFont="1">
      <alignment horizontal="center" vertical="center"/>
    </xf>
    <xf borderId="0" fillId="3" fontId="16" numFmtId="0" xfId="0" applyAlignment="1" applyFont="1">
      <alignment horizontal="center" vertical="center"/>
    </xf>
    <xf borderId="0" fillId="3" fontId="17" numFmtId="0" xfId="0" applyAlignment="1" applyFont="1">
      <alignment horizontal="center" vertical="center"/>
    </xf>
    <xf borderId="0" fillId="4" fontId="13" numFmtId="165" xfId="0" applyAlignment="1" applyFont="1" applyNumberFormat="1">
      <alignment horizontal="center" vertical="center"/>
    </xf>
    <xf borderId="0" fillId="4" fontId="17" numFmtId="0" xfId="0" applyAlignment="1" applyFont="1">
      <alignment horizontal="center" vertical="center"/>
    </xf>
    <xf borderId="0" fillId="3" fontId="18" numFmtId="4" xfId="0" applyAlignment="1" applyFont="1" applyNumberFormat="1">
      <alignment horizontal="center" vertical="center"/>
    </xf>
    <xf borderId="0" fillId="21" fontId="17" numFmtId="0" xfId="0" applyAlignment="1" applyFont="1">
      <alignment horizontal="center" shrinkToFit="0" vertical="center" wrapText="1"/>
    </xf>
    <xf borderId="0" fillId="3" fontId="15" numFmtId="171" xfId="0" applyAlignment="1" applyFont="1" applyNumberFormat="1">
      <alignment horizontal="center" vertical="center"/>
    </xf>
    <xf borderId="0" fillId="3" fontId="18" numFmtId="0" xfId="0" applyAlignment="1" applyFont="1">
      <alignment horizontal="center" vertical="center"/>
    </xf>
    <xf borderId="0" fillId="4" fontId="3" numFmtId="165" xfId="0" applyAlignment="1" applyFont="1" applyNumberForma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6" fontId="19" numFmtId="0" xfId="0" applyAlignment="1" applyFont="1">
      <alignment horizontal="center" shrinkToFit="0" vertical="center" wrapText="1"/>
    </xf>
    <xf borderId="0" fillId="6" fontId="3" numFmtId="0" xfId="0" applyAlignment="1" applyFont="1">
      <alignment horizontal="center" shrinkToFit="0" vertical="center" wrapText="1"/>
    </xf>
    <xf borderId="34" fillId="21" fontId="3" numFmtId="0" xfId="0" applyAlignment="1" applyBorder="1" applyFont="1">
      <alignment horizontal="center" shrinkToFit="0" vertical="center" wrapText="1"/>
    </xf>
    <xf borderId="26" fillId="21" fontId="3" numFmtId="0" xfId="0" applyAlignment="1" applyBorder="1" applyFont="1">
      <alignment horizontal="center" shrinkToFit="0" vertical="center" wrapText="1"/>
    </xf>
    <xf borderId="35" fillId="21" fontId="3" numFmtId="165" xfId="0" applyAlignment="1" applyBorder="1" applyFont="1" applyNumberFormat="1">
      <alignment horizontal="center" shrinkToFit="0" vertical="center" wrapText="1"/>
    </xf>
    <xf borderId="34" fillId="22" fontId="3" numFmtId="165" xfId="0" applyAlignment="1" applyBorder="1" applyFont="1" applyNumberFormat="1">
      <alignment horizontal="center" shrinkToFit="0" vertical="center" wrapText="1"/>
    </xf>
    <xf borderId="35" fillId="22" fontId="3" numFmtId="0" xfId="0" applyAlignment="1" applyBorder="1" applyFont="1">
      <alignment horizontal="center" shrinkToFit="0" vertical="center" wrapText="1"/>
    </xf>
    <xf borderId="25" fillId="23" fontId="3" numFmtId="0" xfId="0" applyAlignment="1" applyBorder="1" applyFont="1">
      <alignment horizontal="center" shrinkToFit="0" vertical="center" wrapText="1"/>
    </xf>
    <xf borderId="36" fillId="0" fontId="6" numFmtId="1" xfId="0" applyAlignment="1" applyBorder="1" applyFont="1" applyNumberFormat="1">
      <alignment horizontal="center" vertical="center"/>
    </xf>
    <xf borderId="37" fillId="0" fontId="6" numFmtId="1" xfId="0" applyAlignment="1" applyBorder="1" applyFont="1" applyNumberFormat="1">
      <alignment horizontal="center" vertical="center"/>
    </xf>
    <xf borderId="38" fillId="0" fontId="6" numFmtId="1" xfId="0" applyAlignment="1" applyBorder="1" applyFont="1" applyNumberFormat="1">
      <alignment horizontal="center" vertical="center"/>
    </xf>
    <xf borderId="39" fillId="0" fontId="6" numFmtId="1" xfId="0" applyAlignment="1" applyBorder="1" applyFont="1" applyNumberFormat="1">
      <alignment horizontal="center" vertical="center"/>
    </xf>
    <xf borderId="36" fillId="0" fontId="6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vertical="center"/>
    </xf>
    <xf borderId="0" fillId="0" fontId="7" numFmtId="0" xfId="0" applyAlignment="1" applyFont="1">
      <alignment vertical="center"/>
    </xf>
    <xf borderId="40" fillId="19" fontId="15" numFmtId="0" xfId="0" applyAlignment="1" applyBorder="1" applyFont="1">
      <alignment horizontal="center" vertical="center"/>
    </xf>
    <xf borderId="41" fillId="3" fontId="15" numFmtId="0" xfId="0" applyAlignment="1" applyBorder="1" applyFont="1">
      <alignment horizontal="center" vertical="center"/>
    </xf>
    <xf borderId="42" fillId="0" fontId="20" numFmtId="0" xfId="0" applyBorder="1" applyFont="1"/>
    <xf borderId="43" fillId="0" fontId="20" numFmtId="0" xfId="0" applyBorder="1" applyFont="1"/>
    <xf borderId="0" fillId="0" fontId="7" numFmtId="171" xfId="0" applyAlignment="1" applyFont="1" applyNumberFormat="1">
      <alignment horizontal="center" shrinkToFit="0" vertical="center" wrapText="1"/>
    </xf>
    <xf borderId="0" fillId="0" fontId="21" numFmtId="0" xfId="0" applyAlignment="1" applyFont="1">
      <alignment horizontal="center" shrinkToFit="0" vertical="center" wrapText="1"/>
    </xf>
    <xf borderId="44" fillId="0" fontId="6" numFmtId="1" xfId="0" applyAlignment="1" applyBorder="1" applyFont="1" applyNumberFormat="1">
      <alignment horizontal="center" shrinkToFit="0" vertical="center" wrapText="1"/>
    </xf>
    <xf borderId="45" fillId="0" fontId="7" numFmtId="1" xfId="0" applyAlignment="1" applyBorder="1" applyFont="1" applyNumberFormat="1">
      <alignment horizontal="center" vertical="center"/>
    </xf>
    <xf borderId="23" fillId="0" fontId="7" numFmtId="1" xfId="0" applyAlignment="1" applyBorder="1" applyFont="1" applyNumberFormat="1">
      <alignment horizontal="center" vertical="center"/>
    </xf>
    <xf borderId="13" fillId="0" fontId="7" numFmtId="172" xfId="0" applyAlignment="1" applyBorder="1" applyFont="1" applyNumberFormat="1">
      <alignment horizontal="center" vertical="center"/>
    </xf>
    <xf borderId="20" fillId="0" fontId="7" numFmtId="172" xfId="0" applyAlignment="1" applyBorder="1" applyFont="1" applyNumberFormat="1">
      <alignment horizontal="center" vertical="center"/>
    </xf>
    <xf borderId="45" fillId="0" fontId="7" numFmtId="171" xfId="0" applyAlignment="1" applyBorder="1" applyFont="1" applyNumberFormat="1">
      <alignment horizontal="center" shrinkToFit="0" vertical="center" wrapText="1"/>
    </xf>
    <xf borderId="40" fillId="3" fontId="15" numFmtId="0" xfId="0" applyAlignment="1" applyBorder="1" applyFont="1">
      <alignment horizontal="center" vertical="center"/>
    </xf>
    <xf borderId="44" fillId="0" fontId="20" numFmtId="0" xfId="0" applyBorder="1" applyFont="1"/>
    <xf borderId="18" fillId="0" fontId="7" numFmtId="1" xfId="0" applyAlignment="1" applyBorder="1" applyFont="1" applyNumberFormat="1">
      <alignment horizontal="center" vertical="center"/>
    </xf>
    <xf borderId="1" fillId="0" fontId="7" numFmtId="172" xfId="0" applyAlignment="1" applyBorder="1" applyFont="1" applyNumberFormat="1">
      <alignment horizontal="center" vertical="center"/>
    </xf>
    <xf borderId="46" fillId="0" fontId="7" numFmtId="1" xfId="0" applyAlignment="1" applyBorder="1" applyFont="1" applyNumberFormat="1">
      <alignment horizontal="center" vertical="center"/>
    </xf>
    <xf borderId="0" fillId="0" fontId="21" numFmtId="173" xfId="0" applyAlignment="1" applyFont="1" applyNumberFormat="1">
      <alignment horizontal="left" shrinkToFit="0" vertical="center" wrapText="1"/>
    </xf>
    <xf borderId="40" fillId="3" fontId="15" numFmtId="171" xfId="0" applyAlignment="1" applyBorder="1" applyFont="1" applyNumberFormat="1">
      <alignment horizontal="center" vertical="center"/>
    </xf>
    <xf borderId="40" fillId="3" fontId="15" numFmtId="1" xfId="0" applyAlignment="1" applyBorder="1" applyFont="1" applyNumberFormat="1">
      <alignment horizontal="center" vertical="center"/>
    </xf>
    <xf borderId="40" fillId="3" fontId="18" numFmtId="1" xfId="0" applyAlignment="1" applyBorder="1" applyFont="1" applyNumberFormat="1">
      <alignment horizontal="center" vertical="center"/>
    </xf>
    <xf borderId="0" fillId="0" fontId="21" numFmtId="14" xfId="0" applyAlignment="1" applyFont="1" applyNumberFormat="1">
      <alignment horizontal="left" shrinkToFit="0" vertical="center" wrapText="1"/>
    </xf>
    <xf borderId="40" fillId="3" fontId="18" numFmtId="0" xfId="0" applyAlignment="1" applyBorder="1" applyFont="1">
      <alignment horizontal="center" vertical="center"/>
    </xf>
    <xf borderId="40" fillId="0" fontId="7" numFmtId="0" xfId="0" applyAlignment="1" applyBorder="1" applyFont="1">
      <alignment horizontal="center" vertical="center"/>
    </xf>
    <xf borderId="46" fillId="3" fontId="15" numFmtId="1" xfId="0" applyAlignment="1" applyBorder="1" applyFont="1" applyNumberFormat="1">
      <alignment horizontal="center" vertical="center"/>
    </xf>
    <xf borderId="18" fillId="3" fontId="15" numFmtId="1" xfId="0" applyAlignment="1" applyBorder="1" applyFont="1" applyNumberFormat="1">
      <alignment horizontal="center" vertical="center"/>
    </xf>
    <xf borderId="1" fillId="3" fontId="15" numFmtId="172" xfId="0" applyAlignment="1" applyBorder="1" applyFont="1" applyNumberFormat="1">
      <alignment horizontal="center" vertical="center"/>
    </xf>
    <xf borderId="10" fillId="3" fontId="22" numFmtId="1" xfId="0" applyAlignment="1" applyBorder="1" applyFont="1" applyNumberFormat="1">
      <alignment horizontal="center" shrinkToFit="0" vertical="center" wrapText="1"/>
    </xf>
    <xf borderId="46" fillId="0" fontId="7" numFmtId="171" xfId="0" applyAlignment="1" applyBorder="1" applyFont="1" applyNumberFormat="1">
      <alignment horizontal="center" shrinkToFit="0" vertical="center" wrapText="1"/>
    </xf>
    <xf borderId="0" fillId="0" fontId="21" numFmtId="171" xfId="0" applyAlignment="1" applyFont="1" applyNumberFormat="1">
      <alignment horizontal="center" shrinkToFit="0" vertical="center" wrapText="1"/>
    </xf>
    <xf borderId="45" fillId="0" fontId="20" numFmtId="0" xfId="0" applyBorder="1" applyFont="1"/>
    <xf borderId="46" fillId="0" fontId="6" numFmtId="1" xfId="0" applyAlignment="1" applyBorder="1" applyFont="1" applyNumberFormat="1">
      <alignment horizontal="center" vertical="center"/>
    </xf>
    <xf borderId="10" fillId="0" fontId="23" numFmtId="1" xfId="0" applyAlignment="1" applyBorder="1" applyFont="1" applyNumberFormat="1">
      <alignment horizontal="center" shrinkToFit="0" vertical="center" wrapText="1"/>
    </xf>
    <xf borderId="46" fillId="0" fontId="7" numFmtId="171" xfId="0" applyAlignment="1" applyBorder="1" applyFont="1" applyNumberFormat="1">
      <alignment horizontal="center" vertical="center"/>
    </xf>
    <xf borderId="47" fillId="0" fontId="7" numFmtId="1" xfId="0" applyAlignment="1" applyBorder="1" applyFont="1" applyNumberFormat="1">
      <alignment horizontal="center" vertical="center"/>
    </xf>
    <xf borderId="36" fillId="3" fontId="7" numFmtId="172" xfId="0" applyAlignment="1" applyBorder="1" applyFont="1" applyNumberFormat="1">
      <alignment horizontal="center" vertical="center"/>
    </xf>
    <xf borderId="47" fillId="0" fontId="6" numFmtId="1" xfId="0" applyAlignment="1" applyBorder="1" applyFont="1" applyNumberFormat="1">
      <alignment horizontal="center" vertical="center"/>
    </xf>
    <xf borderId="48" fillId="0" fontId="7" numFmtId="1" xfId="0" applyAlignment="1" applyBorder="1" applyFont="1" applyNumberFormat="1">
      <alignment horizontal="center" vertical="center"/>
    </xf>
    <xf borderId="48" fillId="0" fontId="7" numFmtId="10" xfId="0" applyAlignment="1" applyBorder="1" applyFont="1" applyNumberFormat="1">
      <alignment horizontal="center" vertical="center"/>
    </xf>
    <xf borderId="47" fillId="3" fontId="7" numFmtId="1" xfId="0" applyAlignment="1" applyBorder="1" applyFont="1" applyNumberFormat="1">
      <alignment horizontal="center" vertical="center"/>
    </xf>
    <xf borderId="36" fillId="0" fontId="7" numFmtId="1" xfId="0" applyAlignment="1" applyBorder="1" applyFont="1" applyNumberForma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36" fillId="0" fontId="6" numFmtId="171" xfId="0" applyAlignment="1" applyBorder="1" applyFont="1" applyNumberFormat="1">
      <alignment horizontal="center" vertical="center"/>
    </xf>
    <xf borderId="40" fillId="3" fontId="15" numFmtId="171" xfId="0" applyAlignment="1" applyBorder="1" applyFont="1" applyNumberFormat="1">
      <alignment horizontal="center" shrinkToFit="0" vertical="center" wrapText="1"/>
    </xf>
    <xf borderId="0" fillId="0" fontId="21" numFmtId="0" xfId="0" applyAlignment="1" applyFont="1">
      <alignment horizontal="left" shrinkToFit="0" vertical="center" wrapText="1"/>
    </xf>
    <xf borderId="0" fillId="0" fontId="7" numFmtId="1" xfId="0" applyAlignment="1" applyFont="1" applyNumberFormat="1">
      <alignment horizontal="center" shrinkToFit="0" vertical="center" wrapText="1"/>
    </xf>
    <xf borderId="1" fillId="0" fontId="7" numFmtId="1" xfId="0" applyAlignment="1" applyBorder="1" applyFont="1" applyNumberFormat="1">
      <alignment horizontal="center" vertical="center"/>
    </xf>
    <xf borderId="16" fillId="3" fontId="9" numFmtId="165" xfId="0" applyAlignment="1" applyBorder="1" applyFont="1" applyNumberFormat="1">
      <alignment horizontal="center" vertical="center"/>
    </xf>
    <xf borderId="1" fillId="12" fontId="3" numFmtId="165" xfId="0" applyBorder="1" applyFont="1" applyNumberFormat="1"/>
    <xf borderId="1" fillId="24" fontId="3" numFmtId="0" xfId="0" applyBorder="1" applyFill="1" applyFont="1"/>
    <xf borderId="1" fillId="25" fontId="3" numFmtId="0" xfId="0" applyBorder="1" applyFill="1" applyFont="1"/>
    <xf borderId="0" fillId="24" fontId="11" numFmtId="0" xfId="0" applyAlignment="1" applyFont="1">
      <alignment horizontal="left"/>
    </xf>
    <xf borderId="0" fillId="14" fontId="11" numFmtId="0" xfId="0" applyAlignment="1" applyFont="1">
      <alignment horizontal="left"/>
    </xf>
    <xf borderId="1" fillId="12" fontId="3" numFmtId="166" xfId="0" applyBorder="1" applyFont="1" applyNumberFormat="1"/>
    <xf borderId="49" fillId="14" fontId="3" numFmtId="0" xfId="0" applyBorder="1" applyFont="1"/>
    <xf borderId="1" fillId="6" fontId="11" numFmtId="0" xfId="0" applyBorder="1" applyFont="1"/>
    <xf borderId="10" fillId="6" fontId="3" numFmtId="0" xfId="0" applyBorder="1" applyFont="1"/>
    <xf borderId="1" fillId="6" fontId="3" numFmtId="165" xfId="0" applyBorder="1" applyFont="1" applyNumberFormat="1"/>
    <xf borderId="1" fillId="6" fontId="3" numFmtId="167" xfId="0" applyBorder="1" applyFont="1" applyNumberFormat="1"/>
    <xf borderId="1" fillId="6" fontId="3" numFmtId="0" xfId="0" applyBorder="1" applyFont="1"/>
    <xf borderId="1" fillId="12" fontId="3" numFmtId="174" xfId="0" applyBorder="1" applyFont="1" applyNumberFormat="1"/>
    <xf borderId="1" fillId="10" fontId="3" numFmtId="170" xfId="0" applyBorder="1" applyFont="1" applyNumberFormat="1"/>
    <xf borderId="1" fillId="10" fontId="3" numFmtId="20" xfId="0" applyBorder="1" applyFont="1" applyNumberFormat="1"/>
    <xf borderId="13" fillId="4" fontId="3" numFmtId="0" xfId="0" applyAlignment="1" applyBorder="1" applyFont="1">
      <alignment vertical="bottom"/>
    </xf>
    <xf borderId="6" fillId="7" fontId="3" numFmtId="0" xfId="0" applyAlignment="1" applyBorder="1" applyFont="1">
      <alignment horizontal="right" vertical="bottom"/>
    </xf>
    <xf borderId="23" fillId="8" fontId="3" numFmtId="168" xfId="0" applyAlignment="1" applyBorder="1" applyFont="1" applyNumberFormat="1">
      <alignment horizontal="right" vertical="bottom"/>
    </xf>
    <xf borderId="23" fillId="9" fontId="3" numFmtId="165" xfId="0" applyAlignment="1" applyBorder="1" applyFont="1" applyNumberFormat="1">
      <alignment horizontal="right" vertical="bottom"/>
    </xf>
    <xf borderId="23" fillId="10" fontId="3" numFmtId="167" xfId="0" applyAlignment="1" applyBorder="1" applyFont="1" applyNumberFormat="1">
      <alignment horizontal="right" vertical="bottom"/>
    </xf>
    <xf borderId="23" fillId="11" fontId="3" numFmtId="0" xfId="0" applyAlignment="1" applyBorder="1" applyFont="1">
      <alignment vertical="bottom"/>
    </xf>
    <xf borderId="23" fillId="12" fontId="3" numFmtId="0" xfId="0" applyAlignment="1" applyBorder="1" applyFont="1">
      <alignment vertical="bottom"/>
    </xf>
    <xf borderId="23" fillId="13" fontId="3" numFmtId="0" xfId="0" applyAlignment="1" applyBorder="1" applyFont="1">
      <alignment vertical="bottom"/>
    </xf>
    <xf borderId="23" fillId="14" fontId="3" numFmtId="0" xfId="0" applyAlignment="1" applyBorder="1" applyFont="1">
      <alignment vertical="bottom"/>
    </xf>
    <xf borderId="23" fillId="4" fontId="1" numFmtId="0" xfId="0" applyAlignment="1" applyBorder="1" applyFont="1">
      <alignment vertical="bottom"/>
    </xf>
    <xf borderId="23" fillId="26" fontId="3" numFmtId="0" xfId="0" applyAlignment="1" applyBorder="1" applyFill="1" applyFont="1">
      <alignment vertical="bottom"/>
    </xf>
    <xf borderId="6" fillId="15" fontId="1" numFmtId="0" xfId="0" applyAlignment="1" applyBorder="1" applyFont="1">
      <alignment vertical="bottom"/>
    </xf>
    <xf borderId="23" fillId="27" fontId="3" numFmtId="0" xfId="0" applyAlignment="1" applyBorder="1" applyFill="1" applyFont="1">
      <alignment horizontal="center" vertical="bottom"/>
    </xf>
    <xf borderId="13" fillId="24" fontId="3" numFmtId="0" xfId="0" applyAlignment="1" applyBorder="1" applyFont="1">
      <alignment vertical="bottom"/>
    </xf>
    <xf borderId="6" fillId="24" fontId="3" numFmtId="0" xfId="0" applyAlignment="1" applyBorder="1" applyFont="1">
      <alignment horizontal="right" vertical="bottom"/>
    </xf>
    <xf borderId="23" fillId="24" fontId="3" numFmtId="168" xfId="0" applyAlignment="1" applyBorder="1" applyFont="1" applyNumberFormat="1">
      <alignment horizontal="right" vertical="bottom"/>
    </xf>
    <xf borderId="23" fillId="24" fontId="3" numFmtId="165" xfId="0" applyAlignment="1" applyBorder="1" applyFont="1" applyNumberFormat="1">
      <alignment horizontal="right" vertical="bottom"/>
    </xf>
    <xf borderId="23" fillId="24" fontId="3" numFmtId="167" xfId="0" applyAlignment="1" applyBorder="1" applyFont="1" applyNumberFormat="1">
      <alignment horizontal="right" vertical="bottom"/>
    </xf>
    <xf borderId="23" fillId="24" fontId="3" numFmtId="0" xfId="0" applyAlignment="1" applyBorder="1" applyFont="1">
      <alignment vertical="bottom"/>
    </xf>
    <xf borderId="6" fillId="24" fontId="1" numFmtId="0" xfId="0" applyAlignment="1" applyBorder="1" applyFont="1">
      <alignment vertical="bottom"/>
    </xf>
    <xf borderId="23" fillId="28" fontId="3" numFmtId="0" xfId="0" applyAlignment="1" applyBorder="1" applyFill="1" applyFont="1">
      <alignment horizontal="center" vertical="bottom"/>
    </xf>
    <xf borderId="13" fillId="24" fontId="3" numFmtId="0" xfId="0" applyAlignment="1" applyBorder="1" applyFont="1">
      <alignment horizontal="center" vertical="bottom"/>
    </xf>
    <xf borderId="23" fillId="24" fontId="3" numFmtId="168" xfId="0" applyAlignment="1" applyBorder="1" applyFont="1" applyNumberFormat="1">
      <alignment horizontal="center" vertical="bottom"/>
    </xf>
    <xf borderId="23" fillId="29" fontId="3" numFmtId="0" xfId="0" applyAlignment="1" applyBorder="1" applyFill="1" applyFont="1">
      <alignment vertical="bottom"/>
    </xf>
    <xf borderId="23" fillId="0" fontId="3" numFmtId="0" xfId="0" applyAlignment="1" applyBorder="1" applyFont="1">
      <alignment horizontal="center" vertical="bottom"/>
    </xf>
    <xf borderId="13" fillId="29" fontId="3" numFmtId="0" xfId="0" applyAlignment="1" applyBorder="1" applyFont="1">
      <alignment vertical="bottom"/>
    </xf>
    <xf borderId="6" fillId="29" fontId="3" numFmtId="0" xfId="0" applyAlignment="1" applyBorder="1" applyFont="1">
      <alignment horizontal="right" vertical="bottom"/>
    </xf>
    <xf borderId="23" fillId="29" fontId="3" numFmtId="168" xfId="0" applyAlignment="1" applyBorder="1" applyFont="1" applyNumberFormat="1">
      <alignment horizontal="right" vertical="bottom"/>
    </xf>
    <xf borderId="23" fillId="29" fontId="3" numFmtId="165" xfId="0" applyAlignment="1" applyBorder="1" applyFont="1" applyNumberFormat="1">
      <alignment horizontal="right" vertical="bottom"/>
    </xf>
    <xf borderId="23" fillId="29" fontId="3" numFmtId="167" xfId="0" applyAlignment="1" applyBorder="1" applyFont="1" applyNumberFormat="1">
      <alignment horizontal="right" vertical="bottom"/>
    </xf>
    <xf borderId="6" fillId="29" fontId="1" numFmtId="0" xfId="0" applyAlignment="1" applyBorder="1" applyFont="1">
      <alignment vertical="bottom"/>
    </xf>
    <xf borderId="23" fillId="30" fontId="3" numFmtId="0" xfId="0" applyAlignment="1" applyBorder="1" applyFill="1" applyFont="1">
      <alignment horizontal="center" vertical="bottom"/>
    </xf>
    <xf borderId="23" fillId="31" fontId="3" numFmtId="0" xfId="0" applyAlignment="1" applyBorder="1" applyFill="1" applyFont="1">
      <alignment horizontal="center" vertical="bottom"/>
    </xf>
    <xf borderId="13" fillId="4" fontId="3" numFmtId="0" xfId="0" applyAlignment="1" applyBorder="1" applyFont="1">
      <alignment horizontal="center" vertical="bottom"/>
    </xf>
    <xf borderId="23" fillId="8" fontId="3" numFmtId="168" xfId="0" applyAlignment="1" applyBorder="1" applyFont="1" applyNumberFormat="1">
      <alignment horizontal="center" vertical="bottom"/>
    </xf>
    <xf borderId="23" fillId="29" fontId="3" numFmtId="0" xfId="0" applyAlignment="1" applyBorder="1" applyFont="1">
      <alignment horizontal="center" vertical="bottom"/>
    </xf>
    <xf borderId="13" fillId="32" fontId="3" numFmtId="0" xfId="0" applyAlignment="1" applyBorder="1" applyFill="1" applyFont="1">
      <alignment vertical="bottom"/>
    </xf>
    <xf borderId="6" fillId="32" fontId="3" numFmtId="0" xfId="0" applyAlignment="1" applyBorder="1" applyFont="1">
      <alignment horizontal="right" vertical="bottom"/>
    </xf>
    <xf borderId="23" fillId="32" fontId="3" numFmtId="168" xfId="0" applyAlignment="1" applyBorder="1" applyFont="1" applyNumberFormat="1">
      <alignment horizontal="right" vertical="bottom"/>
    </xf>
    <xf borderId="23" fillId="32" fontId="3" numFmtId="165" xfId="0" applyAlignment="1" applyBorder="1" applyFont="1" applyNumberFormat="1">
      <alignment horizontal="right" vertical="bottom"/>
    </xf>
    <xf borderId="23" fillId="32" fontId="3" numFmtId="167" xfId="0" applyAlignment="1" applyBorder="1" applyFont="1" applyNumberFormat="1">
      <alignment horizontal="right" vertical="bottom"/>
    </xf>
    <xf borderId="23" fillId="32" fontId="3" numFmtId="0" xfId="0" applyAlignment="1" applyBorder="1" applyFont="1">
      <alignment vertical="bottom"/>
    </xf>
    <xf borderId="6" fillId="32" fontId="1" numFmtId="0" xfId="0" applyAlignment="1" applyBorder="1" applyFont="1">
      <alignment vertical="bottom"/>
    </xf>
    <xf borderId="6" fillId="7" fontId="10" numFmtId="0" xfId="0" applyAlignment="1" applyBorder="1" applyFont="1">
      <alignment horizontal="right" vertical="bottom"/>
    </xf>
    <xf borderId="23" fillId="10" fontId="3" numFmtId="167" xfId="0" applyAlignment="1" applyBorder="1" applyFont="1" applyNumberFormat="1">
      <alignment horizontal="center" vertical="bottom"/>
    </xf>
    <xf borderId="23" fillId="14" fontId="3" numFmtId="0" xfId="0" applyAlignment="1" applyBorder="1" applyFont="1">
      <alignment horizontal="center" vertical="bottom"/>
    </xf>
    <xf borderId="6" fillId="24" fontId="10" numFmtId="0" xfId="0" applyAlignment="1" applyBorder="1" applyFont="1">
      <alignment vertical="bottom"/>
    </xf>
    <xf borderId="23" fillId="32" fontId="3" numFmtId="167" xfId="0" applyAlignment="1" applyBorder="1" applyFont="1" applyNumberFormat="1">
      <alignment horizontal="center" vertical="bottom"/>
    </xf>
    <xf borderId="23" fillId="6" fontId="3" numFmtId="0" xfId="0" applyAlignment="1" applyBorder="1" applyFont="1">
      <alignment vertical="bottom"/>
    </xf>
    <xf borderId="6" fillId="24" fontId="10" numFmtId="0" xfId="0" applyAlignment="1" applyBorder="1" applyFont="1">
      <alignment horizontal="right" vertical="bottom"/>
    </xf>
    <xf borderId="23" fillId="32" fontId="1" numFmtId="0" xfId="0" applyAlignment="1" applyBorder="1" applyFont="1">
      <alignment vertical="bottom"/>
    </xf>
    <xf borderId="6" fillId="32" fontId="3" numFmtId="0" xfId="0" applyAlignment="1" applyBorder="1" applyFont="1">
      <alignment vertical="bottom"/>
    </xf>
    <xf borderId="13" fillId="31" fontId="3" numFmtId="0" xfId="0" applyAlignment="1" applyBorder="1" applyFont="1">
      <alignment vertical="bottom"/>
    </xf>
    <xf borderId="6" fillId="31" fontId="3" numFmtId="0" xfId="0" applyAlignment="1" applyBorder="1" applyFont="1">
      <alignment horizontal="right" vertical="bottom"/>
    </xf>
    <xf borderId="23" fillId="31" fontId="3" numFmtId="168" xfId="0" applyAlignment="1" applyBorder="1" applyFont="1" applyNumberFormat="1">
      <alignment horizontal="right" vertical="bottom"/>
    </xf>
    <xf borderId="23" fillId="31" fontId="3" numFmtId="165" xfId="0" applyAlignment="1" applyBorder="1" applyFont="1" applyNumberFormat="1">
      <alignment horizontal="right" vertical="bottom"/>
    </xf>
    <xf borderId="23" fillId="31" fontId="3" numFmtId="167" xfId="0" applyAlignment="1" applyBorder="1" applyFont="1" applyNumberFormat="1">
      <alignment horizontal="right" vertical="bottom"/>
    </xf>
    <xf borderId="23" fillId="31" fontId="3" numFmtId="0" xfId="0" applyAlignment="1" applyBorder="1" applyFont="1">
      <alignment vertical="bottom"/>
    </xf>
    <xf borderId="23" fillId="31" fontId="1" numFmtId="0" xfId="0" applyAlignment="1" applyBorder="1" applyFont="1">
      <alignment vertical="bottom"/>
    </xf>
    <xf borderId="6" fillId="31" fontId="3" numFmtId="0" xfId="0" applyAlignment="1" applyBorder="1" applyFont="1">
      <alignment vertical="bottom"/>
    </xf>
    <xf borderId="23" fillId="13" fontId="3" numFmtId="0" xfId="0" applyAlignment="1" applyBorder="1" applyFont="1">
      <alignment horizontal="center" vertical="bottom"/>
    </xf>
    <xf borderId="13" fillId="9" fontId="3" numFmtId="0" xfId="0" applyAlignment="1" applyBorder="1" applyFont="1">
      <alignment vertical="bottom"/>
    </xf>
    <xf borderId="6" fillId="9" fontId="3" numFmtId="0" xfId="0" applyAlignment="1" applyBorder="1" applyFont="1">
      <alignment horizontal="right" vertical="bottom"/>
    </xf>
    <xf borderId="23" fillId="9" fontId="3" numFmtId="168" xfId="0" applyAlignment="1" applyBorder="1" applyFont="1" applyNumberFormat="1">
      <alignment horizontal="right" vertical="bottom"/>
    </xf>
    <xf borderId="23" fillId="9" fontId="3" numFmtId="167" xfId="0" applyAlignment="1" applyBorder="1" applyFont="1" applyNumberFormat="1">
      <alignment horizontal="right" vertical="bottom"/>
    </xf>
    <xf borderId="23" fillId="9" fontId="3" numFmtId="0" xfId="0" applyAlignment="1" applyBorder="1" applyFont="1">
      <alignment vertical="bottom"/>
    </xf>
    <xf borderId="6" fillId="9" fontId="3" numFmtId="0" xfId="0" applyAlignment="1" applyBorder="1" applyFont="1">
      <alignment vertical="bottom"/>
    </xf>
    <xf borderId="6" fillId="9" fontId="1" numFmtId="0" xfId="0" applyAlignment="1" applyBorder="1" applyFont="1">
      <alignment vertical="bottom"/>
    </xf>
    <xf borderId="23" fillId="15" fontId="3" numFmtId="0" xfId="0" applyAlignment="1" applyBorder="1" applyFont="1">
      <alignment horizontal="center" vertical="bottom"/>
    </xf>
    <xf borderId="50" fillId="15" fontId="1" numFmtId="0" xfId="0" applyAlignment="1" applyBorder="1" applyFont="1">
      <alignment vertical="bottom"/>
    </xf>
    <xf borderId="23" fillId="32" fontId="3" numFmtId="0" xfId="0" applyAlignment="1" applyBorder="1" applyFont="1">
      <alignment horizontal="center" vertical="bottom"/>
    </xf>
    <xf borderId="23" fillId="24" fontId="3" numFmtId="167" xfId="0" applyAlignment="1" applyBorder="1" applyFont="1" applyNumberFormat="1">
      <alignment horizontal="center" vertical="bottom"/>
    </xf>
    <xf borderId="23" fillId="24" fontId="3" numFmtId="0" xfId="0" applyAlignment="1" applyBorder="1" applyFont="1">
      <alignment horizontal="center" vertical="bottom"/>
    </xf>
    <xf borderId="28" fillId="0" fontId="10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51" fillId="0" fontId="3" numFmtId="0" xfId="0" applyAlignment="1" applyBorder="1" applyFont="1">
      <alignment horizontal="center" vertical="center"/>
    </xf>
    <xf borderId="5" fillId="0" fontId="3" numFmtId="166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horizontal="center" vertical="center"/>
    </xf>
    <xf borderId="52" fillId="0" fontId="3" numFmtId="0" xfId="0" applyAlignment="1" applyBorder="1" applyFont="1">
      <alignment horizontal="center" vertical="center"/>
    </xf>
    <xf borderId="8" fillId="0" fontId="3" numFmtId="166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center" vertical="center"/>
    </xf>
    <xf borderId="53" fillId="0" fontId="3" numFmtId="0" xfId="0" applyAlignment="1" applyBorder="1" applyFont="1">
      <alignment horizontal="center" vertical="center"/>
    </xf>
    <xf borderId="12" fillId="0" fontId="3" numFmtId="166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54" fillId="0" fontId="3" numFmtId="0" xfId="0" applyAlignment="1" applyBorder="1" applyFont="1">
      <alignment horizontal="center" vertical="center"/>
    </xf>
    <xf borderId="21" fillId="0" fontId="3" numFmtId="166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27">
    <dxf>
      <font>
        <b/>
        <strike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  <strike/>
        <color rgb="FF000000"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4285F4"/>
          <bgColor rgb="FF4285F4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>
        <color theme="1"/>
      </font>
      <fill>
        <patternFill patternType="solid">
          <fgColor theme="1"/>
          <bgColor theme="1"/>
        </patternFill>
      </fill>
      <border/>
    </dxf>
    <dxf>
      <font>
        <color rgb="FF00000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p5UXxAQ3j4BErqmB8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7.75"/>
    <col customWidth="1" min="3" max="3" width="53.25"/>
    <col customWidth="1" min="4" max="4" width="23.5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customHeight="1">
      <c r="A2" s="3">
        <v>44615.697613067125</v>
      </c>
      <c r="B2" s="1" t="s">
        <v>4</v>
      </c>
      <c r="C2" s="2" t="s">
        <v>5</v>
      </c>
      <c r="D2" s="4">
        <v>44613.0</v>
      </c>
    </row>
    <row r="3" ht="15.75" customHeight="1">
      <c r="A3" s="3">
        <v>44615.703261180555</v>
      </c>
      <c r="B3" s="1" t="s">
        <v>6</v>
      </c>
      <c r="C3" s="2" t="s">
        <v>7</v>
      </c>
      <c r="D3" s="4">
        <v>44614.0</v>
      </c>
    </row>
    <row r="4" ht="15.75" customHeight="1">
      <c r="A4" s="5">
        <v>44616.731304699075</v>
      </c>
      <c r="B4" s="6" t="s">
        <v>4</v>
      </c>
      <c r="C4" s="2" t="s">
        <v>8</v>
      </c>
      <c r="D4" s="7">
        <v>44616.0</v>
      </c>
    </row>
    <row r="5" ht="15.75" customHeight="1">
      <c r="A5" s="5">
        <v>44617.71005543981</v>
      </c>
      <c r="B5" s="6" t="s">
        <v>4</v>
      </c>
      <c r="C5" s="2" t="s">
        <v>9</v>
      </c>
      <c r="D5" s="7">
        <v>44617.0</v>
      </c>
    </row>
    <row r="6" ht="15.75" customHeight="1">
      <c r="A6" s="5">
        <v>44621.693452824074</v>
      </c>
      <c r="B6" s="6" t="s">
        <v>4</v>
      </c>
      <c r="C6" s="8" t="s">
        <v>10</v>
      </c>
      <c r="D6" s="7">
        <v>44621.0</v>
      </c>
    </row>
    <row r="7" ht="15.75" customHeight="1">
      <c r="A7" s="5">
        <v>44621.70452342593</v>
      </c>
      <c r="B7" s="6" t="s">
        <v>4</v>
      </c>
      <c r="C7" s="8" t="s">
        <v>11</v>
      </c>
      <c r="D7" s="7">
        <v>44615.0</v>
      </c>
    </row>
    <row r="8" ht="15.75" customHeight="1">
      <c r="A8" s="5">
        <v>44622.47943774305</v>
      </c>
      <c r="B8" s="6" t="s">
        <v>4</v>
      </c>
      <c r="C8" s="8" t="s">
        <v>12</v>
      </c>
      <c r="D8" s="7">
        <v>44620.0</v>
      </c>
    </row>
    <row r="9" ht="15.75" customHeight="1">
      <c r="A9" s="5">
        <v>44623.70641018519</v>
      </c>
      <c r="B9" s="6" t="s">
        <v>6</v>
      </c>
      <c r="C9" s="8" t="s">
        <v>13</v>
      </c>
      <c r="D9" s="7">
        <v>44623.0</v>
      </c>
    </row>
    <row r="10" ht="15.75" customHeight="1">
      <c r="A10" s="5">
        <v>44628.392790729165</v>
      </c>
      <c r="B10" s="6" t="s">
        <v>6</v>
      </c>
      <c r="C10" s="8" t="s">
        <v>14</v>
      </c>
      <c r="D10" s="7">
        <v>44627.0</v>
      </c>
    </row>
    <row r="11" ht="15.75" customHeight="1">
      <c r="A11" s="5">
        <v>44628.713353240746</v>
      </c>
      <c r="B11" s="6" t="s">
        <v>6</v>
      </c>
      <c r="C11" s="8" t="s">
        <v>15</v>
      </c>
      <c r="D11" s="7">
        <v>44628.0</v>
      </c>
    </row>
    <row r="12" ht="15.75" customHeight="1">
      <c r="A12" s="5">
        <v>44630.69913111111</v>
      </c>
      <c r="B12" s="6" t="s">
        <v>6</v>
      </c>
      <c r="C12" s="8">
        <v>10016.0</v>
      </c>
      <c r="D12" s="7">
        <v>44628.0</v>
      </c>
    </row>
    <row r="13" ht="15.75" customHeight="1">
      <c r="A13" s="5">
        <v>44630.703505150464</v>
      </c>
      <c r="B13" s="6" t="s">
        <v>6</v>
      </c>
      <c r="C13" s="8" t="s">
        <v>16</v>
      </c>
      <c r="D13" s="7">
        <v>44630.0</v>
      </c>
    </row>
    <row r="14" ht="15.75" customHeight="1">
      <c r="A14" s="5">
        <v>44631.7233215625</v>
      </c>
      <c r="B14" s="6" t="s">
        <v>6</v>
      </c>
      <c r="C14" s="8" t="s">
        <v>17</v>
      </c>
      <c r="D14" s="7">
        <v>44631.0</v>
      </c>
    </row>
    <row r="15" ht="15.75" customHeight="1">
      <c r="A15" s="5">
        <v>44634.711401759254</v>
      </c>
      <c r="B15" s="6" t="s">
        <v>4</v>
      </c>
      <c r="C15" s="8" t="s">
        <v>18</v>
      </c>
      <c r="D15" s="7">
        <v>44634.0</v>
      </c>
    </row>
    <row r="16" ht="15.75" customHeight="1">
      <c r="A16" s="5">
        <v>44635.72831180556</v>
      </c>
      <c r="B16" s="6" t="s">
        <v>6</v>
      </c>
      <c r="C16" s="9" t="s">
        <v>19</v>
      </c>
      <c r="D16" s="7">
        <v>44635.0</v>
      </c>
    </row>
    <row r="17" ht="15.75" customHeight="1">
      <c r="A17" s="5">
        <v>44637.707298877314</v>
      </c>
      <c r="B17" s="6" t="s">
        <v>6</v>
      </c>
      <c r="C17" s="9" t="s">
        <v>20</v>
      </c>
      <c r="D17" s="7">
        <v>44637.0</v>
      </c>
    </row>
    <row r="18" ht="15.75" customHeight="1">
      <c r="A18" s="5">
        <v>44637.71668324074</v>
      </c>
      <c r="B18" s="6" t="s">
        <v>4</v>
      </c>
      <c r="C18" s="9" t="s">
        <v>21</v>
      </c>
      <c r="D18" s="7">
        <v>44622.0</v>
      </c>
    </row>
    <row r="19" ht="15.75" customHeight="1">
      <c r="A19" s="5">
        <v>44638.70673435185</v>
      </c>
      <c r="B19" s="6" t="s">
        <v>6</v>
      </c>
      <c r="C19" s="9" t="s">
        <v>22</v>
      </c>
      <c r="D19" s="7">
        <v>44638.0</v>
      </c>
    </row>
    <row r="20" ht="15.75" customHeight="1">
      <c r="A20" s="5">
        <v>44641.702516053236</v>
      </c>
      <c r="B20" s="6" t="s">
        <v>4</v>
      </c>
      <c r="C20" s="9" t="s">
        <v>23</v>
      </c>
      <c r="D20" s="7">
        <v>44641.0</v>
      </c>
    </row>
    <row r="21" ht="15.75" customHeight="1">
      <c r="A21" s="5">
        <v>44642.71662060185</v>
      </c>
      <c r="B21" s="6" t="s">
        <v>4</v>
      </c>
      <c r="C21" s="9" t="s">
        <v>24</v>
      </c>
      <c r="D21" s="7">
        <v>44642.0</v>
      </c>
    </row>
    <row r="22" ht="15.75" customHeight="1">
      <c r="A22" s="5">
        <v>44643.712944548606</v>
      </c>
      <c r="B22" s="6" t="s">
        <v>4</v>
      </c>
      <c r="C22" s="9" t="s">
        <v>25</v>
      </c>
      <c r="D22" s="7">
        <v>44643.0</v>
      </c>
    </row>
    <row r="23" ht="15.75" customHeight="1">
      <c r="A23" s="5">
        <v>44644.69775902778</v>
      </c>
      <c r="B23" s="6" t="s">
        <v>6</v>
      </c>
      <c r="C23" s="9" t="s">
        <v>26</v>
      </c>
      <c r="D23" s="7">
        <v>44644.0</v>
      </c>
    </row>
    <row r="24" ht="15.75" customHeight="1">
      <c r="A24" s="5">
        <v>44645.717794502314</v>
      </c>
      <c r="B24" s="6" t="s">
        <v>6</v>
      </c>
      <c r="C24" s="9" t="s">
        <v>27</v>
      </c>
      <c r="D24" s="7">
        <v>44645.0</v>
      </c>
    </row>
    <row r="25" ht="15.75" customHeight="1">
      <c r="A25" s="5">
        <v>44648.69661304398</v>
      </c>
      <c r="B25" s="6" t="s">
        <v>6</v>
      </c>
      <c r="C25" s="9" t="s">
        <v>28</v>
      </c>
      <c r="D25" s="7">
        <v>44648.0</v>
      </c>
    </row>
    <row r="26" ht="15.75" customHeight="1">
      <c r="A26" s="5">
        <v>44649.681795972225</v>
      </c>
      <c r="B26" s="6" t="s">
        <v>4</v>
      </c>
      <c r="C26" s="9" t="s">
        <v>29</v>
      </c>
      <c r="D26" s="7">
        <v>44649.0</v>
      </c>
    </row>
    <row r="27" ht="15.75" customHeight="1">
      <c r="A27" s="5">
        <v>44650.71016412037</v>
      </c>
      <c r="B27" s="6" t="s">
        <v>6</v>
      </c>
      <c r="C27" s="9" t="s">
        <v>30</v>
      </c>
      <c r="D27" s="7">
        <v>44650.0</v>
      </c>
    </row>
    <row r="28" ht="15.75" customHeight="1">
      <c r="A28" s="5">
        <v>44651.6877396412</v>
      </c>
      <c r="B28" s="6" t="s">
        <v>6</v>
      </c>
      <c r="C28" s="9" t="s">
        <v>31</v>
      </c>
      <c r="D28" s="7">
        <v>44651.0</v>
      </c>
    </row>
    <row r="29" ht="15.75" customHeight="1">
      <c r="A29" s="5">
        <v>44651.70589952546</v>
      </c>
      <c r="B29" s="6" t="s">
        <v>6</v>
      </c>
      <c r="C29" s="9">
        <v>15277.0</v>
      </c>
      <c r="D29" s="7">
        <v>44651.0</v>
      </c>
    </row>
    <row r="30" ht="15.75" customHeight="1">
      <c r="A30" s="1"/>
      <c r="B30" s="1"/>
      <c r="C30" s="2"/>
      <c r="D30" s="1"/>
    </row>
    <row r="31" ht="15.75" customHeight="1">
      <c r="A31" s="1"/>
      <c r="B31" s="1"/>
      <c r="C31" s="2"/>
      <c r="D31" s="1"/>
    </row>
    <row r="32" ht="15.75" customHeight="1">
      <c r="A32" s="1"/>
      <c r="B32" s="1"/>
      <c r="C32" s="2"/>
      <c r="D32" s="1"/>
    </row>
    <row r="33" ht="15.75" customHeight="1">
      <c r="A33" s="1"/>
      <c r="B33" s="1"/>
      <c r="C33" s="2"/>
      <c r="D33" s="1"/>
    </row>
    <row r="34" ht="15.75" customHeight="1">
      <c r="A34" s="1"/>
      <c r="B34" s="1"/>
      <c r="C34" s="2"/>
      <c r="D34" s="1"/>
    </row>
    <row r="35" ht="15.75" customHeight="1">
      <c r="A35" s="1"/>
      <c r="B35" s="1"/>
      <c r="C35" s="2"/>
      <c r="D35" s="1"/>
    </row>
    <row r="36" ht="15.75" customHeight="1">
      <c r="A36" s="1"/>
      <c r="B36" s="1"/>
      <c r="C36" s="2"/>
      <c r="D36" s="1"/>
    </row>
    <row r="37" ht="15.75" customHeight="1">
      <c r="A37" s="1"/>
      <c r="B37" s="1"/>
      <c r="C37" s="2"/>
      <c r="D37" s="1"/>
    </row>
    <row r="38" ht="15.75" customHeight="1">
      <c r="A38" s="1"/>
      <c r="B38" s="1"/>
      <c r="C38" s="2"/>
      <c r="D38" s="1"/>
    </row>
    <row r="39" ht="15.75" customHeight="1">
      <c r="A39" s="1"/>
      <c r="B39" s="1"/>
      <c r="C39" s="2"/>
      <c r="D39" s="1"/>
    </row>
    <row r="40" ht="15.75" customHeight="1">
      <c r="A40" s="1"/>
      <c r="B40" s="1"/>
      <c r="C40" s="2"/>
      <c r="D40" s="1"/>
    </row>
    <row r="41" ht="15.75" customHeight="1">
      <c r="A41" s="1"/>
      <c r="B41" s="1"/>
      <c r="C41" s="2"/>
      <c r="D41" s="1"/>
    </row>
    <row r="42" ht="15.75" customHeight="1">
      <c r="A42" s="1"/>
      <c r="B42" s="1"/>
      <c r="C42" s="2"/>
      <c r="D42" s="1"/>
    </row>
    <row r="43" ht="15.75" customHeight="1">
      <c r="A43" s="1"/>
      <c r="B43" s="1"/>
      <c r="C43" s="2"/>
      <c r="D43" s="1"/>
    </row>
    <row r="44" ht="15.75" customHeight="1">
      <c r="A44" s="1"/>
      <c r="B44" s="1"/>
      <c r="C44" s="2"/>
      <c r="D44" s="1"/>
    </row>
    <row r="45" ht="15.75" customHeight="1">
      <c r="A45" s="1"/>
      <c r="B45" s="1"/>
      <c r="C45" s="2"/>
      <c r="D45" s="1"/>
    </row>
    <row r="46" ht="15.75" customHeight="1">
      <c r="A46" s="1"/>
      <c r="B46" s="1"/>
      <c r="C46" s="2"/>
      <c r="D46" s="1"/>
    </row>
    <row r="47" ht="15.75" customHeight="1">
      <c r="A47" s="1"/>
      <c r="B47" s="1"/>
      <c r="C47" s="2"/>
      <c r="D47" s="1"/>
    </row>
    <row r="48" ht="15.75" customHeight="1">
      <c r="A48" s="1"/>
      <c r="B48" s="1"/>
      <c r="C48" s="2"/>
      <c r="D48" s="1"/>
    </row>
    <row r="49" ht="15.75" customHeight="1">
      <c r="A49" s="1"/>
      <c r="B49" s="1"/>
      <c r="C49" s="2"/>
      <c r="D49" s="1"/>
    </row>
    <row r="50" ht="15.75" customHeight="1">
      <c r="A50" s="1"/>
      <c r="B50" s="1"/>
      <c r="C50" s="2"/>
      <c r="D50" s="1"/>
    </row>
    <row r="51" ht="15.75" customHeight="1">
      <c r="A51" s="1"/>
      <c r="B51" s="1"/>
      <c r="C51" s="2"/>
      <c r="D51" s="1"/>
    </row>
    <row r="52" ht="15.75" customHeight="1">
      <c r="A52" s="1"/>
      <c r="B52" s="1"/>
      <c r="C52" s="2"/>
      <c r="D52" s="1"/>
    </row>
    <row r="53" ht="15.75" customHeight="1">
      <c r="A53" s="1"/>
      <c r="B53" s="1"/>
      <c r="C53" s="2"/>
      <c r="D53" s="1"/>
    </row>
    <row r="54" ht="15.75" customHeight="1">
      <c r="A54" s="1"/>
      <c r="B54" s="1"/>
      <c r="C54" s="2"/>
      <c r="D54" s="1"/>
    </row>
    <row r="55" ht="15.75" customHeight="1">
      <c r="A55" s="1"/>
      <c r="B55" s="1"/>
      <c r="C55" s="2"/>
      <c r="D55" s="1"/>
    </row>
    <row r="56" ht="15.75" customHeight="1">
      <c r="A56" s="1"/>
      <c r="B56" s="1"/>
      <c r="C56" s="2"/>
      <c r="D56" s="1"/>
    </row>
    <row r="57" ht="15.75" customHeight="1">
      <c r="A57" s="1"/>
      <c r="B57" s="1"/>
      <c r="C57" s="2"/>
      <c r="D57" s="1"/>
    </row>
    <row r="58" ht="15.75" customHeight="1">
      <c r="A58" s="1"/>
      <c r="B58" s="1"/>
      <c r="C58" s="2"/>
      <c r="D58" s="1"/>
    </row>
    <row r="59" ht="15.75" customHeight="1">
      <c r="A59" s="1"/>
      <c r="B59" s="1"/>
      <c r="C59" s="2"/>
      <c r="D59" s="1"/>
    </row>
    <row r="60" ht="15.75" customHeight="1">
      <c r="A60" s="1"/>
      <c r="B60" s="1"/>
      <c r="C60" s="2"/>
      <c r="D60" s="1"/>
    </row>
    <row r="61" ht="15.75" customHeight="1">
      <c r="A61" s="1"/>
      <c r="B61" s="1"/>
      <c r="C61" s="2"/>
      <c r="D61" s="1"/>
    </row>
    <row r="62" ht="15.75" customHeight="1">
      <c r="A62" s="1"/>
      <c r="B62" s="1"/>
      <c r="C62" s="2"/>
      <c r="D62" s="1"/>
    </row>
    <row r="63" ht="15.75" customHeight="1">
      <c r="A63" s="1"/>
      <c r="B63" s="1"/>
      <c r="C63" s="2"/>
      <c r="D63" s="1"/>
    </row>
    <row r="64" ht="15.75" customHeight="1">
      <c r="A64" s="1"/>
      <c r="B64" s="1"/>
      <c r="C64" s="2"/>
      <c r="D64" s="1"/>
    </row>
    <row r="65" ht="15.75" customHeight="1">
      <c r="A65" s="1"/>
      <c r="B65" s="1"/>
      <c r="C65" s="2"/>
      <c r="D65" s="1"/>
    </row>
    <row r="66" ht="15.75" customHeight="1">
      <c r="A66" s="1"/>
      <c r="B66" s="1"/>
      <c r="C66" s="2"/>
      <c r="D66" s="1"/>
    </row>
    <row r="67" ht="15.75" customHeight="1">
      <c r="A67" s="1"/>
      <c r="B67" s="1"/>
      <c r="C67" s="2"/>
      <c r="D67" s="1"/>
    </row>
    <row r="68" ht="15.75" customHeight="1">
      <c r="A68" s="1"/>
      <c r="B68" s="1"/>
      <c r="C68" s="2"/>
      <c r="D68" s="1"/>
    </row>
    <row r="69" ht="15.75" customHeight="1">
      <c r="A69" s="1"/>
      <c r="B69" s="1"/>
      <c r="C69" s="2"/>
      <c r="D69" s="1"/>
    </row>
    <row r="70" ht="15.75" customHeight="1">
      <c r="A70" s="1"/>
      <c r="B70" s="1"/>
      <c r="C70" s="2"/>
      <c r="D70" s="1"/>
    </row>
    <row r="71" ht="15.75" customHeight="1">
      <c r="A71" s="1"/>
      <c r="B71" s="1"/>
      <c r="C71" s="2"/>
      <c r="D71" s="1"/>
    </row>
    <row r="72" ht="15.75" customHeight="1">
      <c r="A72" s="1"/>
      <c r="B72" s="1"/>
      <c r="C72" s="2"/>
      <c r="D72" s="1"/>
    </row>
    <row r="73" ht="15.75" customHeight="1">
      <c r="A73" s="1"/>
      <c r="B73" s="1"/>
      <c r="C73" s="2"/>
      <c r="D73" s="1"/>
    </row>
    <row r="74" ht="15.75" customHeight="1">
      <c r="A74" s="1"/>
      <c r="B74" s="1"/>
      <c r="C74" s="2"/>
      <c r="D74" s="1"/>
    </row>
    <row r="75" ht="15.75" customHeight="1">
      <c r="A75" s="1"/>
      <c r="B75" s="1"/>
      <c r="C75" s="2"/>
      <c r="D75" s="1"/>
    </row>
    <row r="76" ht="15.75" customHeight="1">
      <c r="A76" s="1"/>
      <c r="B76" s="1"/>
      <c r="C76" s="2"/>
      <c r="D76" s="1"/>
    </row>
    <row r="77" ht="15.75" customHeight="1">
      <c r="A77" s="1"/>
      <c r="B77" s="1"/>
      <c r="C77" s="2"/>
      <c r="D77" s="1"/>
    </row>
    <row r="78" ht="15.75" customHeight="1">
      <c r="A78" s="1"/>
      <c r="B78" s="1"/>
      <c r="C78" s="2"/>
      <c r="D78" s="1"/>
    </row>
    <row r="79" ht="15.75" customHeight="1">
      <c r="A79" s="1"/>
      <c r="B79" s="1"/>
      <c r="C79" s="2"/>
      <c r="D79" s="1"/>
    </row>
    <row r="80" ht="15.75" customHeight="1">
      <c r="A80" s="1"/>
      <c r="B80" s="1"/>
      <c r="C80" s="2"/>
      <c r="D80" s="1"/>
    </row>
    <row r="81" ht="15.75" customHeight="1">
      <c r="A81" s="1"/>
      <c r="B81" s="1"/>
      <c r="C81" s="2"/>
      <c r="D81" s="1"/>
    </row>
    <row r="82" ht="15.75" customHeight="1">
      <c r="A82" s="1"/>
      <c r="B82" s="1"/>
      <c r="C82" s="2"/>
      <c r="D82" s="1"/>
    </row>
    <row r="83" ht="15.75" customHeight="1">
      <c r="A83" s="1"/>
      <c r="B83" s="1"/>
      <c r="C83" s="2"/>
      <c r="D83" s="1"/>
    </row>
    <row r="84" ht="15.75" customHeight="1">
      <c r="A84" s="1"/>
      <c r="B84" s="1"/>
      <c r="C84" s="2"/>
      <c r="D84" s="1"/>
    </row>
    <row r="85" ht="15.75" customHeight="1">
      <c r="A85" s="1"/>
      <c r="B85" s="1"/>
      <c r="C85" s="2"/>
      <c r="D85" s="1"/>
    </row>
    <row r="86" ht="15.75" customHeight="1">
      <c r="A86" s="1"/>
      <c r="B86" s="1"/>
      <c r="C86" s="2"/>
      <c r="D86" s="1"/>
    </row>
    <row r="87" ht="15.75" customHeight="1">
      <c r="A87" s="1"/>
      <c r="B87" s="1"/>
      <c r="C87" s="2"/>
      <c r="D87" s="1"/>
    </row>
    <row r="88" ht="15.75" customHeight="1">
      <c r="A88" s="1"/>
      <c r="B88" s="1"/>
      <c r="C88" s="2"/>
      <c r="D88" s="1"/>
    </row>
    <row r="89" ht="15.75" customHeight="1">
      <c r="A89" s="1"/>
      <c r="B89" s="1"/>
      <c r="C89" s="2"/>
      <c r="D89" s="1"/>
    </row>
    <row r="90" ht="15.75" customHeight="1">
      <c r="A90" s="1"/>
      <c r="B90" s="1"/>
      <c r="C90" s="2"/>
      <c r="D90" s="1"/>
    </row>
    <row r="91" ht="15.75" customHeight="1">
      <c r="A91" s="1"/>
      <c r="B91" s="1"/>
      <c r="C91" s="2"/>
      <c r="D91" s="1"/>
    </row>
    <row r="92" ht="15.75" customHeight="1">
      <c r="A92" s="1"/>
      <c r="B92" s="1"/>
      <c r="C92" s="2"/>
      <c r="D92" s="1"/>
    </row>
    <row r="93" ht="15.75" customHeight="1">
      <c r="A93" s="1"/>
      <c r="B93" s="1"/>
      <c r="C93" s="2"/>
      <c r="D93" s="1"/>
    </row>
    <row r="94" ht="15.75" customHeight="1">
      <c r="A94" s="1"/>
      <c r="B94" s="1"/>
      <c r="C94" s="2"/>
      <c r="D94" s="1"/>
    </row>
    <row r="95" ht="15.75" customHeight="1">
      <c r="A95" s="1"/>
      <c r="B95" s="1"/>
      <c r="C95" s="2"/>
      <c r="D95" s="1"/>
    </row>
    <row r="96" ht="15.75" customHeight="1">
      <c r="A96" s="1"/>
      <c r="B96" s="1"/>
      <c r="C96" s="2"/>
      <c r="D96" s="1"/>
    </row>
    <row r="97" ht="15.75" customHeight="1">
      <c r="A97" s="1"/>
      <c r="B97" s="1"/>
      <c r="C97" s="2"/>
      <c r="D97" s="1"/>
    </row>
    <row r="98" ht="15.75" customHeight="1">
      <c r="A98" s="1"/>
      <c r="B98" s="1"/>
      <c r="C98" s="2"/>
      <c r="D98" s="1"/>
    </row>
    <row r="99" ht="15.75" customHeight="1">
      <c r="A99" s="1"/>
      <c r="B99" s="1"/>
      <c r="C99" s="2"/>
      <c r="D99" s="1"/>
    </row>
    <row r="100" ht="15.75" customHeight="1">
      <c r="A100" s="1"/>
      <c r="B100" s="1"/>
      <c r="C100" s="2"/>
      <c r="D100" s="1"/>
    </row>
    <row r="101" ht="15.75" customHeight="1">
      <c r="A101" s="1"/>
      <c r="B101" s="1"/>
      <c r="C101" s="2"/>
      <c r="D101" s="1"/>
    </row>
    <row r="102" ht="15.75" customHeight="1">
      <c r="A102" s="1"/>
      <c r="B102" s="1"/>
      <c r="C102" s="2"/>
      <c r="D102" s="1"/>
    </row>
    <row r="103" ht="15.75" customHeight="1">
      <c r="A103" s="1"/>
      <c r="B103" s="1"/>
      <c r="C103" s="2"/>
      <c r="D103" s="1"/>
    </row>
    <row r="104" ht="15.75" customHeight="1">
      <c r="A104" s="1"/>
      <c r="B104" s="1"/>
      <c r="C104" s="2"/>
      <c r="D104" s="1"/>
    </row>
    <row r="105" ht="15.75" customHeight="1">
      <c r="A105" s="1"/>
      <c r="B105" s="1"/>
      <c r="C105" s="2"/>
      <c r="D105" s="1"/>
    </row>
    <row r="106" ht="15.75" customHeight="1">
      <c r="A106" s="1"/>
      <c r="B106" s="1"/>
      <c r="C106" s="2"/>
      <c r="D106" s="1"/>
    </row>
    <row r="107" ht="15.75" customHeight="1">
      <c r="A107" s="1"/>
      <c r="B107" s="1"/>
      <c r="C107" s="2"/>
      <c r="D107" s="1"/>
    </row>
    <row r="108" ht="15.75" customHeight="1">
      <c r="A108" s="1"/>
      <c r="B108" s="1"/>
      <c r="C108" s="2"/>
      <c r="D108" s="1"/>
    </row>
    <row r="109" ht="15.75" customHeight="1">
      <c r="A109" s="1"/>
      <c r="B109" s="1"/>
      <c r="C109" s="2"/>
      <c r="D109" s="1"/>
    </row>
    <row r="110" ht="15.75" customHeight="1">
      <c r="A110" s="1"/>
      <c r="B110" s="1"/>
      <c r="C110" s="2"/>
      <c r="D110" s="1"/>
    </row>
    <row r="111" ht="15.75" customHeight="1">
      <c r="A111" s="1"/>
      <c r="B111" s="1"/>
      <c r="C111" s="2"/>
      <c r="D111" s="1"/>
    </row>
    <row r="112" ht="15.75" customHeight="1">
      <c r="A112" s="1"/>
      <c r="B112" s="1"/>
      <c r="C112" s="2"/>
      <c r="D112" s="1"/>
    </row>
    <row r="113" ht="15.75" customHeight="1">
      <c r="A113" s="1"/>
      <c r="B113" s="1"/>
      <c r="C113" s="2"/>
      <c r="D113" s="1"/>
    </row>
    <row r="114" ht="15.75" customHeight="1">
      <c r="A114" s="1"/>
      <c r="B114" s="1"/>
      <c r="C114" s="2"/>
      <c r="D114" s="1"/>
    </row>
    <row r="115" ht="15.75" customHeight="1">
      <c r="A115" s="1"/>
      <c r="B115" s="1"/>
      <c r="C115" s="2"/>
      <c r="D115" s="1"/>
    </row>
    <row r="116" ht="15.75" customHeight="1">
      <c r="A116" s="1"/>
      <c r="B116" s="1"/>
      <c r="C116" s="2"/>
      <c r="D116" s="1"/>
    </row>
    <row r="117" ht="15.75" customHeight="1">
      <c r="A117" s="1"/>
      <c r="B117" s="1"/>
      <c r="C117" s="2"/>
      <c r="D117" s="1"/>
    </row>
    <row r="118" ht="15.75" customHeight="1">
      <c r="A118" s="1"/>
      <c r="B118" s="1"/>
      <c r="C118" s="2"/>
      <c r="D118" s="1"/>
    </row>
    <row r="119" ht="15.75" customHeight="1">
      <c r="A119" s="1"/>
      <c r="B119" s="1"/>
      <c r="C119" s="2"/>
      <c r="D119" s="1"/>
    </row>
    <row r="120" ht="15.75" customHeight="1">
      <c r="A120" s="1"/>
      <c r="B120" s="1"/>
      <c r="C120" s="2"/>
      <c r="D120" s="1"/>
    </row>
    <row r="121" ht="15.75" customHeight="1">
      <c r="A121" s="1"/>
      <c r="B121" s="1"/>
      <c r="C121" s="2"/>
      <c r="D121" s="1"/>
    </row>
    <row r="122" ht="15.75" customHeight="1">
      <c r="A122" s="1"/>
      <c r="B122" s="1"/>
      <c r="C122" s="2"/>
      <c r="D122" s="1"/>
    </row>
    <row r="123" ht="15.75" customHeight="1">
      <c r="A123" s="1"/>
      <c r="B123" s="1"/>
      <c r="C123" s="2"/>
      <c r="D123" s="1"/>
    </row>
    <row r="124" ht="15.75" customHeight="1">
      <c r="A124" s="1"/>
      <c r="B124" s="1"/>
      <c r="C124" s="2"/>
      <c r="D124" s="1"/>
    </row>
    <row r="125" ht="15.75" customHeight="1">
      <c r="A125" s="1"/>
      <c r="B125" s="1"/>
      <c r="C125" s="2"/>
      <c r="D125" s="1"/>
    </row>
    <row r="126" ht="15.75" customHeight="1">
      <c r="A126" s="1"/>
      <c r="B126" s="1"/>
      <c r="C126" s="2"/>
      <c r="D126" s="1"/>
    </row>
    <row r="127" ht="15.75" customHeight="1">
      <c r="A127" s="1"/>
      <c r="B127" s="1"/>
      <c r="C127" s="2"/>
      <c r="D127" s="1"/>
    </row>
    <row r="128" ht="15.75" customHeight="1">
      <c r="A128" s="1"/>
      <c r="B128" s="1"/>
      <c r="C128" s="2"/>
      <c r="D128" s="1"/>
    </row>
    <row r="129" ht="15.75" customHeight="1">
      <c r="A129" s="1"/>
      <c r="B129" s="1"/>
      <c r="C129" s="2"/>
      <c r="D129" s="1"/>
    </row>
    <row r="130" ht="15.75" customHeight="1">
      <c r="C130" s="10"/>
    </row>
    <row r="131" ht="15.75" customHeight="1">
      <c r="C131" s="10"/>
    </row>
    <row r="132" ht="15.75" customHeight="1">
      <c r="C132" s="10"/>
    </row>
    <row r="133" ht="15.75" customHeight="1">
      <c r="C133" s="10"/>
    </row>
    <row r="134" ht="15.75" customHeight="1">
      <c r="C134" s="10"/>
    </row>
    <row r="135" ht="15.75" customHeight="1">
      <c r="C135" s="10"/>
    </row>
    <row r="136" ht="15.75" customHeight="1">
      <c r="C136" s="10"/>
    </row>
    <row r="137" ht="15.75" customHeight="1">
      <c r="C137" s="10"/>
    </row>
    <row r="138" ht="15.75" customHeight="1">
      <c r="C138" s="10"/>
    </row>
    <row r="139" ht="15.75" customHeight="1">
      <c r="C139" s="10"/>
    </row>
    <row r="140" ht="15.75" customHeight="1">
      <c r="C140" s="10"/>
    </row>
    <row r="141" ht="15.75" customHeight="1">
      <c r="C141" s="10"/>
    </row>
    <row r="142" ht="15.75" customHeight="1">
      <c r="C142" s="10"/>
    </row>
    <row r="143" ht="15.75" customHeight="1">
      <c r="C143" s="10"/>
    </row>
    <row r="144" ht="15.75" customHeight="1">
      <c r="C144" s="10"/>
    </row>
    <row r="145" ht="15.75" customHeight="1">
      <c r="C145" s="10"/>
    </row>
    <row r="146" ht="15.75" customHeight="1">
      <c r="C146" s="10"/>
    </row>
    <row r="147" ht="15.75" customHeight="1">
      <c r="C147" s="10"/>
    </row>
    <row r="148" ht="15.75" customHeight="1">
      <c r="C148" s="10"/>
    </row>
    <row r="149" ht="15.75" customHeight="1">
      <c r="C149" s="10"/>
    </row>
    <row r="150" ht="15.75" customHeight="1">
      <c r="C150" s="10"/>
    </row>
    <row r="151" ht="15.75" customHeight="1">
      <c r="C151" s="10"/>
    </row>
    <row r="152" ht="15.75" customHeight="1">
      <c r="C152" s="10"/>
    </row>
    <row r="153" ht="15.75" customHeight="1">
      <c r="C153" s="10"/>
    </row>
    <row r="154" ht="15.75" customHeight="1">
      <c r="C154" s="10"/>
    </row>
    <row r="155" ht="15.75" customHeight="1">
      <c r="C155" s="10"/>
    </row>
    <row r="156" ht="15.75" customHeight="1">
      <c r="C156" s="10"/>
    </row>
    <row r="157" ht="15.75" customHeight="1">
      <c r="C157" s="10"/>
    </row>
    <row r="158" ht="15.75" customHeight="1">
      <c r="C158" s="10"/>
    </row>
    <row r="159" ht="15.75" customHeight="1">
      <c r="C159" s="10"/>
    </row>
    <row r="160" ht="15.75" customHeight="1">
      <c r="C160" s="10"/>
    </row>
    <row r="161" ht="15.75" customHeight="1">
      <c r="C161" s="10"/>
    </row>
    <row r="162" ht="15.75" customHeight="1">
      <c r="C162" s="10"/>
    </row>
    <row r="163" ht="15.75" customHeight="1">
      <c r="C163" s="10"/>
    </row>
    <row r="164" ht="15.75" customHeight="1">
      <c r="C164" s="10"/>
    </row>
    <row r="165" ht="15.75" customHeight="1">
      <c r="C165" s="10"/>
    </row>
    <row r="166" ht="15.75" customHeight="1">
      <c r="C166" s="10"/>
    </row>
    <row r="167" ht="15.75" customHeight="1">
      <c r="C167" s="10"/>
    </row>
    <row r="168" ht="15.75" customHeight="1">
      <c r="C168" s="10"/>
    </row>
    <row r="169" ht="15.75" customHeight="1">
      <c r="C169" s="10"/>
    </row>
    <row r="170" ht="15.75" customHeight="1">
      <c r="C170" s="10"/>
    </row>
    <row r="171" ht="15.75" customHeight="1">
      <c r="C171" s="10"/>
    </row>
    <row r="172" ht="15.75" customHeight="1">
      <c r="C172" s="10"/>
    </row>
    <row r="173" ht="15.75" customHeight="1">
      <c r="C173" s="10"/>
    </row>
    <row r="174" ht="15.75" customHeight="1">
      <c r="C174" s="10"/>
    </row>
    <row r="175" ht="15.75" customHeight="1">
      <c r="C175" s="10"/>
    </row>
    <row r="176" ht="15.75" customHeight="1">
      <c r="C176" s="10"/>
    </row>
    <row r="177" ht="15.75" customHeight="1">
      <c r="C177" s="10"/>
    </row>
    <row r="178" ht="15.75" customHeight="1">
      <c r="C178" s="10"/>
    </row>
    <row r="179" ht="15.75" customHeight="1">
      <c r="C179" s="10"/>
    </row>
    <row r="180" ht="15.75" customHeight="1">
      <c r="C180" s="10"/>
    </row>
    <row r="181" ht="15.75" customHeight="1">
      <c r="C181" s="10"/>
    </row>
    <row r="182" ht="15.75" customHeight="1">
      <c r="C182" s="10"/>
    </row>
    <row r="183" ht="15.75" customHeight="1">
      <c r="C183" s="10"/>
    </row>
    <row r="184" ht="15.75" customHeight="1">
      <c r="C184" s="10"/>
    </row>
    <row r="185" ht="15.75" customHeight="1">
      <c r="C185" s="10"/>
    </row>
    <row r="186" ht="15.75" customHeight="1">
      <c r="C186" s="10"/>
    </row>
    <row r="187" ht="15.75" customHeight="1">
      <c r="C187" s="10"/>
    </row>
    <row r="188" ht="15.75" customHeight="1">
      <c r="C188" s="10"/>
    </row>
    <row r="189" ht="15.75" customHeight="1">
      <c r="C189" s="10"/>
    </row>
    <row r="190" ht="15.75" customHeight="1">
      <c r="C190" s="10"/>
    </row>
    <row r="191" ht="15.75" customHeight="1">
      <c r="C191" s="10"/>
    </row>
    <row r="192" ht="15.75" customHeight="1">
      <c r="C192" s="10"/>
    </row>
    <row r="193" ht="15.75" customHeight="1">
      <c r="C193" s="10"/>
    </row>
    <row r="194" ht="15.75" customHeight="1">
      <c r="C194" s="10"/>
    </row>
    <row r="195" ht="15.75" customHeight="1">
      <c r="C195" s="10"/>
    </row>
    <row r="196" ht="15.75" customHeight="1">
      <c r="C196" s="10"/>
    </row>
    <row r="197" ht="15.75" customHeight="1">
      <c r="C197" s="10"/>
    </row>
    <row r="198" ht="15.75" customHeight="1">
      <c r="C198" s="10"/>
    </row>
    <row r="199" ht="15.75" customHeight="1">
      <c r="C199" s="10"/>
    </row>
    <row r="200" ht="15.75" customHeight="1">
      <c r="C200" s="10"/>
    </row>
    <row r="201" ht="15.75" customHeight="1">
      <c r="C201" s="10"/>
    </row>
    <row r="202" ht="15.75" customHeight="1">
      <c r="C202" s="10"/>
    </row>
    <row r="203" ht="15.75" customHeight="1">
      <c r="C203" s="10"/>
    </row>
    <row r="204" ht="15.75" customHeight="1">
      <c r="C204" s="10"/>
    </row>
    <row r="205" ht="15.75" customHeight="1">
      <c r="C205" s="10"/>
    </row>
    <row r="206" ht="15.75" customHeight="1">
      <c r="C206" s="10"/>
    </row>
    <row r="207" ht="15.75" customHeight="1">
      <c r="C207" s="10"/>
    </row>
    <row r="208" ht="15.75" customHeight="1">
      <c r="C208" s="10"/>
    </row>
    <row r="209" ht="15.75" customHeight="1">
      <c r="C209" s="10"/>
    </row>
    <row r="210" ht="15.75" customHeight="1">
      <c r="C210" s="10"/>
    </row>
    <row r="211" ht="15.75" customHeight="1">
      <c r="C211" s="10"/>
    </row>
    <row r="212" ht="15.75" customHeight="1">
      <c r="C212" s="10"/>
    </row>
    <row r="213" ht="15.75" customHeight="1">
      <c r="C213" s="10"/>
    </row>
    <row r="214" ht="15.75" customHeight="1">
      <c r="C214" s="10"/>
    </row>
    <row r="215" ht="15.75" customHeight="1">
      <c r="C215" s="10"/>
    </row>
    <row r="216" ht="15.75" customHeight="1">
      <c r="C216" s="10"/>
    </row>
    <row r="217" ht="15.75" customHeight="1">
      <c r="C217" s="10"/>
    </row>
    <row r="218" ht="15.75" customHeight="1">
      <c r="C218" s="10"/>
    </row>
    <row r="219" ht="15.75" customHeight="1">
      <c r="C219" s="10"/>
    </row>
    <row r="220" ht="15.75" customHeight="1">
      <c r="C220" s="10"/>
    </row>
    <row r="221" ht="15.75" customHeight="1">
      <c r="C221" s="10"/>
    </row>
    <row r="222" ht="15.75" customHeight="1">
      <c r="C222" s="10"/>
    </row>
    <row r="223" ht="15.75" customHeight="1">
      <c r="C223" s="10"/>
    </row>
    <row r="224" ht="15.75" customHeight="1">
      <c r="C224" s="10"/>
    </row>
    <row r="225" ht="15.75" customHeight="1">
      <c r="C225" s="10"/>
    </row>
    <row r="226" ht="15.75" customHeight="1">
      <c r="C226" s="10"/>
    </row>
    <row r="227" ht="15.75" customHeight="1">
      <c r="C227" s="10"/>
    </row>
    <row r="228" ht="15.75" customHeight="1">
      <c r="C228" s="10"/>
    </row>
    <row r="229" ht="15.75" customHeight="1">
      <c r="C229" s="10"/>
    </row>
    <row r="230" ht="15.75" customHeight="1">
      <c r="C230" s="10"/>
    </row>
    <row r="231" ht="15.75" customHeight="1">
      <c r="C231" s="10"/>
    </row>
    <row r="232" ht="15.75" customHeight="1">
      <c r="C232" s="10"/>
    </row>
    <row r="233" ht="15.75" customHeight="1">
      <c r="C233" s="10"/>
    </row>
    <row r="234" ht="15.75" customHeight="1">
      <c r="C234" s="10"/>
    </row>
    <row r="235" ht="15.75" customHeight="1">
      <c r="C235" s="10"/>
    </row>
    <row r="236" ht="15.75" customHeight="1">
      <c r="C236" s="10"/>
    </row>
    <row r="237" ht="15.75" customHeight="1">
      <c r="C237" s="10"/>
    </row>
    <row r="238" ht="15.75" customHeight="1">
      <c r="C238" s="10"/>
    </row>
    <row r="239" ht="15.75" customHeight="1">
      <c r="C239" s="10"/>
    </row>
    <row r="240" ht="15.75" customHeight="1">
      <c r="C240" s="10"/>
    </row>
    <row r="241" ht="15.75" customHeight="1">
      <c r="C241" s="10"/>
    </row>
    <row r="242" ht="15.75" customHeight="1">
      <c r="C242" s="10"/>
    </row>
    <row r="243" ht="15.75" customHeight="1">
      <c r="C243" s="10"/>
    </row>
    <row r="244" ht="15.75" customHeight="1">
      <c r="C244" s="10"/>
    </row>
    <row r="245" ht="15.75" customHeight="1">
      <c r="C245" s="10"/>
    </row>
    <row r="246" ht="15.75" customHeight="1">
      <c r="C246" s="10"/>
    </row>
    <row r="247" ht="15.75" customHeight="1">
      <c r="C247" s="10"/>
    </row>
    <row r="248" ht="15.75" customHeight="1">
      <c r="C248" s="10"/>
    </row>
    <row r="249" ht="15.75" customHeight="1">
      <c r="C249" s="10"/>
    </row>
    <row r="250" ht="15.75" customHeight="1">
      <c r="C250" s="10"/>
    </row>
    <row r="251" ht="15.75" customHeight="1">
      <c r="C251" s="10"/>
    </row>
    <row r="252" ht="15.75" customHeight="1">
      <c r="C252" s="10"/>
    </row>
    <row r="253" ht="15.75" customHeight="1">
      <c r="C253" s="10"/>
    </row>
    <row r="254" ht="15.75" customHeight="1">
      <c r="C254" s="10"/>
    </row>
    <row r="255" ht="15.75" customHeight="1">
      <c r="C255" s="10"/>
    </row>
    <row r="256" ht="15.75" customHeight="1">
      <c r="C256" s="10"/>
    </row>
    <row r="257" ht="15.75" customHeight="1">
      <c r="C257" s="10"/>
    </row>
    <row r="258" ht="15.75" customHeight="1">
      <c r="C258" s="10"/>
    </row>
    <row r="259" ht="15.75" customHeight="1">
      <c r="C259" s="10"/>
    </row>
    <row r="260" ht="15.75" customHeight="1">
      <c r="C260" s="10"/>
    </row>
    <row r="261" ht="15.75" customHeight="1">
      <c r="C261" s="10"/>
    </row>
    <row r="262" ht="15.75" customHeight="1">
      <c r="C262" s="10"/>
    </row>
    <row r="263" ht="15.75" customHeight="1">
      <c r="C263" s="10"/>
    </row>
    <row r="264" ht="15.75" customHeight="1">
      <c r="C264" s="10"/>
    </row>
    <row r="265" ht="15.75" customHeight="1">
      <c r="C265" s="10"/>
    </row>
    <row r="266" ht="15.75" customHeight="1">
      <c r="C266" s="10"/>
    </row>
    <row r="267" ht="15.75" customHeight="1">
      <c r="C267" s="10"/>
    </row>
    <row r="268" ht="15.75" customHeight="1">
      <c r="C268" s="10"/>
    </row>
    <row r="269" ht="15.75" customHeight="1">
      <c r="C269" s="10"/>
    </row>
    <row r="270" ht="15.75" customHeight="1">
      <c r="C270" s="10"/>
    </row>
    <row r="271" ht="15.75" customHeight="1">
      <c r="C271" s="10"/>
    </row>
    <row r="272" ht="15.75" customHeight="1">
      <c r="C272" s="10"/>
    </row>
    <row r="273" ht="15.75" customHeight="1">
      <c r="C273" s="10"/>
    </row>
    <row r="274" ht="15.75" customHeight="1">
      <c r="C274" s="10"/>
    </row>
    <row r="275" ht="15.75" customHeight="1">
      <c r="C275" s="10"/>
    </row>
    <row r="276" ht="15.75" customHeight="1">
      <c r="C276" s="10"/>
    </row>
    <row r="277" ht="15.75" customHeight="1">
      <c r="C277" s="10"/>
    </row>
    <row r="278" ht="15.75" customHeight="1">
      <c r="C278" s="10"/>
    </row>
    <row r="279" ht="15.75" customHeight="1">
      <c r="C279" s="10"/>
    </row>
    <row r="280" ht="15.75" customHeight="1">
      <c r="C280" s="10"/>
    </row>
    <row r="281" ht="15.75" customHeight="1">
      <c r="C281" s="10"/>
    </row>
    <row r="282" ht="15.75" customHeight="1">
      <c r="C282" s="10"/>
    </row>
    <row r="283" ht="15.75" customHeight="1">
      <c r="C283" s="10"/>
    </row>
    <row r="284" ht="15.75" customHeight="1">
      <c r="C284" s="10"/>
    </row>
    <row r="285" ht="15.75" customHeight="1">
      <c r="C285" s="10"/>
    </row>
    <row r="286" ht="15.75" customHeight="1">
      <c r="C286" s="10"/>
    </row>
    <row r="287" ht="15.75" customHeight="1">
      <c r="C287" s="10"/>
    </row>
    <row r="288" ht="15.75" customHeight="1">
      <c r="C288" s="10"/>
    </row>
    <row r="289" ht="15.75" customHeight="1">
      <c r="C289" s="10"/>
    </row>
    <row r="290" ht="15.75" customHeight="1">
      <c r="C290" s="10"/>
    </row>
    <row r="291" ht="15.75" customHeight="1">
      <c r="C291" s="10"/>
    </row>
    <row r="292" ht="15.75" customHeight="1">
      <c r="C292" s="10"/>
    </row>
    <row r="293" ht="15.75" customHeight="1">
      <c r="C293" s="10"/>
    </row>
    <row r="294" ht="15.75" customHeight="1">
      <c r="C294" s="10"/>
    </row>
    <row r="295" ht="15.75" customHeight="1">
      <c r="C295" s="10"/>
    </row>
    <row r="296" ht="15.75" customHeight="1">
      <c r="C296" s="10"/>
    </row>
    <row r="297" ht="15.75" customHeight="1">
      <c r="C297" s="10"/>
    </row>
    <row r="298" ht="15.75" customHeight="1">
      <c r="C298" s="10"/>
    </row>
    <row r="299" ht="15.75" customHeight="1">
      <c r="C299" s="10"/>
    </row>
    <row r="300" ht="15.75" customHeight="1">
      <c r="C300" s="10"/>
    </row>
    <row r="301" ht="15.75" customHeight="1">
      <c r="C301" s="10"/>
    </row>
    <row r="302" ht="15.75" customHeight="1">
      <c r="C302" s="10"/>
    </row>
    <row r="303" ht="15.75" customHeight="1">
      <c r="C303" s="10"/>
    </row>
    <row r="304" ht="15.75" customHeight="1">
      <c r="C304" s="10"/>
    </row>
    <row r="305" ht="15.75" customHeight="1">
      <c r="C305" s="10"/>
    </row>
    <row r="306" ht="15.75" customHeight="1">
      <c r="C306" s="10"/>
    </row>
    <row r="307" ht="15.75" customHeight="1">
      <c r="C307" s="10"/>
    </row>
    <row r="308" ht="15.75" customHeight="1">
      <c r="C308" s="10"/>
    </row>
    <row r="309" ht="15.75" customHeight="1">
      <c r="C309" s="10"/>
    </row>
    <row r="310" ht="15.75" customHeight="1">
      <c r="C310" s="10"/>
    </row>
    <row r="311" ht="15.75" customHeight="1">
      <c r="C311" s="10"/>
    </row>
    <row r="312" ht="15.75" customHeight="1">
      <c r="C312" s="10"/>
    </row>
    <row r="313" ht="15.75" customHeight="1">
      <c r="C313" s="10"/>
    </row>
    <row r="314" ht="15.75" customHeight="1">
      <c r="C314" s="10"/>
    </row>
    <row r="315" ht="15.75" customHeight="1">
      <c r="C315" s="10"/>
    </row>
    <row r="316" ht="15.75" customHeight="1">
      <c r="C316" s="10"/>
    </row>
    <row r="317" ht="15.75" customHeight="1">
      <c r="C317" s="10"/>
    </row>
    <row r="318" ht="15.75" customHeight="1">
      <c r="C318" s="10"/>
    </row>
    <row r="319" ht="15.75" customHeight="1">
      <c r="C319" s="10"/>
    </row>
    <row r="320" ht="15.75" customHeight="1">
      <c r="C320" s="10"/>
    </row>
    <row r="321" ht="15.75" customHeight="1">
      <c r="C321" s="10"/>
    </row>
    <row r="322" ht="15.75" customHeight="1">
      <c r="C322" s="10"/>
    </row>
    <row r="323" ht="15.75" customHeight="1">
      <c r="C323" s="10"/>
    </row>
    <row r="324" ht="15.75" customHeight="1">
      <c r="C324" s="10"/>
    </row>
    <row r="325" ht="15.75" customHeight="1">
      <c r="C325" s="10"/>
    </row>
    <row r="326" ht="15.75" customHeight="1">
      <c r="C326" s="10"/>
    </row>
    <row r="327" ht="15.75" customHeight="1">
      <c r="C327" s="10"/>
    </row>
    <row r="328" ht="15.75" customHeight="1">
      <c r="C328" s="10"/>
    </row>
    <row r="329" ht="15.75" customHeight="1">
      <c r="C329" s="10"/>
    </row>
    <row r="330" ht="15.75" customHeight="1">
      <c r="C330" s="10"/>
    </row>
    <row r="331" ht="15.75" customHeight="1">
      <c r="C331" s="10"/>
    </row>
    <row r="332" ht="15.75" customHeight="1">
      <c r="C332" s="10"/>
    </row>
    <row r="333" ht="15.75" customHeight="1">
      <c r="C333" s="10"/>
    </row>
    <row r="334" ht="15.75" customHeight="1">
      <c r="C334" s="10"/>
    </row>
    <row r="335" ht="15.75" customHeight="1">
      <c r="C335" s="10"/>
    </row>
    <row r="336" ht="15.75" customHeight="1">
      <c r="C336" s="10"/>
    </row>
    <row r="337" ht="15.75" customHeight="1">
      <c r="C337" s="10"/>
    </row>
    <row r="338" ht="15.75" customHeight="1">
      <c r="C338" s="10"/>
    </row>
    <row r="339" ht="15.75" customHeight="1">
      <c r="C339" s="10"/>
    </row>
    <row r="340" ht="15.75" customHeight="1">
      <c r="C340" s="10"/>
    </row>
    <row r="341" ht="15.75" customHeight="1">
      <c r="C341" s="10"/>
    </row>
    <row r="342" ht="15.75" customHeight="1">
      <c r="C342" s="10"/>
    </row>
    <row r="343" ht="15.75" customHeight="1">
      <c r="C343" s="10"/>
    </row>
    <row r="344" ht="15.75" customHeight="1">
      <c r="C344" s="10"/>
    </row>
    <row r="345" ht="15.75" customHeight="1">
      <c r="C345" s="10"/>
    </row>
    <row r="346" ht="15.75" customHeight="1">
      <c r="C346" s="10"/>
    </row>
    <row r="347" ht="15.75" customHeight="1">
      <c r="C347" s="10"/>
    </row>
    <row r="348" ht="15.75" customHeight="1">
      <c r="C348" s="10"/>
    </row>
    <row r="349" ht="15.75" customHeight="1">
      <c r="C349" s="10"/>
    </row>
    <row r="350" ht="15.75" customHeight="1">
      <c r="C350" s="10"/>
    </row>
    <row r="351" ht="15.75" customHeight="1">
      <c r="C351" s="10"/>
    </row>
    <row r="352" ht="15.75" customHeight="1">
      <c r="C352" s="10"/>
    </row>
    <row r="353" ht="15.75" customHeight="1">
      <c r="C353" s="10"/>
    </row>
    <row r="354" ht="15.75" customHeight="1">
      <c r="C354" s="10"/>
    </row>
    <row r="355" ht="15.75" customHeight="1">
      <c r="C355" s="10"/>
    </row>
    <row r="356" ht="15.75" customHeight="1">
      <c r="C356" s="10"/>
    </row>
    <row r="357" ht="15.75" customHeight="1">
      <c r="C357" s="10"/>
    </row>
    <row r="358" ht="15.75" customHeight="1">
      <c r="C358" s="10"/>
    </row>
    <row r="359" ht="15.75" customHeight="1">
      <c r="C359" s="10"/>
    </row>
    <row r="360" ht="15.75" customHeight="1">
      <c r="C360" s="10"/>
    </row>
    <row r="361" ht="15.75" customHeight="1">
      <c r="C361" s="10"/>
    </row>
    <row r="362" ht="15.75" customHeight="1">
      <c r="C362" s="10"/>
    </row>
    <row r="363" ht="15.75" customHeight="1">
      <c r="C363" s="10"/>
    </row>
    <row r="364" ht="15.75" customHeight="1">
      <c r="C364" s="10"/>
    </row>
    <row r="365" ht="15.75" customHeight="1">
      <c r="C365" s="10"/>
    </row>
    <row r="366" ht="15.75" customHeight="1">
      <c r="C366" s="10"/>
    </row>
    <row r="367" ht="15.75" customHeight="1">
      <c r="C367" s="10"/>
    </row>
    <row r="368" ht="15.75" customHeight="1">
      <c r="C368" s="10"/>
    </row>
    <row r="369" ht="15.75" customHeight="1">
      <c r="C369" s="10"/>
    </row>
    <row r="370" ht="15.75" customHeight="1">
      <c r="C370" s="10"/>
    </row>
    <row r="371" ht="15.75" customHeight="1">
      <c r="C371" s="10"/>
    </row>
    <row r="372" ht="15.75" customHeight="1">
      <c r="C372" s="10"/>
    </row>
    <row r="373" ht="15.75" customHeight="1">
      <c r="C373" s="10"/>
    </row>
    <row r="374" ht="15.75" customHeight="1">
      <c r="C374" s="10"/>
    </row>
    <row r="375" ht="15.75" customHeight="1">
      <c r="C375" s="10"/>
    </row>
    <row r="376" ht="15.75" customHeight="1">
      <c r="C376" s="10"/>
    </row>
    <row r="377" ht="15.75" customHeight="1">
      <c r="C377" s="10"/>
    </row>
    <row r="378" ht="15.75" customHeight="1">
      <c r="C378" s="10"/>
    </row>
    <row r="379" ht="15.75" customHeight="1">
      <c r="C379" s="10"/>
    </row>
    <row r="380" ht="15.75" customHeight="1">
      <c r="C380" s="10"/>
    </row>
    <row r="381" ht="15.75" customHeight="1">
      <c r="C381" s="10"/>
    </row>
    <row r="382" ht="15.75" customHeight="1">
      <c r="C382" s="10"/>
    </row>
    <row r="383" ht="15.75" customHeight="1">
      <c r="C383" s="10"/>
    </row>
    <row r="384" ht="15.75" customHeight="1">
      <c r="C384" s="10"/>
    </row>
    <row r="385" ht="15.75" customHeight="1">
      <c r="C385" s="10"/>
    </row>
    <row r="386" ht="15.75" customHeight="1">
      <c r="C386" s="10"/>
    </row>
    <row r="387" ht="15.75" customHeight="1">
      <c r="C387" s="10"/>
    </row>
    <row r="388" ht="15.75" customHeight="1">
      <c r="C388" s="10"/>
    </row>
    <row r="389" ht="15.75" customHeight="1">
      <c r="C389" s="10"/>
    </row>
    <row r="390" ht="15.75" customHeight="1">
      <c r="C390" s="10"/>
    </row>
    <row r="391" ht="15.75" customHeight="1">
      <c r="C391" s="10"/>
    </row>
    <row r="392" ht="15.75" customHeight="1">
      <c r="C392" s="10"/>
    </row>
    <row r="393" ht="15.75" customHeight="1">
      <c r="C393" s="10"/>
    </row>
    <row r="394" ht="15.75" customHeight="1">
      <c r="C394" s="10"/>
    </row>
    <row r="395" ht="15.75" customHeight="1">
      <c r="C395" s="10"/>
    </row>
    <row r="396" ht="15.75" customHeight="1">
      <c r="C396" s="10"/>
    </row>
    <row r="397" ht="15.75" customHeight="1">
      <c r="C397" s="10"/>
    </row>
    <row r="398" ht="15.75" customHeight="1">
      <c r="C398" s="10"/>
    </row>
    <row r="399" ht="15.75" customHeight="1">
      <c r="C399" s="10"/>
    </row>
    <row r="400" ht="15.75" customHeight="1">
      <c r="C400" s="10"/>
    </row>
    <row r="401" ht="15.75" customHeight="1">
      <c r="C401" s="10"/>
    </row>
    <row r="402" ht="15.75" customHeight="1">
      <c r="C402" s="10"/>
    </row>
    <row r="403" ht="15.75" customHeight="1">
      <c r="C403" s="10"/>
    </row>
    <row r="404" ht="15.75" customHeight="1">
      <c r="C404" s="10"/>
    </row>
    <row r="405" ht="15.75" customHeight="1">
      <c r="C405" s="10"/>
    </row>
    <row r="406" ht="15.75" customHeight="1">
      <c r="C406" s="10"/>
    </row>
    <row r="407" ht="15.75" customHeight="1">
      <c r="C407" s="10"/>
    </row>
    <row r="408" ht="15.75" customHeight="1">
      <c r="C408" s="10"/>
    </row>
    <row r="409" ht="15.75" customHeight="1">
      <c r="C409" s="10"/>
    </row>
    <row r="410" ht="15.75" customHeight="1">
      <c r="C410" s="10"/>
    </row>
    <row r="411" ht="15.75" customHeight="1">
      <c r="C411" s="10"/>
    </row>
    <row r="412" ht="15.75" customHeight="1">
      <c r="C412" s="10"/>
    </row>
    <row r="413" ht="15.75" customHeight="1">
      <c r="C413" s="10"/>
    </row>
    <row r="414" ht="15.75" customHeight="1">
      <c r="C414" s="10"/>
    </row>
    <row r="415" ht="15.75" customHeight="1">
      <c r="C415" s="10"/>
    </row>
    <row r="416" ht="15.75" customHeight="1">
      <c r="C416" s="10"/>
    </row>
    <row r="417" ht="15.75" customHeight="1">
      <c r="C417" s="10"/>
    </row>
    <row r="418" ht="15.75" customHeight="1">
      <c r="C418" s="10"/>
    </row>
    <row r="419" ht="15.75" customHeight="1">
      <c r="C419" s="10"/>
    </row>
    <row r="420" ht="15.75" customHeight="1">
      <c r="C420" s="10"/>
    </row>
    <row r="421" ht="15.75" customHeight="1">
      <c r="C421" s="10"/>
    </row>
    <row r="422" ht="15.75" customHeight="1">
      <c r="C422" s="10"/>
    </row>
    <row r="423" ht="15.75" customHeight="1">
      <c r="C423" s="10"/>
    </row>
    <row r="424" ht="15.75" customHeight="1">
      <c r="C424" s="10"/>
    </row>
    <row r="425" ht="15.75" customHeight="1">
      <c r="C425" s="10"/>
    </row>
    <row r="426" ht="15.75" customHeight="1">
      <c r="C426" s="10"/>
    </row>
    <row r="427" ht="15.75" customHeight="1">
      <c r="C427" s="10"/>
    </row>
    <row r="428" ht="15.75" customHeight="1">
      <c r="C428" s="10"/>
    </row>
    <row r="429" ht="15.75" customHeight="1">
      <c r="C429" s="10"/>
    </row>
    <row r="430" ht="15.75" customHeight="1">
      <c r="C430" s="10"/>
    </row>
    <row r="431" ht="15.75" customHeight="1">
      <c r="C431" s="10"/>
    </row>
    <row r="432" ht="15.75" customHeight="1">
      <c r="C432" s="10"/>
    </row>
    <row r="433" ht="15.75" customHeight="1">
      <c r="C433" s="10"/>
    </row>
    <row r="434" ht="15.75" customHeight="1">
      <c r="C434" s="10"/>
    </row>
    <row r="435" ht="15.75" customHeight="1">
      <c r="C435" s="10"/>
    </row>
    <row r="436" ht="15.75" customHeight="1">
      <c r="C436" s="10"/>
    </row>
    <row r="437" ht="15.75" customHeight="1">
      <c r="C437" s="10"/>
    </row>
    <row r="438" ht="15.75" customHeight="1">
      <c r="C438" s="10"/>
    </row>
    <row r="439" ht="15.75" customHeight="1">
      <c r="C439" s="10"/>
    </row>
    <row r="440" ht="15.75" customHeight="1">
      <c r="C440" s="10"/>
    </row>
    <row r="441" ht="15.75" customHeight="1">
      <c r="C441" s="10"/>
    </row>
    <row r="442" ht="15.75" customHeight="1">
      <c r="C442" s="10"/>
    </row>
    <row r="443" ht="15.75" customHeight="1">
      <c r="C443" s="10"/>
    </row>
    <row r="444" ht="15.75" customHeight="1">
      <c r="C444" s="10"/>
    </row>
    <row r="445" ht="15.75" customHeight="1">
      <c r="C445" s="10"/>
    </row>
    <row r="446" ht="15.75" customHeight="1">
      <c r="C446" s="10"/>
    </row>
    <row r="447" ht="15.75" customHeight="1">
      <c r="C447" s="10"/>
    </row>
    <row r="448" ht="15.75" customHeight="1">
      <c r="C448" s="10"/>
    </row>
    <row r="449" ht="15.75" customHeight="1">
      <c r="C449" s="10"/>
    </row>
    <row r="450" ht="15.75" customHeight="1">
      <c r="C450" s="10"/>
    </row>
    <row r="451" ht="15.75" customHeight="1">
      <c r="C451" s="10"/>
    </row>
    <row r="452" ht="15.75" customHeight="1">
      <c r="C452" s="10"/>
    </row>
    <row r="453" ht="15.75" customHeight="1">
      <c r="C453" s="10"/>
    </row>
    <row r="454" ht="15.75" customHeight="1">
      <c r="C454" s="10"/>
    </row>
    <row r="455" ht="15.75" customHeight="1">
      <c r="C455" s="10"/>
    </row>
    <row r="456" ht="15.75" customHeight="1">
      <c r="C456" s="10"/>
    </row>
    <row r="457" ht="15.75" customHeight="1">
      <c r="C457" s="10"/>
    </row>
    <row r="458" ht="15.75" customHeight="1">
      <c r="C458" s="10"/>
    </row>
    <row r="459" ht="15.75" customHeight="1">
      <c r="C459" s="10"/>
    </row>
    <row r="460" ht="15.75" customHeight="1">
      <c r="C460" s="10"/>
    </row>
    <row r="461" ht="15.75" customHeight="1">
      <c r="C461" s="10"/>
    </row>
    <row r="462" ht="15.75" customHeight="1">
      <c r="C462" s="10"/>
    </row>
    <row r="463" ht="15.75" customHeight="1">
      <c r="C463" s="10"/>
    </row>
    <row r="464" ht="15.75" customHeight="1">
      <c r="C464" s="10"/>
    </row>
    <row r="465" ht="15.75" customHeight="1">
      <c r="C465" s="10"/>
    </row>
    <row r="466" ht="15.75" customHeight="1">
      <c r="C466" s="10"/>
    </row>
    <row r="467" ht="15.75" customHeight="1">
      <c r="C467" s="10"/>
    </row>
    <row r="468" ht="15.75" customHeight="1">
      <c r="C468" s="10"/>
    </row>
    <row r="469" ht="15.75" customHeight="1">
      <c r="C469" s="10"/>
    </row>
    <row r="470" ht="15.75" customHeight="1">
      <c r="C470" s="10"/>
    </row>
    <row r="471" ht="15.75" customHeight="1">
      <c r="C471" s="10"/>
    </row>
    <row r="472" ht="15.75" customHeight="1">
      <c r="C472" s="10"/>
    </row>
    <row r="473" ht="15.75" customHeight="1">
      <c r="C473" s="10"/>
    </row>
    <row r="474" ht="15.75" customHeight="1">
      <c r="C474" s="10"/>
    </row>
    <row r="475" ht="15.75" customHeight="1">
      <c r="C475" s="10"/>
    </row>
    <row r="476" ht="15.75" customHeight="1">
      <c r="C476" s="10"/>
    </row>
    <row r="477" ht="15.75" customHeight="1">
      <c r="C477" s="10"/>
    </row>
    <row r="478" ht="15.75" customHeight="1">
      <c r="C478" s="10"/>
    </row>
    <row r="479" ht="15.75" customHeight="1">
      <c r="C479" s="10"/>
    </row>
    <row r="480" ht="15.75" customHeight="1">
      <c r="C480" s="10"/>
    </row>
    <row r="481" ht="15.75" customHeight="1">
      <c r="C481" s="10"/>
    </row>
    <row r="482" ht="15.75" customHeight="1">
      <c r="C482" s="10"/>
    </row>
    <row r="483" ht="15.75" customHeight="1">
      <c r="C483" s="10"/>
    </row>
    <row r="484" ht="15.75" customHeight="1">
      <c r="C484" s="10"/>
    </row>
    <row r="485" ht="15.75" customHeight="1">
      <c r="C485" s="10"/>
    </row>
    <row r="486" ht="15.75" customHeight="1">
      <c r="C486" s="10"/>
    </row>
    <row r="487" ht="15.75" customHeight="1">
      <c r="C487" s="10"/>
    </row>
    <row r="488" ht="15.75" customHeight="1">
      <c r="C488" s="10"/>
    </row>
    <row r="489" ht="15.75" customHeight="1">
      <c r="C489" s="10"/>
    </row>
    <row r="490" ht="15.75" customHeight="1">
      <c r="C490" s="10"/>
    </row>
    <row r="491" ht="15.75" customHeight="1">
      <c r="C491" s="10"/>
    </row>
    <row r="492" ht="15.75" customHeight="1">
      <c r="C492" s="10"/>
    </row>
    <row r="493" ht="15.75" customHeight="1">
      <c r="C493" s="10"/>
    </row>
    <row r="494" ht="15.75" customHeight="1">
      <c r="C494" s="10"/>
    </row>
    <row r="495" ht="15.75" customHeight="1">
      <c r="C495" s="10"/>
    </row>
    <row r="496" ht="15.75" customHeight="1">
      <c r="C496" s="10"/>
    </row>
    <row r="497" ht="15.75" customHeight="1">
      <c r="C497" s="10"/>
    </row>
    <row r="498" ht="15.75" customHeight="1">
      <c r="C498" s="10"/>
    </row>
    <row r="499" ht="15.75" customHeight="1">
      <c r="C499" s="10"/>
    </row>
    <row r="500" ht="15.75" customHeight="1">
      <c r="C500" s="10"/>
    </row>
    <row r="501" ht="15.75" customHeight="1">
      <c r="C501" s="10"/>
    </row>
    <row r="502" ht="15.75" customHeight="1">
      <c r="C502" s="10"/>
    </row>
    <row r="503" ht="15.75" customHeight="1">
      <c r="C503" s="10"/>
    </row>
    <row r="504" ht="15.75" customHeight="1">
      <c r="C504" s="10"/>
    </row>
    <row r="505" ht="15.75" customHeight="1">
      <c r="C505" s="10"/>
    </row>
    <row r="506" ht="15.75" customHeight="1">
      <c r="C506" s="10"/>
    </row>
    <row r="507" ht="15.75" customHeight="1">
      <c r="C507" s="10"/>
    </row>
    <row r="508" ht="15.75" customHeight="1">
      <c r="C508" s="10"/>
    </row>
    <row r="509" ht="15.75" customHeight="1">
      <c r="C509" s="10"/>
    </row>
    <row r="510" ht="15.75" customHeight="1">
      <c r="C510" s="10"/>
    </row>
    <row r="511" ht="15.75" customHeight="1">
      <c r="C511" s="10"/>
    </row>
    <row r="512" ht="15.75" customHeight="1">
      <c r="C512" s="10"/>
    </row>
    <row r="513" ht="15.75" customHeight="1">
      <c r="C513" s="10"/>
    </row>
    <row r="514" ht="15.75" customHeight="1">
      <c r="C514" s="10"/>
    </row>
    <row r="515" ht="15.75" customHeight="1">
      <c r="C515" s="10"/>
    </row>
    <row r="516" ht="15.75" customHeight="1">
      <c r="C516" s="10"/>
    </row>
    <row r="517" ht="15.75" customHeight="1">
      <c r="C517" s="10"/>
    </row>
    <row r="518" ht="15.75" customHeight="1">
      <c r="C518" s="10"/>
    </row>
    <row r="519" ht="15.75" customHeight="1">
      <c r="C519" s="10"/>
    </row>
    <row r="520" ht="15.75" customHeight="1">
      <c r="C520" s="10"/>
    </row>
    <row r="521" ht="15.75" customHeight="1">
      <c r="C521" s="10"/>
    </row>
    <row r="522" ht="15.75" customHeight="1">
      <c r="C522" s="10"/>
    </row>
    <row r="523" ht="15.75" customHeight="1">
      <c r="C523" s="10"/>
    </row>
    <row r="524" ht="15.75" customHeight="1">
      <c r="C524" s="10"/>
    </row>
    <row r="525" ht="15.75" customHeight="1">
      <c r="C525" s="10"/>
    </row>
    <row r="526" ht="15.75" customHeight="1">
      <c r="C526" s="10"/>
    </row>
    <row r="527" ht="15.75" customHeight="1">
      <c r="C527" s="10"/>
    </row>
    <row r="528" ht="15.75" customHeight="1">
      <c r="C528" s="10"/>
    </row>
    <row r="529" ht="15.75" customHeight="1">
      <c r="C529" s="10"/>
    </row>
    <row r="530" ht="15.75" customHeight="1">
      <c r="C530" s="10"/>
    </row>
    <row r="531" ht="15.75" customHeight="1">
      <c r="C531" s="10"/>
    </row>
    <row r="532" ht="15.75" customHeight="1">
      <c r="C532" s="10"/>
    </row>
    <row r="533" ht="15.75" customHeight="1">
      <c r="C533" s="10"/>
    </row>
    <row r="534" ht="15.75" customHeight="1">
      <c r="C534" s="10"/>
    </row>
    <row r="535" ht="15.75" customHeight="1">
      <c r="C535" s="10"/>
    </row>
    <row r="536" ht="15.75" customHeight="1">
      <c r="C536" s="10"/>
    </row>
    <row r="537" ht="15.75" customHeight="1">
      <c r="C537" s="10"/>
    </row>
    <row r="538" ht="15.75" customHeight="1">
      <c r="C538" s="10"/>
    </row>
    <row r="539" ht="15.75" customHeight="1">
      <c r="C539" s="10"/>
    </row>
    <row r="540" ht="15.75" customHeight="1">
      <c r="C540" s="10"/>
    </row>
    <row r="541" ht="15.75" customHeight="1">
      <c r="C541" s="10"/>
    </row>
    <row r="542" ht="15.75" customHeight="1">
      <c r="C542" s="10"/>
    </row>
    <row r="543" ht="15.75" customHeight="1">
      <c r="C543" s="10"/>
    </row>
    <row r="544" ht="15.75" customHeight="1">
      <c r="C544" s="10"/>
    </row>
    <row r="545" ht="15.75" customHeight="1">
      <c r="C545" s="10"/>
    </row>
    <row r="546" ht="15.75" customHeight="1">
      <c r="C546" s="10"/>
    </row>
    <row r="547" ht="15.75" customHeight="1">
      <c r="C547" s="10"/>
    </row>
    <row r="548" ht="15.75" customHeight="1">
      <c r="C548" s="10"/>
    </row>
    <row r="549" ht="15.75" customHeight="1">
      <c r="C549" s="10"/>
    </row>
    <row r="550" ht="15.75" customHeight="1">
      <c r="C550" s="10"/>
    </row>
    <row r="551" ht="15.75" customHeight="1">
      <c r="C551" s="10"/>
    </row>
    <row r="552" ht="15.75" customHeight="1">
      <c r="C552" s="10"/>
    </row>
    <row r="553" ht="15.75" customHeight="1">
      <c r="C553" s="10"/>
    </row>
    <row r="554" ht="15.75" customHeight="1">
      <c r="C554" s="10"/>
    </row>
    <row r="555" ht="15.75" customHeight="1">
      <c r="C555" s="10"/>
    </row>
    <row r="556" ht="15.75" customHeight="1">
      <c r="C556" s="10"/>
    </row>
    <row r="557" ht="15.75" customHeight="1">
      <c r="C557" s="10"/>
    </row>
    <row r="558" ht="15.75" customHeight="1">
      <c r="C558" s="10"/>
    </row>
    <row r="559" ht="15.75" customHeight="1">
      <c r="C559" s="10"/>
    </row>
    <row r="560" ht="15.75" customHeight="1">
      <c r="C560" s="10"/>
    </row>
    <row r="561" ht="15.75" customHeight="1">
      <c r="C561" s="10"/>
    </row>
    <row r="562" ht="15.75" customHeight="1">
      <c r="C562" s="10"/>
    </row>
    <row r="563" ht="15.75" customHeight="1">
      <c r="C563" s="10"/>
    </row>
    <row r="564" ht="15.75" customHeight="1">
      <c r="C564" s="10"/>
    </row>
    <row r="565" ht="15.75" customHeight="1">
      <c r="C565" s="10"/>
    </row>
    <row r="566" ht="15.75" customHeight="1">
      <c r="C566" s="10"/>
    </row>
    <row r="567" ht="15.75" customHeight="1">
      <c r="C567" s="10"/>
    </row>
    <row r="568" ht="15.75" customHeight="1">
      <c r="C568" s="10"/>
    </row>
    <row r="569" ht="15.75" customHeight="1">
      <c r="C569" s="10"/>
    </row>
    <row r="570" ht="15.75" customHeight="1">
      <c r="C570" s="10"/>
    </row>
    <row r="571" ht="15.75" customHeight="1">
      <c r="C571" s="10"/>
    </row>
    <row r="572" ht="15.75" customHeight="1">
      <c r="C572" s="10"/>
    </row>
    <row r="573" ht="15.75" customHeight="1">
      <c r="C573" s="10"/>
    </row>
    <row r="574" ht="15.75" customHeight="1">
      <c r="C574" s="10"/>
    </row>
    <row r="575" ht="15.75" customHeight="1">
      <c r="C575" s="10"/>
    </row>
    <row r="576" ht="15.75" customHeight="1">
      <c r="C576" s="10"/>
    </row>
    <row r="577" ht="15.75" customHeight="1">
      <c r="C577" s="10"/>
    </row>
    <row r="578" ht="15.75" customHeight="1">
      <c r="C578" s="10"/>
    </row>
    <row r="579" ht="15.75" customHeight="1">
      <c r="C579" s="10"/>
    </row>
    <row r="580" ht="15.75" customHeight="1">
      <c r="C580" s="10"/>
    </row>
    <row r="581" ht="15.75" customHeight="1">
      <c r="C581" s="10"/>
    </row>
    <row r="582" ht="15.75" customHeight="1">
      <c r="C582" s="10"/>
    </row>
    <row r="583" ht="15.75" customHeight="1">
      <c r="C583" s="10"/>
    </row>
    <row r="584" ht="15.75" customHeight="1">
      <c r="C584" s="10"/>
    </row>
    <row r="585" ht="15.75" customHeight="1">
      <c r="C585" s="10"/>
    </row>
    <row r="586" ht="15.75" customHeight="1">
      <c r="C586" s="10"/>
    </row>
    <row r="587" ht="15.75" customHeight="1">
      <c r="C587" s="10"/>
    </row>
    <row r="588" ht="15.75" customHeight="1">
      <c r="C588" s="10"/>
    </row>
    <row r="589" ht="15.75" customHeight="1">
      <c r="C589" s="10"/>
    </row>
    <row r="590" ht="15.75" customHeight="1">
      <c r="C590" s="10"/>
    </row>
    <row r="591" ht="15.75" customHeight="1">
      <c r="C591" s="10"/>
    </row>
    <row r="592" ht="15.75" customHeight="1">
      <c r="C592" s="10"/>
    </row>
    <row r="593" ht="15.75" customHeight="1">
      <c r="C593" s="10"/>
    </row>
    <row r="594" ht="15.75" customHeight="1">
      <c r="C594" s="10"/>
    </row>
    <row r="595" ht="15.75" customHeight="1">
      <c r="C595" s="10"/>
    </row>
    <row r="596" ht="15.75" customHeight="1">
      <c r="C596" s="10"/>
    </row>
    <row r="597" ht="15.75" customHeight="1">
      <c r="C597" s="10"/>
    </row>
    <row r="598" ht="15.75" customHeight="1">
      <c r="C598" s="10"/>
    </row>
    <row r="599" ht="15.75" customHeight="1">
      <c r="C599" s="10"/>
    </row>
    <row r="600" ht="15.75" customHeight="1">
      <c r="C600" s="10"/>
    </row>
    <row r="601" ht="15.75" customHeight="1">
      <c r="C601" s="10"/>
    </row>
    <row r="602" ht="15.75" customHeight="1">
      <c r="C602" s="10"/>
    </row>
    <row r="603" ht="15.75" customHeight="1">
      <c r="C603" s="10"/>
    </row>
    <row r="604" ht="15.75" customHeight="1">
      <c r="C604" s="10"/>
    </row>
    <row r="605" ht="15.75" customHeight="1">
      <c r="C605" s="10"/>
    </row>
    <row r="606" ht="15.75" customHeight="1">
      <c r="C606" s="10"/>
    </row>
    <row r="607" ht="15.75" customHeight="1">
      <c r="C607" s="10"/>
    </row>
    <row r="608" ht="15.75" customHeight="1">
      <c r="C608" s="10"/>
    </row>
    <row r="609" ht="15.75" customHeight="1">
      <c r="C609" s="10"/>
    </row>
    <row r="610" ht="15.75" customHeight="1">
      <c r="C610" s="10"/>
    </row>
    <row r="611" ht="15.75" customHeight="1">
      <c r="C611" s="10"/>
    </row>
    <row r="612" ht="15.75" customHeight="1">
      <c r="C612" s="10"/>
    </row>
    <row r="613" ht="15.75" customHeight="1">
      <c r="C613" s="10"/>
    </row>
    <row r="614" ht="15.75" customHeight="1">
      <c r="C614" s="10"/>
    </row>
    <row r="615" ht="15.75" customHeight="1">
      <c r="C615" s="10"/>
    </row>
    <row r="616" ht="15.75" customHeight="1">
      <c r="C616" s="10"/>
    </row>
    <row r="617" ht="15.75" customHeight="1">
      <c r="C617" s="10"/>
    </row>
    <row r="618" ht="15.75" customHeight="1">
      <c r="C618" s="10"/>
    </row>
    <row r="619" ht="15.75" customHeight="1">
      <c r="C619" s="10"/>
    </row>
    <row r="620" ht="15.75" customHeight="1">
      <c r="C620" s="10"/>
    </row>
    <row r="621" ht="15.75" customHeight="1">
      <c r="C621" s="10"/>
    </row>
    <row r="622" ht="15.75" customHeight="1">
      <c r="C622" s="10"/>
    </row>
    <row r="623" ht="15.75" customHeight="1">
      <c r="C623" s="10"/>
    </row>
    <row r="624" ht="15.75" customHeight="1">
      <c r="C624" s="10"/>
    </row>
    <row r="625" ht="15.75" customHeight="1">
      <c r="C625" s="10"/>
    </row>
    <row r="626" ht="15.75" customHeight="1">
      <c r="C626" s="10"/>
    </row>
    <row r="627" ht="15.75" customHeight="1">
      <c r="C627" s="10"/>
    </row>
    <row r="628" ht="15.75" customHeight="1">
      <c r="C628" s="10"/>
    </row>
    <row r="629" ht="15.75" customHeight="1">
      <c r="C629" s="10"/>
    </row>
    <row r="630" ht="15.75" customHeight="1">
      <c r="C630" s="10"/>
    </row>
    <row r="631" ht="15.75" customHeight="1">
      <c r="C631" s="10"/>
    </row>
    <row r="632" ht="15.75" customHeight="1">
      <c r="C632" s="10"/>
    </row>
    <row r="633" ht="15.75" customHeight="1">
      <c r="C633" s="10"/>
    </row>
    <row r="634" ht="15.75" customHeight="1">
      <c r="C634" s="10"/>
    </row>
    <row r="635" ht="15.75" customHeight="1">
      <c r="C635" s="10"/>
    </row>
    <row r="636" ht="15.75" customHeight="1">
      <c r="C636" s="10"/>
    </row>
    <row r="637" ht="15.75" customHeight="1">
      <c r="C637" s="10"/>
    </row>
    <row r="638" ht="15.75" customHeight="1">
      <c r="C638" s="10"/>
    </row>
    <row r="639" ht="15.75" customHeight="1">
      <c r="C639" s="10"/>
    </row>
    <row r="640" ht="15.75" customHeight="1">
      <c r="C640" s="10"/>
    </row>
    <row r="641" ht="15.75" customHeight="1">
      <c r="C641" s="10"/>
    </row>
    <row r="642" ht="15.75" customHeight="1">
      <c r="C642" s="10"/>
    </row>
    <row r="643" ht="15.75" customHeight="1">
      <c r="C643" s="10"/>
    </row>
    <row r="644" ht="15.75" customHeight="1">
      <c r="C644" s="10"/>
    </row>
    <row r="645" ht="15.75" customHeight="1">
      <c r="C645" s="10"/>
    </row>
    <row r="646" ht="15.75" customHeight="1">
      <c r="C646" s="10"/>
    </row>
    <row r="647" ht="15.75" customHeight="1">
      <c r="C647" s="10"/>
    </row>
    <row r="648" ht="15.75" customHeight="1">
      <c r="C648" s="10"/>
    </row>
    <row r="649" ht="15.75" customHeight="1">
      <c r="C649" s="10"/>
    </row>
    <row r="650" ht="15.75" customHeight="1">
      <c r="C650" s="10"/>
    </row>
    <row r="651" ht="15.75" customHeight="1">
      <c r="C651" s="10"/>
    </row>
    <row r="652" ht="15.75" customHeight="1">
      <c r="C652" s="10"/>
    </row>
    <row r="653" ht="15.75" customHeight="1">
      <c r="C653" s="10"/>
    </row>
    <row r="654" ht="15.75" customHeight="1">
      <c r="C654" s="10"/>
    </row>
    <row r="655" ht="15.75" customHeight="1">
      <c r="C655" s="10"/>
    </row>
    <row r="656" ht="15.75" customHeight="1">
      <c r="C656" s="10"/>
    </row>
    <row r="657" ht="15.75" customHeight="1">
      <c r="C657" s="10"/>
    </row>
    <row r="658" ht="15.75" customHeight="1">
      <c r="C658" s="10"/>
    </row>
    <row r="659" ht="15.75" customHeight="1">
      <c r="C659" s="10"/>
    </row>
    <row r="660" ht="15.75" customHeight="1">
      <c r="C660" s="10"/>
    </row>
    <row r="661" ht="15.75" customHeight="1">
      <c r="C661" s="10"/>
    </row>
    <row r="662" ht="15.75" customHeight="1">
      <c r="C662" s="10"/>
    </row>
    <row r="663" ht="15.75" customHeight="1">
      <c r="C663" s="10"/>
    </row>
    <row r="664" ht="15.75" customHeight="1">
      <c r="C664" s="10"/>
    </row>
    <row r="665" ht="15.75" customHeight="1">
      <c r="C665" s="10"/>
    </row>
    <row r="666" ht="15.75" customHeight="1">
      <c r="C666" s="10"/>
    </row>
    <row r="667" ht="15.75" customHeight="1">
      <c r="C667" s="10"/>
    </row>
    <row r="668" ht="15.75" customHeight="1">
      <c r="C668" s="10"/>
    </row>
    <row r="669" ht="15.75" customHeight="1">
      <c r="C669" s="10"/>
    </row>
    <row r="670" ht="15.75" customHeight="1">
      <c r="C670" s="10"/>
    </row>
    <row r="671" ht="15.75" customHeight="1">
      <c r="C671" s="10"/>
    </row>
    <row r="672" ht="15.75" customHeight="1">
      <c r="C672" s="10"/>
    </row>
    <row r="673" ht="15.75" customHeight="1">
      <c r="C673" s="10"/>
    </row>
    <row r="674" ht="15.75" customHeight="1">
      <c r="C674" s="10"/>
    </row>
    <row r="675" ht="15.75" customHeight="1">
      <c r="C675" s="10"/>
    </row>
    <row r="676" ht="15.75" customHeight="1">
      <c r="C676" s="10"/>
    </row>
    <row r="677" ht="15.75" customHeight="1">
      <c r="C677" s="10"/>
    </row>
    <row r="678" ht="15.75" customHeight="1">
      <c r="C678" s="10"/>
    </row>
    <row r="679" ht="15.75" customHeight="1">
      <c r="C679" s="10"/>
    </row>
    <row r="680" ht="15.75" customHeight="1">
      <c r="C680" s="10"/>
    </row>
    <row r="681" ht="15.75" customHeight="1">
      <c r="C681" s="10"/>
    </row>
    <row r="682" ht="15.75" customHeight="1">
      <c r="C682" s="10"/>
    </row>
    <row r="683" ht="15.75" customHeight="1">
      <c r="C683" s="10"/>
    </row>
    <row r="684" ht="15.75" customHeight="1">
      <c r="C684" s="10"/>
    </row>
    <row r="685" ht="15.75" customHeight="1">
      <c r="C685" s="10"/>
    </row>
    <row r="686" ht="15.75" customHeight="1">
      <c r="C686" s="10"/>
    </row>
    <row r="687" ht="15.75" customHeight="1">
      <c r="C687" s="10"/>
    </row>
    <row r="688" ht="15.75" customHeight="1">
      <c r="C688" s="10"/>
    </row>
    <row r="689" ht="15.75" customHeight="1">
      <c r="C689" s="10"/>
    </row>
    <row r="690" ht="15.75" customHeight="1">
      <c r="C690" s="10"/>
    </row>
    <row r="691" ht="15.75" customHeight="1">
      <c r="C691" s="10"/>
    </row>
    <row r="692" ht="15.75" customHeight="1">
      <c r="C692" s="10"/>
    </row>
    <row r="693" ht="15.75" customHeight="1">
      <c r="C693" s="10"/>
    </row>
    <row r="694" ht="15.75" customHeight="1">
      <c r="C694" s="10"/>
    </row>
    <row r="695" ht="15.75" customHeight="1">
      <c r="C695" s="10"/>
    </row>
    <row r="696" ht="15.75" customHeight="1">
      <c r="C696" s="10"/>
    </row>
    <row r="697" ht="15.75" customHeight="1">
      <c r="C697" s="10"/>
    </row>
    <row r="698" ht="15.75" customHeight="1">
      <c r="C698" s="10"/>
    </row>
    <row r="699" ht="15.75" customHeight="1">
      <c r="C699" s="10"/>
    </row>
    <row r="700" ht="15.75" customHeight="1">
      <c r="C700" s="10"/>
    </row>
    <row r="701" ht="15.75" customHeight="1">
      <c r="C701" s="10"/>
    </row>
    <row r="702" ht="15.75" customHeight="1">
      <c r="C702" s="10"/>
    </row>
    <row r="703" ht="15.75" customHeight="1">
      <c r="C703" s="10"/>
    </row>
    <row r="704" ht="15.75" customHeight="1">
      <c r="C704" s="10"/>
    </row>
    <row r="705" ht="15.75" customHeight="1">
      <c r="C705" s="10"/>
    </row>
    <row r="706" ht="15.75" customHeight="1">
      <c r="C706" s="10"/>
    </row>
    <row r="707" ht="15.75" customHeight="1">
      <c r="C707" s="10"/>
    </row>
    <row r="708" ht="15.75" customHeight="1">
      <c r="C708" s="10"/>
    </row>
    <row r="709" ht="15.75" customHeight="1">
      <c r="C709" s="10"/>
    </row>
    <row r="710" ht="15.75" customHeight="1">
      <c r="C710" s="10"/>
    </row>
    <row r="711" ht="15.75" customHeight="1">
      <c r="C711" s="10"/>
    </row>
    <row r="712" ht="15.75" customHeight="1">
      <c r="C712" s="10"/>
    </row>
    <row r="713" ht="15.75" customHeight="1">
      <c r="C713" s="10"/>
    </row>
    <row r="714" ht="15.75" customHeight="1">
      <c r="C714" s="10"/>
    </row>
    <row r="715" ht="15.75" customHeight="1">
      <c r="C715" s="10"/>
    </row>
    <row r="716" ht="15.75" customHeight="1">
      <c r="C716" s="10"/>
    </row>
    <row r="717" ht="15.75" customHeight="1">
      <c r="C717" s="10"/>
    </row>
    <row r="718" ht="15.75" customHeight="1">
      <c r="C718" s="10"/>
    </row>
    <row r="719" ht="15.75" customHeight="1">
      <c r="C719" s="10"/>
    </row>
    <row r="720" ht="15.75" customHeight="1">
      <c r="C720" s="10"/>
    </row>
    <row r="721" ht="15.75" customHeight="1">
      <c r="C721" s="10"/>
    </row>
    <row r="722" ht="15.75" customHeight="1">
      <c r="C722" s="10"/>
    </row>
    <row r="723" ht="15.75" customHeight="1">
      <c r="C723" s="10"/>
    </row>
    <row r="724" ht="15.75" customHeight="1">
      <c r="C724" s="10"/>
    </row>
    <row r="725" ht="15.75" customHeight="1">
      <c r="C725" s="10"/>
    </row>
    <row r="726" ht="15.75" customHeight="1">
      <c r="C726" s="10"/>
    </row>
    <row r="727" ht="15.75" customHeight="1">
      <c r="C727" s="10"/>
    </row>
    <row r="728" ht="15.75" customHeight="1">
      <c r="C728" s="10"/>
    </row>
    <row r="729" ht="15.75" customHeight="1">
      <c r="C729" s="10"/>
    </row>
    <row r="730" ht="15.75" customHeight="1">
      <c r="C730" s="10"/>
    </row>
    <row r="731" ht="15.75" customHeight="1">
      <c r="C731" s="10"/>
    </row>
    <row r="732" ht="15.75" customHeight="1">
      <c r="C732" s="10"/>
    </row>
    <row r="733" ht="15.75" customHeight="1">
      <c r="C733" s="10"/>
    </row>
    <row r="734" ht="15.75" customHeight="1">
      <c r="C734" s="10"/>
    </row>
    <row r="735" ht="15.75" customHeight="1">
      <c r="C735" s="10"/>
    </row>
    <row r="736" ht="15.75" customHeight="1">
      <c r="C736" s="10"/>
    </row>
    <row r="737" ht="15.75" customHeight="1">
      <c r="C737" s="10"/>
    </row>
    <row r="738" ht="15.75" customHeight="1">
      <c r="C738" s="10"/>
    </row>
    <row r="739" ht="15.75" customHeight="1">
      <c r="C739" s="10"/>
    </row>
    <row r="740" ht="15.75" customHeight="1">
      <c r="C740" s="10"/>
    </row>
    <row r="741" ht="15.75" customHeight="1">
      <c r="C741" s="10"/>
    </row>
    <row r="742" ht="15.75" customHeight="1">
      <c r="C742" s="10"/>
    </row>
    <row r="743" ht="15.75" customHeight="1">
      <c r="C743" s="10"/>
    </row>
    <row r="744" ht="15.75" customHeight="1">
      <c r="C744" s="10"/>
    </row>
    <row r="745" ht="15.75" customHeight="1">
      <c r="C745" s="10"/>
    </row>
    <row r="746" ht="15.75" customHeight="1">
      <c r="C746" s="10"/>
    </row>
    <row r="747" ht="15.75" customHeight="1">
      <c r="C747" s="10"/>
    </row>
    <row r="748" ht="15.75" customHeight="1">
      <c r="C748" s="10"/>
    </row>
    <row r="749" ht="15.75" customHeight="1">
      <c r="C749" s="10"/>
    </row>
    <row r="750" ht="15.75" customHeight="1">
      <c r="C750" s="10"/>
    </row>
    <row r="751" ht="15.75" customHeight="1">
      <c r="C751" s="10"/>
    </row>
    <row r="752" ht="15.75" customHeight="1">
      <c r="C752" s="10"/>
    </row>
    <row r="753" ht="15.75" customHeight="1">
      <c r="C753" s="10"/>
    </row>
    <row r="754" ht="15.75" customHeight="1">
      <c r="C754" s="10"/>
    </row>
    <row r="755" ht="15.75" customHeight="1">
      <c r="C755" s="10"/>
    </row>
    <row r="756" ht="15.75" customHeight="1">
      <c r="C756" s="10"/>
    </row>
    <row r="757" ht="15.75" customHeight="1">
      <c r="C757" s="10"/>
    </row>
    <row r="758" ht="15.75" customHeight="1">
      <c r="C758" s="10"/>
    </row>
    <row r="759" ht="15.75" customHeight="1">
      <c r="C759" s="10"/>
    </row>
    <row r="760" ht="15.75" customHeight="1">
      <c r="C760" s="10"/>
    </row>
    <row r="761" ht="15.75" customHeight="1">
      <c r="C761" s="10"/>
    </row>
    <row r="762" ht="15.75" customHeight="1">
      <c r="C762" s="10"/>
    </row>
    <row r="763" ht="15.75" customHeight="1">
      <c r="C763" s="10"/>
    </row>
    <row r="764" ht="15.75" customHeight="1">
      <c r="C764" s="10"/>
    </row>
    <row r="765" ht="15.75" customHeight="1">
      <c r="C765" s="10"/>
    </row>
    <row r="766" ht="15.75" customHeight="1">
      <c r="C766" s="10"/>
    </row>
    <row r="767" ht="15.75" customHeight="1">
      <c r="C767" s="10"/>
    </row>
    <row r="768" ht="15.75" customHeight="1">
      <c r="C768" s="10"/>
    </row>
    <row r="769" ht="15.75" customHeight="1">
      <c r="C769" s="10"/>
    </row>
    <row r="770" ht="15.75" customHeight="1">
      <c r="C770" s="10"/>
    </row>
    <row r="771" ht="15.75" customHeight="1">
      <c r="C771" s="10"/>
    </row>
    <row r="772" ht="15.75" customHeight="1">
      <c r="C772" s="10"/>
    </row>
    <row r="773" ht="15.75" customHeight="1">
      <c r="C773" s="10"/>
    </row>
    <row r="774" ht="15.75" customHeight="1">
      <c r="C774" s="10"/>
    </row>
    <row r="775" ht="15.75" customHeight="1">
      <c r="C775" s="10"/>
    </row>
    <row r="776" ht="15.75" customHeight="1">
      <c r="C776" s="10"/>
    </row>
    <row r="777" ht="15.75" customHeight="1">
      <c r="C777" s="10"/>
    </row>
    <row r="778" ht="15.75" customHeight="1">
      <c r="C778" s="10"/>
    </row>
    <row r="779" ht="15.75" customHeight="1">
      <c r="C779" s="10"/>
    </row>
    <row r="780" ht="15.75" customHeight="1">
      <c r="C780" s="10"/>
    </row>
    <row r="781" ht="15.75" customHeight="1">
      <c r="C781" s="10"/>
    </row>
    <row r="782" ht="15.75" customHeight="1">
      <c r="C782" s="10"/>
    </row>
    <row r="783" ht="15.75" customHeight="1">
      <c r="C783" s="10"/>
    </row>
    <row r="784" ht="15.75" customHeight="1">
      <c r="C784" s="10"/>
    </row>
    <row r="785" ht="15.75" customHeight="1">
      <c r="C785" s="10"/>
    </row>
    <row r="786" ht="15.75" customHeight="1">
      <c r="C786" s="10"/>
    </row>
    <row r="787" ht="15.75" customHeight="1">
      <c r="C787" s="10"/>
    </row>
    <row r="788" ht="15.75" customHeight="1">
      <c r="C788" s="10"/>
    </row>
    <row r="789" ht="15.75" customHeight="1">
      <c r="C789" s="10"/>
    </row>
    <row r="790" ht="15.75" customHeight="1">
      <c r="C790" s="10"/>
    </row>
    <row r="791" ht="15.75" customHeight="1">
      <c r="C791" s="10"/>
    </row>
    <row r="792" ht="15.75" customHeight="1">
      <c r="C792" s="10"/>
    </row>
    <row r="793" ht="15.75" customHeight="1">
      <c r="C793" s="10"/>
    </row>
    <row r="794" ht="15.75" customHeight="1">
      <c r="C794" s="10"/>
    </row>
    <row r="795" ht="15.75" customHeight="1">
      <c r="C795" s="10"/>
    </row>
    <row r="796" ht="15.75" customHeight="1">
      <c r="C796" s="10"/>
    </row>
    <row r="797" ht="15.75" customHeight="1">
      <c r="C797" s="10"/>
    </row>
    <row r="798" ht="15.75" customHeight="1">
      <c r="C798" s="10"/>
    </row>
    <row r="799" ht="15.75" customHeight="1">
      <c r="C799" s="10"/>
    </row>
    <row r="800" ht="15.75" customHeight="1">
      <c r="C800" s="10"/>
    </row>
    <row r="801" ht="15.75" customHeight="1">
      <c r="C801" s="10"/>
    </row>
    <row r="802" ht="15.75" customHeight="1">
      <c r="C802" s="10"/>
    </row>
    <row r="803" ht="15.75" customHeight="1">
      <c r="C803" s="10"/>
    </row>
    <row r="804" ht="15.75" customHeight="1">
      <c r="C804" s="10"/>
    </row>
    <row r="805" ht="15.75" customHeight="1">
      <c r="C805" s="10"/>
    </row>
    <row r="806" ht="15.75" customHeight="1">
      <c r="C806" s="10"/>
    </row>
    <row r="807" ht="15.75" customHeight="1">
      <c r="C807" s="10"/>
    </row>
    <row r="808" ht="15.75" customHeight="1">
      <c r="C808" s="10"/>
    </row>
    <row r="809" ht="15.75" customHeight="1">
      <c r="C809" s="10"/>
    </row>
    <row r="810" ht="15.75" customHeight="1">
      <c r="C810" s="10"/>
    </row>
    <row r="811" ht="15.75" customHeight="1">
      <c r="C811" s="10"/>
    </row>
    <row r="812" ht="15.75" customHeight="1">
      <c r="C812" s="10"/>
    </row>
    <row r="813" ht="15.75" customHeight="1">
      <c r="C813" s="10"/>
    </row>
    <row r="814" ht="15.75" customHeight="1">
      <c r="C814" s="10"/>
    </row>
    <row r="815" ht="15.75" customHeight="1">
      <c r="C815" s="10"/>
    </row>
    <row r="816" ht="15.75" customHeight="1">
      <c r="C816" s="10"/>
    </row>
    <row r="817" ht="15.75" customHeight="1">
      <c r="C817" s="10"/>
    </row>
    <row r="818" ht="15.75" customHeight="1">
      <c r="C818" s="10"/>
    </row>
    <row r="819" ht="15.75" customHeight="1">
      <c r="C819" s="10"/>
    </row>
    <row r="820" ht="15.75" customHeight="1">
      <c r="C820" s="10"/>
    </row>
    <row r="821" ht="15.75" customHeight="1">
      <c r="C821" s="10"/>
    </row>
    <row r="822" ht="15.75" customHeight="1">
      <c r="C822" s="10"/>
    </row>
    <row r="823" ht="15.75" customHeight="1">
      <c r="C823" s="10"/>
    </row>
    <row r="824" ht="15.75" customHeight="1">
      <c r="C824" s="10"/>
    </row>
    <row r="825" ht="15.75" customHeight="1">
      <c r="C825" s="10"/>
    </row>
    <row r="826" ht="15.75" customHeight="1">
      <c r="C826" s="10"/>
    </row>
    <row r="827" ht="15.75" customHeight="1">
      <c r="C827" s="10"/>
    </row>
    <row r="828" ht="15.75" customHeight="1">
      <c r="C828" s="10"/>
    </row>
    <row r="829" ht="15.75" customHeight="1">
      <c r="C829" s="10"/>
    </row>
    <row r="830" ht="15.75" customHeight="1">
      <c r="C830" s="10"/>
    </row>
    <row r="831" ht="15.75" customHeight="1">
      <c r="C831" s="10"/>
    </row>
    <row r="832" ht="15.75" customHeight="1">
      <c r="C832" s="10"/>
    </row>
    <row r="833" ht="15.75" customHeight="1">
      <c r="C833" s="10"/>
    </row>
    <row r="834" ht="15.75" customHeight="1">
      <c r="C834" s="10"/>
    </row>
    <row r="835" ht="15.75" customHeight="1">
      <c r="C835" s="10"/>
    </row>
    <row r="836" ht="15.75" customHeight="1">
      <c r="C836" s="10"/>
    </row>
    <row r="837" ht="15.75" customHeight="1">
      <c r="C837" s="10"/>
    </row>
    <row r="838" ht="15.75" customHeight="1">
      <c r="C838" s="10"/>
    </row>
    <row r="839" ht="15.75" customHeight="1">
      <c r="C839" s="10"/>
    </row>
    <row r="840" ht="15.75" customHeight="1">
      <c r="C840" s="10"/>
    </row>
    <row r="841" ht="15.75" customHeight="1">
      <c r="C841" s="10"/>
    </row>
    <row r="842" ht="15.75" customHeight="1">
      <c r="C842" s="10"/>
    </row>
    <row r="843" ht="15.75" customHeight="1">
      <c r="C843" s="10"/>
    </row>
    <row r="844" ht="15.75" customHeight="1">
      <c r="C844" s="10"/>
    </row>
    <row r="845" ht="15.75" customHeight="1">
      <c r="C845" s="10"/>
    </row>
    <row r="846" ht="15.75" customHeight="1">
      <c r="C846" s="10"/>
    </row>
    <row r="847" ht="15.75" customHeight="1">
      <c r="C847" s="10"/>
    </row>
    <row r="848" ht="15.75" customHeight="1">
      <c r="C848" s="10"/>
    </row>
    <row r="849" ht="15.75" customHeight="1">
      <c r="C849" s="10"/>
    </row>
    <row r="850" ht="15.75" customHeight="1">
      <c r="C850" s="10"/>
    </row>
    <row r="851" ht="15.75" customHeight="1">
      <c r="C851" s="10"/>
    </row>
    <row r="852" ht="15.75" customHeight="1">
      <c r="C852" s="10"/>
    </row>
    <row r="853" ht="15.75" customHeight="1">
      <c r="C853" s="10"/>
    </row>
    <row r="854" ht="15.75" customHeight="1">
      <c r="C854" s="10"/>
    </row>
    <row r="855" ht="15.75" customHeight="1">
      <c r="C855" s="10"/>
    </row>
    <row r="856" ht="15.75" customHeight="1">
      <c r="C856" s="10"/>
    </row>
    <row r="857" ht="15.75" customHeight="1">
      <c r="C857" s="10"/>
    </row>
    <row r="858" ht="15.75" customHeight="1">
      <c r="C858" s="10"/>
    </row>
    <row r="859" ht="15.75" customHeight="1">
      <c r="C859" s="10"/>
    </row>
    <row r="860" ht="15.75" customHeight="1">
      <c r="C860" s="10"/>
    </row>
    <row r="861" ht="15.75" customHeight="1">
      <c r="C861" s="10"/>
    </row>
    <row r="862" ht="15.75" customHeight="1">
      <c r="C862" s="10"/>
    </row>
    <row r="863" ht="15.75" customHeight="1">
      <c r="C863" s="10"/>
    </row>
    <row r="864" ht="15.75" customHeight="1">
      <c r="C864" s="10"/>
    </row>
    <row r="865" ht="15.75" customHeight="1">
      <c r="C865" s="10"/>
    </row>
    <row r="866" ht="15.75" customHeight="1">
      <c r="C866" s="10"/>
    </row>
    <row r="867" ht="15.75" customHeight="1">
      <c r="C867" s="10"/>
    </row>
    <row r="868" ht="15.75" customHeight="1">
      <c r="C868" s="10"/>
    </row>
    <row r="869" ht="15.75" customHeight="1">
      <c r="C869" s="10"/>
    </row>
    <row r="870" ht="15.75" customHeight="1">
      <c r="C870" s="10"/>
    </row>
    <row r="871" ht="15.75" customHeight="1">
      <c r="C871" s="10"/>
    </row>
    <row r="872" ht="15.75" customHeight="1">
      <c r="C872" s="10"/>
    </row>
    <row r="873" ht="15.75" customHeight="1">
      <c r="C873" s="10"/>
    </row>
    <row r="874" ht="15.75" customHeight="1">
      <c r="C874" s="10"/>
    </row>
    <row r="875" ht="15.75" customHeight="1">
      <c r="C875" s="10"/>
    </row>
    <row r="876" ht="15.75" customHeight="1">
      <c r="C876" s="10"/>
    </row>
    <row r="877" ht="15.75" customHeight="1">
      <c r="C877" s="10"/>
    </row>
    <row r="878" ht="15.75" customHeight="1">
      <c r="C878" s="10"/>
    </row>
    <row r="879" ht="15.75" customHeight="1">
      <c r="C879" s="10"/>
    </row>
    <row r="880" ht="15.75" customHeight="1">
      <c r="C880" s="10"/>
    </row>
    <row r="881" ht="15.75" customHeight="1">
      <c r="C881" s="10"/>
    </row>
    <row r="882" ht="15.75" customHeight="1">
      <c r="C882" s="10"/>
    </row>
    <row r="883" ht="15.75" customHeight="1">
      <c r="C883" s="10"/>
    </row>
    <row r="884" ht="15.75" customHeight="1">
      <c r="C884" s="10"/>
    </row>
    <row r="885" ht="15.75" customHeight="1">
      <c r="C885" s="10"/>
    </row>
    <row r="886" ht="15.75" customHeight="1">
      <c r="C886" s="10"/>
    </row>
    <row r="887" ht="15.75" customHeight="1">
      <c r="C887" s="10"/>
    </row>
    <row r="888" ht="15.75" customHeight="1">
      <c r="C888" s="10"/>
    </row>
    <row r="889" ht="15.75" customHeight="1">
      <c r="C889" s="10"/>
    </row>
    <row r="890" ht="15.75" customHeight="1">
      <c r="C890" s="10"/>
    </row>
    <row r="891" ht="15.75" customHeight="1">
      <c r="C891" s="10"/>
    </row>
    <row r="892" ht="15.75" customHeight="1">
      <c r="C892" s="10"/>
    </row>
    <row r="893" ht="15.75" customHeight="1">
      <c r="C893" s="10"/>
    </row>
    <row r="894" ht="15.75" customHeight="1">
      <c r="C894" s="10"/>
    </row>
    <row r="895" ht="15.75" customHeight="1">
      <c r="C895" s="10"/>
    </row>
    <row r="896" ht="15.75" customHeight="1">
      <c r="C896" s="10"/>
    </row>
    <row r="897" ht="15.75" customHeight="1">
      <c r="C897" s="10"/>
    </row>
    <row r="898" ht="15.75" customHeight="1">
      <c r="C898" s="10"/>
    </row>
    <row r="899" ht="15.75" customHeight="1">
      <c r="C899" s="10"/>
    </row>
    <row r="900" ht="15.75" customHeight="1">
      <c r="C900" s="10"/>
    </row>
    <row r="901" ht="15.75" customHeight="1">
      <c r="C901" s="10"/>
    </row>
    <row r="902" ht="15.75" customHeight="1">
      <c r="C902" s="10"/>
    </row>
    <row r="903" ht="15.75" customHeight="1">
      <c r="C903" s="10"/>
    </row>
    <row r="904" ht="15.75" customHeight="1">
      <c r="C904" s="10"/>
    </row>
    <row r="905" ht="15.75" customHeight="1">
      <c r="C905" s="10"/>
    </row>
    <row r="906" ht="15.75" customHeight="1">
      <c r="C906" s="10"/>
    </row>
    <row r="907" ht="15.75" customHeight="1">
      <c r="C907" s="10"/>
    </row>
    <row r="908" ht="15.75" customHeight="1">
      <c r="C908" s="10"/>
    </row>
    <row r="909" ht="15.75" customHeight="1">
      <c r="C909" s="10"/>
    </row>
    <row r="910" ht="15.75" customHeight="1">
      <c r="C910" s="10"/>
    </row>
    <row r="911" ht="15.75" customHeight="1">
      <c r="C911" s="10"/>
    </row>
    <row r="912" ht="15.75" customHeight="1">
      <c r="C912" s="10"/>
    </row>
    <row r="913" ht="15.75" customHeight="1">
      <c r="C913" s="10"/>
    </row>
    <row r="914" ht="15.75" customHeight="1">
      <c r="C914" s="10"/>
    </row>
    <row r="915" ht="15.75" customHeight="1">
      <c r="C915" s="10"/>
    </row>
    <row r="916" ht="15.75" customHeight="1">
      <c r="C916" s="10"/>
    </row>
    <row r="917" ht="15.75" customHeight="1">
      <c r="C917" s="10"/>
    </row>
    <row r="918" ht="15.75" customHeight="1">
      <c r="C918" s="10"/>
    </row>
    <row r="919" ht="15.75" customHeight="1">
      <c r="C919" s="10"/>
    </row>
    <row r="920" ht="15.75" customHeight="1">
      <c r="C920" s="10"/>
    </row>
    <row r="921" ht="15.75" customHeight="1">
      <c r="C921" s="10"/>
    </row>
    <row r="922" ht="15.75" customHeight="1">
      <c r="C922" s="10"/>
    </row>
    <row r="923" ht="15.75" customHeight="1">
      <c r="C923" s="10"/>
    </row>
    <row r="924" ht="15.75" customHeight="1">
      <c r="C924" s="10"/>
    </row>
    <row r="925" ht="15.75" customHeight="1">
      <c r="C925" s="10"/>
    </row>
    <row r="926" ht="15.75" customHeight="1">
      <c r="C926" s="10"/>
    </row>
    <row r="927" ht="15.75" customHeight="1">
      <c r="C927" s="10"/>
    </row>
    <row r="928" ht="15.75" customHeight="1">
      <c r="C928" s="10"/>
    </row>
    <row r="929" ht="15.75" customHeight="1">
      <c r="C929" s="10"/>
    </row>
    <row r="930" ht="15.75" customHeight="1">
      <c r="C930" s="10"/>
    </row>
    <row r="931" ht="15.75" customHeight="1">
      <c r="C931" s="10"/>
    </row>
    <row r="932" ht="15.75" customHeight="1">
      <c r="C932" s="10"/>
    </row>
    <row r="933" ht="15.75" customHeight="1">
      <c r="C933" s="10"/>
    </row>
    <row r="934" ht="15.75" customHeight="1">
      <c r="C934" s="10"/>
    </row>
    <row r="935" ht="15.75" customHeight="1">
      <c r="C935" s="10"/>
    </row>
    <row r="936" ht="15.75" customHeight="1">
      <c r="C936" s="10"/>
    </row>
    <row r="937" ht="15.75" customHeight="1">
      <c r="C937" s="10"/>
    </row>
    <row r="938" ht="15.75" customHeight="1">
      <c r="C938" s="10"/>
    </row>
    <row r="939" ht="15.75" customHeight="1">
      <c r="C939" s="10"/>
    </row>
    <row r="940" ht="15.75" customHeight="1">
      <c r="C940" s="10"/>
    </row>
    <row r="941" ht="15.75" customHeight="1">
      <c r="C941" s="10"/>
    </row>
    <row r="942" ht="15.75" customHeight="1">
      <c r="C942" s="10"/>
    </row>
    <row r="943" ht="15.75" customHeight="1">
      <c r="C943" s="10"/>
    </row>
    <row r="944" ht="15.75" customHeight="1">
      <c r="C944" s="10"/>
    </row>
    <row r="945" ht="15.75" customHeight="1">
      <c r="C945" s="10"/>
    </row>
    <row r="946" ht="15.75" customHeight="1">
      <c r="C946" s="10"/>
    </row>
    <row r="947" ht="15.75" customHeight="1">
      <c r="C947" s="10"/>
    </row>
    <row r="948" ht="15.75" customHeight="1">
      <c r="C948" s="10"/>
    </row>
    <row r="949" ht="15.75" customHeight="1">
      <c r="C949" s="10"/>
    </row>
    <row r="950" ht="15.75" customHeight="1">
      <c r="C950" s="10"/>
    </row>
    <row r="951" ht="15.75" customHeight="1">
      <c r="C951" s="10"/>
    </row>
    <row r="952" ht="15.75" customHeight="1">
      <c r="C952" s="10"/>
    </row>
    <row r="953" ht="15.75" customHeight="1">
      <c r="C953" s="10"/>
    </row>
    <row r="954" ht="15.75" customHeight="1">
      <c r="C954" s="10"/>
    </row>
    <row r="955" ht="15.75" customHeight="1">
      <c r="C955" s="10"/>
    </row>
    <row r="956" ht="15.75" customHeight="1">
      <c r="C956" s="10"/>
    </row>
    <row r="957" ht="15.75" customHeight="1">
      <c r="C957" s="10"/>
    </row>
    <row r="958" ht="15.75" customHeight="1">
      <c r="C958" s="10"/>
    </row>
    <row r="959" ht="15.75" customHeight="1">
      <c r="C959" s="10"/>
    </row>
    <row r="960" ht="15.75" customHeight="1">
      <c r="C960" s="10"/>
    </row>
    <row r="961" ht="15.75" customHeight="1">
      <c r="C961" s="10"/>
    </row>
    <row r="962" ht="15.75" customHeight="1">
      <c r="C962" s="10"/>
    </row>
    <row r="963" ht="15.75" customHeight="1">
      <c r="C963" s="10"/>
    </row>
    <row r="964" ht="15.75" customHeight="1">
      <c r="C964" s="10"/>
    </row>
    <row r="965" ht="15.75" customHeight="1">
      <c r="C965" s="10"/>
    </row>
    <row r="966" ht="15.75" customHeight="1">
      <c r="C966" s="10"/>
    </row>
    <row r="967" ht="15.75" customHeight="1">
      <c r="C967" s="10"/>
    </row>
    <row r="968" ht="15.75" customHeight="1">
      <c r="C968" s="10"/>
    </row>
    <row r="969" ht="15.75" customHeight="1">
      <c r="C969" s="10"/>
    </row>
    <row r="970" ht="15.75" customHeight="1">
      <c r="C970" s="10"/>
    </row>
    <row r="971" ht="15.75" customHeight="1">
      <c r="C971" s="10"/>
    </row>
    <row r="972" ht="15.75" customHeight="1">
      <c r="C972" s="10"/>
    </row>
    <row r="973" ht="15.75" customHeight="1">
      <c r="C973" s="10"/>
    </row>
    <row r="974" ht="15.75" customHeight="1">
      <c r="C974" s="10"/>
    </row>
    <row r="975" ht="15.75" customHeight="1">
      <c r="C975" s="10"/>
    </row>
    <row r="976" ht="15.75" customHeight="1">
      <c r="C976" s="10"/>
    </row>
    <row r="977" ht="15.75" customHeight="1">
      <c r="C977" s="10"/>
    </row>
    <row r="978" ht="15.75" customHeight="1">
      <c r="C978" s="10"/>
    </row>
    <row r="979" ht="15.75" customHeight="1">
      <c r="C979" s="10"/>
    </row>
    <row r="980" ht="15.75" customHeight="1">
      <c r="C980" s="10"/>
    </row>
    <row r="981" ht="15.75" customHeight="1">
      <c r="C981" s="10"/>
    </row>
    <row r="982" ht="15.75" customHeight="1">
      <c r="C982" s="10"/>
    </row>
    <row r="983" ht="15.75" customHeight="1">
      <c r="C983" s="10"/>
    </row>
    <row r="984" ht="15.75" customHeight="1">
      <c r="C984" s="10"/>
    </row>
    <row r="985" ht="15.75" customHeight="1">
      <c r="C985" s="10"/>
    </row>
    <row r="986" ht="15.75" customHeight="1">
      <c r="C986" s="10"/>
    </row>
    <row r="987" ht="15.75" customHeight="1">
      <c r="C987" s="10"/>
    </row>
    <row r="988" ht="15.75" customHeight="1">
      <c r="C988" s="10"/>
    </row>
    <row r="989" ht="15.75" customHeight="1">
      <c r="C989" s="10"/>
    </row>
    <row r="990" ht="15.75" customHeight="1">
      <c r="C990" s="10"/>
    </row>
    <row r="991" ht="15.75" customHeight="1">
      <c r="C991" s="10"/>
    </row>
    <row r="992" ht="15.75" customHeight="1">
      <c r="C992" s="10"/>
    </row>
    <row r="993" ht="15.75" customHeight="1">
      <c r="C993" s="10"/>
    </row>
    <row r="994" ht="15.75" customHeight="1">
      <c r="C994" s="10"/>
    </row>
    <row r="995" ht="15.75" customHeight="1">
      <c r="C995" s="10"/>
    </row>
    <row r="996" ht="15.75" customHeight="1">
      <c r="C996" s="10"/>
    </row>
    <row r="997" ht="15.75" customHeight="1">
      <c r="C997" s="10"/>
    </row>
    <row r="998" ht="15.75" customHeight="1">
      <c r="C998" s="10"/>
    </row>
    <row r="999" ht="15.75" customHeight="1">
      <c r="C999" s="10"/>
    </row>
    <row r="1000" ht="15.75" customHeight="1">
      <c r="C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8.13"/>
    <col customWidth="1" min="3" max="5" width="9.63"/>
    <col customWidth="1" min="6" max="6" width="12.63"/>
  </cols>
  <sheetData>
    <row r="1" ht="15.75" customHeight="1">
      <c r="A1" s="11" t="s">
        <v>32</v>
      </c>
      <c r="B1" s="11" t="s">
        <v>33</v>
      </c>
      <c r="C1" s="12" t="s">
        <v>34</v>
      </c>
      <c r="D1" s="11" t="s">
        <v>33</v>
      </c>
      <c r="E1" s="11" t="s">
        <v>32</v>
      </c>
    </row>
    <row r="2" ht="15.75" customHeight="1">
      <c r="A2" s="11">
        <v>9136.0</v>
      </c>
      <c r="B2" s="11" t="s">
        <v>35</v>
      </c>
      <c r="C2" s="12">
        <v>20601.0</v>
      </c>
      <c r="D2" s="11" t="str">
        <f t="shared" ref="D2:D6325" si="1">IF((countif($B$2:$B6420,$B2)&gt;1),"Repeat"," ")</f>
        <v>Repeat</v>
      </c>
      <c r="E2" s="11" t="str">
        <f t="shared" ref="E2:E6325" si="2">IF((countif($A$2:$A6420,$A2)&gt;1),"Repeat"," ")</f>
        <v> </v>
      </c>
    </row>
    <row r="3" ht="15.75" customHeight="1">
      <c r="A3" s="11">
        <v>9139.0</v>
      </c>
      <c r="B3" s="11" t="s">
        <v>36</v>
      </c>
      <c r="C3" s="12">
        <v>20702.0</v>
      </c>
      <c r="D3" s="11" t="str">
        <f t="shared" si="1"/>
        <v> </v>
      </c>
      <c r="E3" s="11" t="str">
        <f t="shared" si="2"/>
        <v> </v>
      </c>
    </row>
    <row r="4" ht="15.75" customHeight="1">
      <c r="A4" s="11">
        <v>9141.0</v>
      </c>
      <c r="B4" s="11" t="s">
        <v>37</v>
      </c>
      <c r="C4" s="12">
        <v>30758.0</v>
      </c>
      <c r="D4" s="11" t="str">
        <f t="shared" si="1"/>
        <v> </v>
      </c>
      <c r="E4" s="11" t="str">
        <f t="shared" si="2"/>
        <v> </v>
      </c>
    </row>
    <row r="5" ht="15.75" customHeight="1">
      <c r="A5" s="11">
        <v>9143.0</v>
      </c>
      <c r="B5" s="11" t="s">
        <v>38</v>
      </c>
      <c r="C5" s="12">
        <v>12955.0</v>
      </c>
      <c r="D5" s="11" t="str">
        <f t="shared" si="1"/>
        <v> </v>
      </c>
      <c r="E5" s="11" t="str">
        <f t="shared" si="2"/>
        <v> </v>
      </c>
    </row>
    <row r="6" ht="15.75" customHeight="1">
      <c r="A6" s="11">
        <v>9144.0</v>
      </c>
      <c r="B6" s="11" t="s">
        <v>39</v>
      </c>
      <c r="C6" s="12">
        <v>19782.0</v>
      </c>
      <c r="D6" s="11" t="str">
        <f t="shared" si="1"/>
        <v> </v>
      </c>
      <c r="E6" s="11" t="str">
        <f t="shared" si="2"/>
        <v> </v>
      </c>
    </row>
    <row r="7" ht="15.75" customHeight="1">
      <c r="A7" s="11">
        <v>9151.0</v>
      </c>
      <c r="B7" s="11" t="s">
        <v>40</v>
      </c>
      <c r="C7" s="12">
        <v>23307.0</v>
      </c>
      <c r="D7" s="11" t="str">
        <f t="shared" si="1"/>
        <v> </v>
      </c>
      <c r="E7" s="11" t="str">
        <f t="shared" si="2"/>
        <v> </v>
      </c>
    </row>
    <row r="8" ht="15.75" customHeight="1">
      <c r="A8" s="11">
        <v>9153.0</v>
      </c>
      <c r="B8" s="11" t="s">
        <v>41</v>
      </c>
      <c r="C8" s="12">
        <v>24623.0</v>
      </c>
      <c r="D8" s="11" t="str">
        <f t="shared" si="1"/>
        <v> </v>
      </c>
      <c r="E8" s="11" t="str">
        <f t="shared" si="2"/>
        <v> </v>
      </c>
    </row>
    <row r="9" ht="15.75" customHeight="1">
      <c r="A9" s="11">
        <v>9157.0</v>
      </c>
      <c r="B9" s="11" t="s">
        <v>42</v>
      </c>
      <c r="C9" s="12">
        <v>21649.0</v>
      </c>
      <c r="D9" s="11" t="str">
        <f t="shared" si="1"/>
        <v> </v>
      </c>
      <c r="E9" s="11" t="str">
        <f t="shared" si="2"/>
        <v> </v>
      </c>
    </row>
    <row r="10" ht="15.75" customHeight="1">
      <c r="A10" s="11">
        <v>9158.0</v>
      </c>
      <c r="B10" s="11" t="s">
        <v>43</v>
      </c>
      <c r="C10" s="12">
        <v>29032.0</v>
      </c>
      <c r="D10" s="11" t="str">
        <f t="shared" si="1"/>
        <v>Repeat</v>
      </c>
      <c r="E10" s="11" t="str">
        <f t="shared" si="2"/>
        <v> </v>
      </c>
    </row>
    <row r="11" ht="15.75" customHeight="1">
      <c r="A11" s="11">
        <v>9160.0</v>
      </c>
      <c r="B11" s="11" t="s">
        <v>44</v>
      </c>
      <c r="C11" s="12">
        <v>19653.0</v>
      </c>
      <c r="D11" s="11" t="str">
        <f t="shared" si="1"/>
        <v>Repeat</v>
      </c>
      <c r="E11" s="11" t="str">
        <f t="shared" si="2"/>
        <v> </v>
      </c>
    </row>
    <row r="12" ht="15.75" customHeight="1">
      <c r="A12" s="11">
        <v>9161.0</v>
      </c>
      <c r="B12" s="11" t="s">
        <v>45</v>
      </c>
      <c r="C12" s="12">
        <v>20868.0</v>
      </c>
      <c r="D12" s="11" t="str">
        <f t="shared" si="1"/>
        <v> </v>
      </c>
      <c r="E12" s="11" t="str">
        <f t="shared" si="2"/>
        <v> </v>
      </c>
    </row>
    <row r="13" ht="15.75" customHeight="1">
      <c r="A13" s="11">
        <v>9163.0</v>
      </c>
      <c r="B13" s="11" t="s">
        <v>46</v>
      </c>
      <c r="C13" s="12">
        <v>17275.0</v>
      </c>
      <c r="D13" s="11" t="str">
        <f t="shared" si="1"/>
        <v> </v>
      </c>
      <c r="E13" s="11" t="str">
        <f t="shared" si="2"/>
        <v> </v>
      </c>
    </row>
    <row r="14" ht="15.75" customHeight="1">
      <c r="A14" s="11">
        <v>9164.0</v>
      </c>
      <c r="B14" s="11" t="s">
        <v>47</v>
      </c>
      <c r="C14" s="12">
        <v>12175.0</v>
      </c>
      <c r="D14" s="11" t="str">
        <f t="shared" si="1"/>
        <v> </v>
      </c>
      <c r="E14" s="11" t="str">
        <f t="shared" si="2"/>
        <v> </v>
      </c>
    </row>
    <row r="15" ht="15.75" customHeight="1">
      <c r="A15" s="11">
        <v>9165.0</v>
      </c>
      <c r="B15" s="11" t="s">
        <v>48</v>
      </c>
      <c r="C15" s="12">
        <v>29909.0</v>
      </c>
      <c r="D15" s="11" t="str">
        <f t="shared" si="1"/>
        <v> </v>
      </c>
      <c r="E15" s="11" t="str">
        <f t="shared" si="2"/>
        <v> </v>
      </c>
    </row>
    <row r="16" ht="15.75" customHeight="1">
      <c r="A16" s="11">
        <v>9167.0</v>
      </c>
      <c r="B16" s="11" t="s">
        <v>49</v>
      </c>
      <c r="C16" s="12">
        <v>10664.0</v>
      </c>
      <c r="D16" s="11" t="str">
        <f t="shared" si="1"/>
        <v> </v>
      </c>
      <c r="E16" s="11" t="str">
        <f t="shared" si="2"/>
        <v> </v>
      </c>
    </row>
    <row r="17" ht="15.75" customHeight="1">
      <c r="A17" s="11">
        <v>9169.0</v>
      </c>
      <c r="B17" s="11" t="s">
        <v>50</v>
      </c>
      <c r="C17" s="12">
        <v>16745.0</v>
      </c>
      <c r="D17" s="11" t="str">
        <f t="shared" si="1"/>
        <v> </v>
      </c>
      <c r="E17" s="11" t="str">
        <f t="shared" si="2"/>
        <v> </v>
      </c>
    </row>
    <row r="18" ht="15.75" customHeight="1">
      <c r="A18" s="11">
        <v>9170.0</v>
      </c>
      <c r="B18" s="11" t="s">
        <v>51</v>
      </c>
      <c r="C18" s="12">
        <v>18503.0</v>
      </c>
      <c r="D18" s="11" t="str">
        <f t="shared" si="1"/>
        <v> </v>
      </c>
      <c r="E18" s="11" t="str">
        <f t="shared" si="2"/>
        <v> </v>
      </c>
    </row>
    <row r="19" ht="15.75" customHeight="1">
      <c r="A19" s="11">
        <v>9171.0</v>
      </c>
      <c r="B19" s="11" t="s">
        <v>52</v>
      </c>
      <c r="C19" s="12">
        <v>20896.0</v>
      </c>
      <c r="D19" s="11" t="str">
        <f t="shared" si="1"/>
        <v> </v>
      </c>
      <c r="E19" s="11" t="str">
        <f t="shared" si="2"/>
        <v> </v>
      </c>
    </row>
    <row r="20" ht="15.75" customHeight="1">
      <c r="A20" s="11">
        <v>9172.0</v>
      </c>
      <c r="B20" s="11" t="s">
        <v>53</v>
      </c>
      <c r="C20" s="12">
        <v>21800.0</v>
      </c>
      <c r="D20" s="11" t="str">
        <f t="shared" si="1"/>
        <v> </v>
      </c>
      <c r="E20" s="11" t="str">
        <f t="shared" si="2"/>
        <v> </v>
      </c>
    </row>
    <row r="21" ht="15.75" customHeight="1">
      <c r="A21" s="11">
        <v>9174.0</v>
      </c>
      <c r="B21" s="11" t="s">
        <v>54</v>
      </c>
      <c r="C21" s="12">
        <v>19192.0</v>
      </c>
      <c r="D21" s="11" t="str">
        <f t="shared" si="1"/>
        <v> </v>
      </c>
      <c r="E21" s="11" t="str">
        <f t="shared" si="2"/>
        <v> </v>
      </c>
    </row>
    <row r="22" ht="15.75" customHeight="1">
      <c r="A22" s="11">
        <v>9175.0</v>
      </c>
      <c r="B22" s="11" t="s">
        <v>55</v>
      </c>
      <c r="C22" s="12">
        <v>22322.0</v>
      </c>
      <c r="D22" s="11" t="str">
        <f t="shared" si="1"/>
        <v> </v>
      </c>
      <c r="E22" s="11" t="str">
        <f t="shared" si="2"/>
        <v> </v>
      </c>
    </row>
    <row r="23" ht="15.75" customHeight="1">
      <c r="A23" s="11">
        <v>9176.0</v>
      </c>
      <c r="B23" s="11" t="s">
        <v>56</v>
      </c>
      <c r="C23" s="12">
        <v>17667.0</v>
      </c>
      <c r="D23" s="11" t="str">
        <f t="shared" si="1"/>
        <v> </v>
      </c>
      <c r="E23" s="11" t="str">
        <f t="shared" si="2"/>
        <v> </v>
      </c>
    </row>
    <row r="24" ht="15.75" customHeight="1">
      <c r="A24" s="11">
        <v>9178.0</v>
      </c>
      <c r="B24" s="11" t="s">
        <v>57</v>
      </c>
      <c r="C24" s="12">
        <v>15039.0</v>
      </c>
      <c r="D24" s="11" t="str">
        <f t="shared" si="1"/>
        <v> </v>
      </c>
      <c r="E24" s="11" t="str">
        <f t="shared" si="2"/>
        <v> </v>
      </c>
    </row>
    <row r="25" ht="15.75" customHeight="1">
      <c r="A25" s="11">
        <v>9179.0</v>
      </c>
      <c r="B25" s="11" t="s">
        <v>58</v>
      </c>
      <c r="C25" s="12">
        <v>13358.0</v>
      </c>
      <c r="D25" s="11" t="str">
        <f t="shared" si="1"/>
        <v> </v>
      </c>
      <c r="E25" s="11" t="str">
        <f t="shared" si="2"/>
        <v> </v>
      </c>
    </row>
    <row r="26" ht="15.75" customHeight="1">
      <c r="A26" s="11">
        <v>9181.0</v>
      </c>
      <c r="B26" s="11" t="s">
        <v>59</v>
      </c>
      <c r="C26" s="12">
        <v>23232.0</v>
      </c>
      <c r="D26" s="11" t="str">
        <f t="shared" si="1"/>
        <v> </v>
      </c>
      <c r="E26" s="11" t="str">
        <f t="shared" si="2"/>
        <v> </v>
      </c>
    </row>
    <row r="27" ht="15.75" customHeight="1">
      <c r="A27" s="11">
        <v>9182.0</v>
      </c>
      <c r="B27" s="11" t="s">
        <v>60</v>
      </c>
      <c r="C27" s="12">
        <v>25713.0</v>
      </c>
      <c r="D27" s="11" t="str">
        <f t="shared" si="1"/>
        <v> </v>
      </c>
      <c r="E27" s="11" t="str">
        <f t="shared" si="2"/>
        <v> </v>
      </c>
    </row>
    <row r="28" ht="15.75" customHeight="1">
      <c r="A28" s="11">
        <v>9184.0</v>
      </c>
      <c r="B28" s="11" t="s">
        <v>61</v>
      </c>
      <c r="C28" s="12">
        <v>13792.0</v>
      </c>
      <c r="D28" s="11" t="str">
        <f t="shared" si="1"/>
        <v> </v>
      </c>
      <c r="E28" s="11" t="str">
        <f t="shared" si="2"/>
        <v> </v>
      </c>
    </row>
    <row r="29" ht="15.75" customHeight="1">
      <c r="A29" s="11">
        <v>9185.0</v>
      </c>
      <c r="B29" s="11" t="s">
        <v>62</v>
      </c>
      <c r="C29" s="12">
        <v>28921.0</v>
      </c>
      <c r="D29" s="11" t="str">
        <f t="shared" si="1"/>
        <v> </v>
      </c>
      <c r="E29" s="11" t="str">
        <f t="shared" si="2"/>
        <v> </v>
      </c>
    </row>
    <row r="30" ht="15.75" customHeight="1">
      <c r="A30" s="11">
        <v>9187.0</v>
      </c>
      <c r="B30" s="11" t="s">
        <v>63</v>
      </c>
      <c r="C30" s="12">
        <v>21033.0</v>
      </c>
      <c r="D30" s="11" t="str">
        <f t="shared" si="1"/>
        <v> </v>
      </c>
      <c r="E30" s="11" t="str">
        <f t="shared" si="2"/>
        <v> </v>
      </c>
    </row>
    <row r="31" ht="15.75" customHeight="1">
      <c r="A31" s="11">
        <v>9191.0</v>
      </c>
      <c r="B31" s="11" t="s">
        <v>64</v>
      </c>
      <c r="C31" s="12">
        <v>20615.0</v>
      </c>
      <c r="D31" s="11" t="str">
        <f t="shared" si="1"/>
        <v> </v>
      </c>
      <c r="E31" s="11" t="str">
        <f t="shared" si="2"/>
        <v> </v>
      </c>
    </row>
    <row r="32" ht="15.75" customHeight="1">
      <c r="A32" s="11">
        <v>9193.0</v>
      </c>
      <c r="B32" s="11" t="s">
        <v>65</v>
      </c>
      <c r="C32" s="12">
        <v>18632.0</v>
      </c>
      <c r="D32" s="11" t="str">
        <f t="shared" si="1"/>
        <v> </v>
      </c>
      <c r="E32" s="11" t="str">
        <f t="shared" si="2"/>
        <v> </v>
      </c>
    </row>
    <row r="33" ht="15.75" customHeight="1">
      <c r="A33" s="11">
        <v>9194.0</v>
      </c>
      <c r="B33" s="11" t="s">
        <v>66</v>
      </c>
      <c r="C33" s="12">
        <v>21494.0</v>
      </c>
      <c r="D33" s="11" t="str">
        <f t="shared" si="1"/>
        <v> </v>
      </c>
      <c r="E33" s="11" t="str">
        <f t="shared" si="2"/>
        <v> </v>
      </c>
    </row>
    <row r="34" ht="15.75" customHeight="1">
      <c r="A34" s="11">
        <v>9196.0</v>
      </c>
      <c r="B34" s="11" t="s">
        <v>67</v>
      </c>
      <c r="C34" s="12">
        <v>13411.0</v>
      </c>
      <c r="D34" s="11" t="str">
        <f t="shared" si="1"/>
        <v> </v>
      </c>
      <c r="E34" s="11" t="str">
        <f t="shared" si="2"/>
        <v> </v>
      </c>
    </row>
    <row r="35" ht="15.75" customHeight="1">
      <c r="A35" s="11">
        <v>9197.0</v>
      </c>
      <c r="B35" s="11" t="s">
        <v>68</v>
      </c>
      <c r="C35" s="12">
        <v>17375.0</v>
      </c>
      <c r="D35" s="11" t="str">
        <f t="shared" si="1"/>
        <v> </v>
      </c>
      <c r="E35" s="11" t="str">
        <f t="shared" si="2"/>
        <v> </v>
      </c>
    </row>
    <row r="36" ht="15.75" customHeight="1">
      <c r="A36" s="11">
        <v>9198.0</v>
      </c>
      <c r="B36" s="11" t="s">
        <v>69</v>
      </c>
      <c r="C36" s="12">
        <v>19646.0</v>
      </c>
      <c r="D36" s="11" t="str">
        <f t="shared" si="1"/>
        <v> </v>
      </c>
      <c r="E36" s="11" t="str">
        <f t="shared" si="2"/>
        <v> </v>
      </c>
    </row>
    <row r="37" ht="15.75" customHeight="1">
      <c r="A37" s="11">
        <v>9199.0</v>
      </c>
      <c r="B37" s="11" t="s">
        <v>70</v>
      </c>
      <c r="C37" s="12">
        <v>17981.0</v>
      </c>
      <c r="D37" s="11" t="str">
        <f t="shared" si="1"/>
        <v> </v>
      </c>
      <c r="E37" s="11" t="str">
        <f t="shared" si="2"/>
        <v> </v>
      </c>
    </row>
    <row r="38" ht="15.75" customHeight="1">
      <c r="A38" s="11">
        <v>9203.0</v>
      </c>
      <c r="B38" s="11" t="s">
        <v>71</v>
      </c>
      <c r="C38" s="12">
        <v>28029.0</v>
      </c>
      <c r="D38" s="11" t="str">
        <f t="shared" si="1"/>
        <v> </v>
      </c>
      <c r="E38" s="11" t="str">
        <f t="shared" si="2"/>
        <v> </v>
      </c>
    </row>
    <row r="39" ht="15.75" customHeight="1">
      <c r="A39" s="11">
        <v>9204.0</v>
      </c>
      <c r="B39" s="11" t="s">
        <v>72</v>
      </c>
      <c r="C39" s="12">
        <v>22400.0</v>
      </c>
      <c r="D39" s="11" t="str">
        <f t="shared" si="1"/>
        <v> </v>
      </c>
      <c r="E39" s="11" t="str">
        <f t="shared" si="2"/>
        <v> </v>
      </c>
    </row>
    <row r="40" ht="15.75" customHeight="1">
      <c r="A40" s="11">
        <v>9206.0</v>
      </c>
      <c r="B40" s="11" t="s">
        <v>73</v>
      </c>
      <c r="C40" s="12">
        <v>22779.0</v>
      </c>
      <c r="D40" s="11" t="str">
        <f t="shared" si="1"/>
        <v> </v>
      </c>
      <c r="E40" s="11" t="str">
        <f t="shared" si="2"/>
        <v> </v>
      </c>
    </row>
    <row r="41" ht="15.75" customHeight="1">
      <c r="A41" s="11">
        <v>9208.0</v>
      </c>
      <c r="B41" s="11" t="s">
        <v>74</v>
      </c>
      <c r="C41" s="12">
        <v>21408.0</v>
      </c>
      <c r="D41" s="11" t="str">
        <f t="shared" si="1"/>
        <v> </v>
      </c>
      <c r="E41" s="11" t="str">
        <f t="shared" si="2"/>
        <v> </v>
      </c>
    </row>
    <row r="42" ht="15.75" customHeight="1">
      <c r="A42" s="11">
        <v>9209.0</v>
      </c>
      <c r="B42" s="11" t="s">
        <v>75</v>
      </c>
      <c r="C42" s="12">
        <v>20421.0</v>
      </c>
      <c r="D42" s="11" t="str">
        <f t="shared" si="1"/>
        <v> </v>
      </c>
      <c r="E42" s="11" t="str">
        <f t="shared" si="2"/>
        <v> </v>
      </c>
    </row>
    <row r="43" ht="15.75" customHeight="1">
      <c r="A43" s="11">
        <v>9210.0</v>
      </c>
      <c r="B43" s="11" t="s">
        <v>76</v>
      </c>
      <c r="C43" s="12">
        <v>9983.0</v>
      </c>
      <c r="D43" s="11" t="str">
        <f t="shared" si="1"/>
        <v> </v>
      </c>
      <c r="E43" s="11" t="str">
        <f t="shared" si="2"/>
        <v> </v>
      </c>
    </row>
    <row r="44" ht="15.75" customHeight="1">
      <c r="A44" s="11">
        <v>9211.0</v>
      </c>
      <c r="B44" s="11" t="s">
        <v>77</v>
      </c>
      <c r="C44" s="12">
        <v>13066.0</v>
      </c>
      <c r="D44" s="11" t="str">
        <f t="shared" si="1"/>
        <v> </v>
      </c>
      <c r="E44" s="11" t="str">
        <f t="shared" si="2"/>
        <v> </v>
      </c>
    </row>
    <row r="45" ht="15.75" customHeight="1">
      <c r="A45" s="11">
        <v>9212.0</v>
      </c>
      <c r="B45" s="11" t="s">
        <v>78</v>
      </c>
      <c r="C45" s="12">
        <v>18834.0</v>
      </c>
      <c r="D45" s="11" t="str">
        <f t="shared" si="1"/>
        <v> </v>
      </c>
      <c r="E45" s="11" t="str">
        <f t="shared" si="2"/>
        <v> </v>
      </c>
    </row>
    <row r="46" ht="15.75" customHeight="1">
      <c r="A46" s="11">
        <v>9213.0</v>
      </c>
      <c r="B46" s="11" t="s">
        <v>79</v>
      </c>
      <c r="C46" s="12">
        <v>21844.0</v>
      </c>
      <c r="D46" s="11" t="str">
        <f t="shared" si="1"/>
        <v> </v>
      </c>
      <c r="E46" s="11" t="str">
        <f t="shared" si="2"/>
        <v> </v>
      </c>
    </row>
    <row r="47" ht="15.75" customHeight="1">
      <c r="A47" s="11">
        <v>9214.0</v>
      </c>
      <c r="B47" s="11" t="s">
        <v>80</v>
      </c>
      <c r="C47" s="12">
        <v>20158.0</v>
      </c>
      <c r="D47" s="11" t="str">
        <f t="shared" si="1"/>
        <v> </v>
      </c>
      <c r="E47" s="11" t="str">
        <f t="shared" si="2"/>
        <v> </v>
      </c>
    </row>
    <row r="48" ht="15.75" customHeight="1">
      <c r="A48" s="11">
        <v>9216.0</v>
      </c>
      <c r="B48" s="11" t="s">
        <v>81</v>
      </c>
      <c r="C48" s="12">
        <v>15976.0</v>
      </c>
      <c r="D48" s="11" t="str">
        <f t="shared" si="1"/>
        <v> </v>
      </c>
      <c r="E48" s="11" t="str">
        <f t="shared" si="2"/>
        <v> </v>
      </c>
    </row>
    <row r="49" ht="15.75" customHeight="1">
      <c r="A49" s="11">
        <v>9217.0</v>
      </c>
      <c r="B49" s="11" t="s">
        <v>82</v>
      </c>
      <c r="C49" s="12">
        <v>12461.0</v>
      </c>
      <c r="D49" s="11" t="str">
        <f t="shared" si="1"/>
        <v> </v>
      </c>
      <c r="E49" s="11" t="str">
        <f t="shared" si="2"/>
        <v> </v>
      </c>
    </row>
    <row r="50" ht="15.75" customHeight="1">
      <c r="A50" s="11">
        <v>9218.0</v>
      </c>
      <c r="B50" s="11" t="s">
        <v>83</v>
      </c>
      <c r="C50" s="12">
        <v>25746.0</v>
      </c>
      <c r="D50" s="11" t="str">
        <f t="shared" si="1"/>
        <v> </v>
      </c>
      <c r="E50" s="11" t="str">
        <f t="shared" si="2"/>
        <v> </v>
      </c>
    </row>
    <row r="51" ht="15.75" customHeight="1">
      <c r="A51" s="11">
        <v>9219.0</v>
      </c>
      <c r="B51" s="11" t="s">
        <v>84</v>
      </c>
      <c r="C51" s="12">
        <v>21522.0</v>
      </c>
      <c r="D51" s="11" t="str">
        <f t="shared" si="1"/>
        <v> </v>
      </c>
      <c r="E51" s="11" t="str">
        <f t="shared" si="2"/>
        <v> </v>
      </c>
    </row>
    <row r="52" ht="15.75" customHeight="1">
      <c r="A52" s="11">
        <v>9220.0</v>
      </c>
      <c r="B52" s="11" t="s">
        <v>85</v>
      </c>
      <c r="C52" s="12">
        <v>17546.0</v>
      </c>
      <c r="D52" s="11" t="str">
        <f t="shared" si="1"/>
        <v> </v>
      </c>
      <c r="E52" s="11" t="str">
        <f t="shared" si="2"/>
        <v> </v>
      </c>
    </row>
    <row r="53" ht="15.75" customHeight="1">
      <c r="A53" s="11">
        <v>9222.0</v>
      </c>
      <c r="B53" s="11" t="s">
        <v>86</v>
      </c>
      <c r="C53" s="12">
        <v>19683.0</v>
      </c>
      <c r="D53" s="11" t="str">
        <f t="shared" si="1"/>
        <v> </v>
      </c>
      <c r="E53" s="11" t="str">
        <f t="shared" si="2"/>
        <v> </v>
      </c>
    </row>
    <row r="54" ht="15.75" customHeight="1">
      <c r="A54" s="11">
        <v>9225.0</v>
      </c>
      <c r="B54" s="11" t="s">
        <v>87</v>
      </c>
      <c r="C54" s="12">
        <v>26685.0</v>
      </c>
      <c r="D54" s="11" t="str">
        <f t="shared" si="1"/>
        <v> </v>
      </c>
      <c r="E54" s="11" t="str">
        <f t="shared" si="2"/>
        <v> </v>
      </c>
    </row>
    <row r="55" ht="15.75" customHeight="1">
      <c r="A55" s="11">
        <v>9226.0</v>
      </c>
      <c r="B55" s="11" t="s">
        <v>88</v>
      </c>
      <c r="C55" s="12">
        <v>27651.0</v>
      </c>
      <c r="D55" s="11" t="str">
        <f t="shared" si="1"/>
        <v> </v>
      </c>
      <c r="E55" s="11" t="str">
        <f t="shared" si="2"/>
        <v> </v>
      </c>
    </row>
    <row r="56" ht="15.75" customHeight="1">
      <c r="A56" s="11">
        <v>9227.0</v>
      </c>
      <c r="B56" s="11" t="s">
        <v>89</v>
      </c>
      <c r="C56" s="12">
        <v>21258.0</v>
      </c>
      <c r="D56" s="11" t="str">
        <f t="shared" si="1"/>
        <v> </v>
      </c>
      <c r="E56" s="11" t="str">
        <f t="shared" si="2"/>
        <v> </v>
      </c>
    </row>
    <row r="57" ht="15.75" customHeight="1">
      <c r="A57" s="11">
        <v>9228.0</v>
      </c>
      <c r="B57" s="11" t="s">
        <v>90</v>
      </c>
      <c r="C57" s="12">
        <v>22348.0</v>
      </c>
      <c r="D57" s="11" t="str">
        <f t="shared" si="1"/>
        <v> </v>
      </c>
      <c r="E57" s="11" t="str">
        <f t="shared" si="2"/>
        <v> </v>
      </c>
    </row>
    <row r="58" ht="15.75" customHeight="1">
      <c r="A58" s="11">
        <v>9229.0</v>
      </c>
      <c r="B58" s="11" t="s">
        <v>91</v>
      </c>
      <c r="C58" s="12">
        <v>17887.0</v>
      </c>
      <c r="D58" s="11" t="str">
        <f t="shared" si="1"/>
        <v> </v>
      </c>
      <c r="E58" s="11" t="str">
        <f t="shared" si="2"/>
        <v> </v>
      </c>
    </row>
    <row r="59" ht="15.75" customHeight="1">
      <c r="A59" s="11">
        <v>9231.0</v>
      </c>
      <c r="B59" s="11" t="s">
        <v>92</v>
      </c>
      <c r="C59" s="12">
        <v>27888.0</v>
      </c>
      <c r="D59" s="11" t="str">
        <f t="shared" si="1"/>
        <v> </v>
      </c>
      <c r="E59" s="11" t="str">
        <f t="shared" si="2"/>
        <v> </v>
      </c>
    </row>
    <row r="60" ht="15.75" customHeight="1">
      <c r="A60" s="11">
        <v>9232.0</v>
      </c>
      <c r="B60" s="11" t="s">
        <v>93</v>
      </c>
      <c r="C60" s="12">
        <v>25104.0</v>
      </c>
      <c r="D60" s="11" t="str">
        <f t="shared" si="1"/>
        <v> </v>
      </c>
      <c r="E60" s="11" t="str">
        <f t="shared" si="2"/>
        <v> </v>
      </c>
    </row>
    <row r="61" ht="15.75" customHeight="1">
      <c r="A61" s="11">
        <v>9234.0</v>
      </c>
      <c r="B61" s="11" t="s">
        <v>94</v>
      </c>
      <c r="C61" s="12">
        <v>13340.0</v>
      </c>
      <c r="D61" s="11" t="str">
        <f t="shared" si="1"/>
        <v> </v>
      </c>
      <c r="E61" s="11" t="str">
        <f t="shared" si="2"/>
        <v> </v>
      </c>
    </row>
    <row r="62" ht="15.75" customHeight="1">
      <c r="A62" s="11">
        <v>9235.0</v>
      </c>
      <c r="B62" s="11" t="s">
        <v>95</v>
      </c>
      <c r="C62" s="12">
        <v>17976.0</v>
      </c>
      <c r="D62" s="11" t="str">
        <f t="shared" si="1"/>
        <v> </v>
      </c>
      <c r="E62" s="11" t="str">
        <f t="shared" si="2"/>
        <v> </v>
      </c>
    </row>
    <row r="63" ht="15.75" customHeight="1">
      <c r="A63" s="11">
        <v>9237.0</v>
      </c>
      <c r="B63" s="11" t="s">
        <v>96</v>
      </c>
      <c r="C63" s="12">
        <v>16916.0</v>
      </c>
      <c r="D63" s="11" t="str">
        <f t="shared" si="1"/>
        <v> </v>
      </c>
      <c r="E63" s="11" t="str">
        <f t="shared" si="2"/>
        <v> </v>
      </c>
    </row>
    <row r="64" ht="15.75" customHeight="1">
      <c r="A64" s="11">
        <v>9239.0</v>
      </c>
      <c r="B64" s="11" t="s">
        <v>97</v>
      </c>
      <c r="C64" s="12">
        <v>17941.0</v>
      </c>
      <c r="D64" s="11" t="str">
        <f t="shared" si="1"/>
        <v> </v>
      </c>
      <c r="E64" s="11" t="str">
        <f t="shared" si="2"/>
        <v> </v>
      </c>
    </row>
    <row r="65" ht="15.75" customHeight="1">
      <c r="A65" s="11">
        <v>9241.0</v>
      </c>
      <c r="B65" s="11" t="s">
        <v>98</v>
      </c>
      <c r="C65" s="12">
        <v>23211.0</v>
      </c>
      <c r="D65" s="11" t="str">
        <f t="shared" si="1"/>
        <v> </v>
      </c>
      <c r="E65" s="11" t="str">
        <f t="shared" si="2"/>
        <v> </v>
      </c>
    </row>
    <row r="66" ht="15.75" customHeight="1">
      <c r="A66" s="11">
        <v>9242.0</v>
      </c>
      <c r="B66" s="11" t="s">
        <v>99</v>
      </c>
      <c r="C66" s="12">
        <v>20485.0</v>
      </c>
      <c r="D66" s="11" t="str">
        <f t="shared" si="1"/>
        <v> </v>
      </c>
      <c r="E66" s="11" t="str">
        <f t="shared" si="2"/>
        <v> </v>
      </c>
    </row>
    <row r="67" ht="15.75" customHeight="1">
      <c r="A67" s="11">
        <v>9244.0</v>
      </c>
      <c r="B67" s="11" t="s">
        <v>100</v>
      </c>
      <c r="C67" s="12">
        <v>30083.0</v>
      </c>
      <c r="D67" s="11" t="str">
        <f t="shared" si="1"/>
        <v> </v>
      </c>
      <c r="E67" s="11" t="str">
        <f t="shared" si="2"/>
        <v> </v>
      </c>
    </row>
    <row r="68" ht="15.75" customHeight="1">
      <c r="A68" s="11">
        <v>9245.0</v>
      </c>
      <c r="B68" s="11" t="s">
        <v>101</v>
      </c>
      <c r="C68" s="12">
        <v>16580.0</v>
      </c>
      <c r="D68" s="11" t="str">
        <f t="shared" si="1"/>
        <v>Repeat</v>
      </c>
      <c r="E68" s="11" t="str">
        <f t="shared" si="2"/>
        <v>Repeat</v>
      </c>
    </row>
    <row r="69" ht="15.75" customHeight="1">
      <c r="A69" s="11">
        <v>9246.0</v>
      </c>
      <c r="B69" s="11" t="s">
        <v>102</v>
      </c>
      <c r="C69" s="12">
        <v>26567.0</v>
      </c>
      <c r="D69" s="11" t="str">
        <f t="shared" si="1"/>
        <v> </v>
      </c>
      <c r="E69" s="11" t="str">
        <f t="shared" si="2"/>
        <v> </v>
      </c>
    </row>
    <row r="70" ht="15.75" customHeight="1">
      <c r="A70" s="11">
        <v>9247.0</v>
      </c>
      <c r="B70" s="11" t="s">
        <v>103</v>
      </c>
      <c r="C70" s="12">
        <v>18444.0</v>
      </c>
      <c r="D70" s="11" t="str">
        <f t="shared" si="1"/>
        <v> </v>
      </c>
      <c r="E70" s="11" t="str">
        <f t="shared" si="2"/>
        <v> </v>
      </c>
    </row>
    <row r="71" ht="15.75" customHeight="1">
      <c r="A71" s="11">
        <v>9248.0</v>
      </c>
      <c r="B71" s="11" t="s">
        <v>104</v>
      </c>
      <c r="C71" s="12">
        <v>21239.0</v>
      </c>
      <c r="D71" s="11" t="str">
        <f t="shared" si="1"/>
        <v> </v>
      </c>
      <c r="E71" s="11" t="str">
        <f t="shared" si="2"/>
        <v> </v>
      </c>
    </row>
    <row r="72" ht="15.75" customHeight="1">
      <c r="A72" s="11">
        <v>9249.0</v>
      </c>
      <c r="B72" s="11" t="s">
        <v>105</v>
      </c>
      <c r="C72" s="12">
        <v>17102.0</v>
      </c>
      <c r="D72" s="11" t="str">
        <f t="shared" si="1"/>
        <v> </v>
      </c>
      <c r="E72" s="11" t="str">
        <f t="shared" si="2"/>
        <v> </v>
      </c>
    </row>
    <row r="73" ht="15.75" customHeight="1">
      <c r="A73" s="11">
        <v>9251.0</v>
      </c>
      <c r="B73" s="11" t="s">
        <v>106</v>
      </c>
      <c r="C73" s="12">
        <v>19415.0</v>
      </c>
      <c r="D73" s="11" t="str">
        <f t="shared" si="1"/>
        <v> </v>
      </c>
      <c r="E73" s="11" t="str">
        <f t="shared" si="2"/>
        <v> </v>
      </c>
    </row>
    <row r="74" ht="15.75" customHeight="1">
      <c r="A74" s="11">
        <v>9253.0</v>
      </c>
      <c r="B74" s="11" t="s">
        <v>107</v>
      </c>
      <c r="C74" s="12">
        <v>22636.0</v>
      </c>
      <c r="D74" s="11" t="str">
        <f t="shared" si="1"/>
        <v> </v>
      </c>
      <c r="E74" s="11" t="str">
        <f t="shared" si="2"/>
        <v> </v>
      </c>
    </row>
    <row r="75" ht="15.75" customHeight="1">
      <c r="A75" s="11">
        <v>9254.0</v>
      </c>
      <c r="B75" s="11" t="s">
        <v>108</v>
      </c>
      <c r="C75" s="12">
        <v>22042.0</v>
      </c>
      <c r="D75" s="11" t="str">
        <f t="shared" si="1"/>
        <v> </v>
      </c>
      <c r="E75" s="11" t="str">
        <f t="shared" si="2"/>
        <v> </v>
      </c>
    </row>
    <row r="76" ht="15.75" customHeight="1">
      <c r="A76" s="11">
        <v>9255.0</v>
      </c>
      <c r="B76" s="11" t="s">
        <v>109</v>
      </c>
      <c r="C76" s="12">
        <v>19519.0</v>
      </c>
      <c r="D76" s="11" t="str">
        <f t="shared" si="1"/>
        <v> </v>
      </c>
      <c r="E76" s="11" t="str">
        <f t="shared" si="2"/>
        <v> </v>
      </c>
    </row>
    <row r="77" ht="15.75" customHeight="1">
      <c r="A77" s="11">
        <v>9256.0</v>
      </c>
      <c r="B77" s="11" t="s">
        <v>110</v>
      </c>
      <c r="C77" s="12">
        <v>22557.0</v>
      </c>
      <c r="D77" s="11" t="str">
        <f t="shared" si="1"/>
        <v> </v>
      </c>
      <c r="E77" s="11" t="str">
        <f t="shared" si="2"/>
        <v> </v>
      </c>
    </row>
    <row r="78" ht="15.75" customHeight="1">
      <c r="A78" s="11">
        <v>9257.0</v>
      </c>
      <c r="B78" s="11" t="s">
        <v>111</v>
      </c>
      <c r="C78" s="12">
        <v>30336.0</v>
      </c>
      <c r="D78" s="11" t="str">
        <f t="shared" si="1"/>
        <v> </v>
      </c>
      <c r="E78" s="11" t="str">
        <f t="shared" si="2"/>
        <v> </v>
      </c>
    </row>
    <row r="79" ht="15.75" customHeight="1">
      <c r="A79" s="11">
        <v>9258.0</v>
      </c>
      <c r="B79" s="11" t="s">
        <v>112</v>
      </c>
      <c r="C79" s="12">
        <v>23677.0</v>
      </c>
      <c r="D79" s="11" t="str">
        <f t="shared" si="1"/>
        <v> </v>
      </c>
      <c r="E79" s="11" t="str">
        <f t="shared" si="2"/>
        <v> </v>
      </c>
    </row>
    <row r="80" ht="15.75" customHeight="1">
      <c r="A80" s="11">
        <v>9259.0</v>
      </c>
      <c r="B80" s="11" t="s">
        <v>113</v>
      </c>
      <c r="C80" s="12">
        <v>23278.0</v>
      </c>
      <c r="D80" s="11" t="str">
        <f t="shared" si="1"/>
        <v> </v>
      </c>
      <c r="E80" s="11" t="str">
        <f t="shared" si="2"/>
        <v> </v>
      </c>
    </row>
    <row r="81" ht="15.75" customHeight="1">
      <c r="A81" s="11">
        <v>9260.0</v>
      </c>
      <c r="B81" s="11" t="s">
        <v>114</v>
      </c>
      <c r="C81" s="12">
        <v>18558.0</v>
      </c>
      <c r="D81" s="11" t="str">
        <f t="shared" si="1"/>
        <v> </v>
      </c>
      <c r="E81" s="11" t="str">
        <f t="shared" si="2"/>
        <v> </v>
      </c>
    </row>
    <row r="82" ht="15.75" customHeight="1">
      <c r="A82" s="11">
        <v>9261.0</v>
      </c>
      <c r="B82" s="11" t="s">
        <v>115</v>
      </c>
      <c r="C82" s="12">
        <v>23148.0</v>
      </c>
      <c r="D82" s="11" t="str">
        <f t="shared" si="1"/>
        <v> </v>
      </c>
      <c r="E82" s="11" t="str">
        <f t="shared" si="2"/>
        <v> </v>
      </c>
    </row>
    <row r="83" ht="15.75" customHeight="1">
      <c r="A83" s="11">
        <v>9263.0</v>
      </c>
      <c r="B83" s="11" t="s">
        <v>116</v>
      </c>
      <c r="C83" s="12">
        <v>14169.0</v>
      </c>
      <c r="D83" s="11" t="str">
        <f t="shared" si="1"/>
        <v> </v>
      </c>
      <c r="E83" s="11" t="str">
        <f t="shared" si="2"/>
        <v> </v>
      </c>
    </row>
    <row r="84" ht="15.75" customHeight="1">
      <c r="A84" s="11">
        <v>9264.0</v>
      </c>
      <c r="B84" s="11" t="s">
        <v>117</v>
      </c>
      <c r="C84" s="12">
        <v>16291.0</v>
      </c>
      <c r="D84" s="11" t="str">
        <f t="shared" si="1"/>
        <v> </v>
      </c>
      <c r="E84" s="11" t="str">
        <f t="shared" si="2"/>
        <v> </v>
      </c>
    </row>
    <row r="85" ht="15.75" customHeight="1">
      <c r="A85" s="11">
        <v>9265.0</v>
      </c>
      <c r="B85" s="11" t="s">
        <v>118</v>
      </c>
      <c r="C85" s="12">
        <v>22971.0</v>
      </c>
      <c r="D85" s="11" t="str">
        <f t="shared" si="1"/>
        <v> </v>
      </c>
      <c r="E85" s="11" t="str">
        <f t="shared" si="2"/>
        <v> </v>
      </c>
    </row>
    <row r="86" ht="15.75" customHeight="1">
      <c r="A86" s="11">
        <v>9266.0</v>
      </c>
      <c r="B86" s="11" t="s">
        <v>119</v>
      </c>
      <c r="C86" s="12">
        <v>23100.0</v>
      </c>
      <c r="D86" s="11" t="str">
        <f t="shared" si="1"/>
        <v> </v>
      </c>
      <c r="E86" s="11" t="str">
        <f t="shared" si="2"/>
        <v> </v>
      </c>
    </row>
    <row r="87" ht="15.75" customHeight="1">
      <c r="A87" s="11">
        <v>9269.0</v>
      </c>
      <c r="B87" s="11" t="s">
        <v>120</v>
      </c>
      <c r="C87" s="12">
        <v>22102.0</v>
      </c>
      <c r="D87" s="11" t="str">
        <f t="shared" si="1"/>
        <v> </v>
      </c>
      <c r="E87" s="11" t="str">
        <f t="shared" si="2"/>
        <v> </v>
      </c>
    </row>
    <row r="88" ht="15.75" customHeight="1">
      <c r="A88" s="11">
        <v>9270.0</v>
      </c>
      <c r="B88" s="11" t="s">
        <v>121</v>
      </c>
      <c r="C88" s="12">
        <v>17815.0</v>
      </c>
      <c r="D88" s="11" t="str">
        <f t="shared" si="1"/>
        <v> </v>
      </c>
      <c r="E88" s="11" t="str">
        <f t="shared" si="2"/>
        <v> </v>
      </c>
    </row>
    <row r="89" ht="15.75" customHeight="1">
      <c r="A89" s="11">
        <v>9271.0</v>
      </c>
      <c r="B89" s="11" t="s">
        <v>122</v>
      </c>
      <c r="C89" s="12">
        <v>24708.0</v>
      </c>
      <c r="D89" s="11" t="str">
        <f t="shared" si="1"/>
        <v> </v>
      </c>
      <c r="E89" s="11" t="str">
        <f t="shared" si="2"/>
        <v> </v>
      </c>
    </row>
    <row r="90" ht="15.75" customHeight="1">
      <c r="A90" s="11">
        <v>9272.0</v>
      </c>
      <c r="B90" s="11" t="s">
        <v>123</v>
      </c>
      <c r="C90" s="12">
        <v>28059.0</v>
      </c>
      <c r="D90" s="11" t="str">
        <f t="shared" si="1"/>
        <v> </v>
      </c>
      <c r="E90" s="11" t="str">
        <f t="shared" si="2"/>
        <v> </v>
      </c>
    </row>
    <row r="91" ht="15.75" customHeight="1">
      <c r="A91" s="11">
        <v>9273.0</v>
      </c>
      <c r="B91" s="11" t="s">
        <v>124</v>
      </c>
      <c r="C91" s="12">
        <v>32428.0</v>
      </c>
      <c r="D91" s="11" t="str">
        <f t="shared" si="1"/>
        <v> </v>
      </c>
      <c r="E91" s="11" t="str">
        <f t="shared" si="2"/>
        <v> </v>
      </c>
    </row>
    <row r="92" ht="15.75" customHeight="1">
      <c r="A92" s="11">
        <v>9277.0</v>
      </c>
      <c r="B92" s="11" t="s">
        <v>125</v>
      </c>
      <c r="C92" s="12">
        <v>24442.0</v>
      </c>
      <c r="D92" s="11" t="str">
        <f t="shared" si="1"/>
        <v> </v>
      </c>
      <c r="E92" s="11" t="str">
        <f t="shared" si="2"/>
        <v> </v>
      </c>
    </row>
    <row r="93" ht="15.75" customHeight="1">
      <c r="A93" s="11">
        <v>9278.0</v>
      </c>
      <c r="B93" s="11" t="s">
        <v>126</v>
      </c>
      <c r="C93" s="12">
        <v>24413.0</v>
      </c>
      <c r="D93" s="11" t="str">
        <f t="shared" si="1"/>
        <v> </v>
      </c>
      <c r="E93" s="11" t="str">
        <f t="shared" si="2"/>
        <v> </v>
      </c>
    </row>
    <row r="94" ht="15.75" customHeight="1">
      <c r="A94" s="11">
        <v>9279.0</v>
      </c>
      <c r="B94" s="11" t="s">
        <v>127</v>
      </c>
      <c r="C94" s="12">
        <v>25997.0</v>
      </c>
      <c r="D94" s="11" t="str">
        <f t="shared" si="1"/>
        <v> </v>
      </c>
      <c r="E94" s="11" t="str">
        <f t="shared" si="2"/>
        <v> </v>
      </c>
    </row>
    <row r="95" ht="15.75" customHeight="1">
      <c r="A95" s="11">
        <v>9283.0</v>
      </c>
      <c r="B95" s="11" t="s">
        <v>128</v>
      </c>
      <c r="C95" s="12">
        <v>20483.0</v>
      </c>
      <c r="D95" s="11" t="str">
        <f t="shared" si="1"/>
        <v> </v>
      </c>
      <c r="E95" s="11" t="str">
        <f t="shared" si="2"/>
        <v> </v>
      </c>
    </row>
    <row r="96" ht="15.75" customHeight="1">
      <c r="A96" s="11">
        <v>9284.0</v>
      </c>
      <c r="B96" s="11" t="s">
        <v>129</v>
      </c>
      <c r="C96" s="12">
        <v>12876.0</v>
      </c>
      <c r="D96" s="11" t="str">
        <f t="shared" si="1"/>
        <v> </v>
      </c>
      <c r="E96" s="11" t="str">
        <f t="shared" si="2"/>
        <v> </v>
      </c>
    </row>
    <row r="97" ht="15.75" customHeight="1">
      <c r="A97" s="11">
        <v>9286.0</v>
      </c>
      <c r="B97" s="11" t="s">
        <v>130</v>
      </c>
      <c r="C97" s="12">
        <v>14829.0</v>
      </c>
      <c r="D97" s="11" t="str">
        <f t="shared" si="1"/>
        <v> </v>
      </c>
      <c r="E97" s="11" t="str">
        <f t="shared" si="2"/>
        <v> </v>
      </c>
    </row>
    <row r="98" ht="15.75" customHeight="1">
      <c r="A98" s="11">
        <v>9292.0</v>
      </c>
      <c r="B98" s="11" t="s">
        <v>131</v>
      </c>
      <c r="C98" s="12">
        <v>27706.0</v>
      </c>
      <c r="D98" s="11" t="str">
        <f t="shared" si="1"/>
        <v> </v>
      </c>
      <c r="E98" s="11" t="str">
        <f t="shared" si="2"/>
        <v> </v>
      </c>
    </row>
    <row r="99" ht="15.75" customHeight="1">
      <c r="A99" s="11">
        <v>9300.0</v>
      </c>
      <c r="B99" s="11" t="s">
        <v>132</v>
      </c>
      <c r="C99" s="12">
        <v>32377.0</v>
      </c>
      <c r="D99" s="11" t="str">
        <f t="shared" si="1"/>
        <v> </v>
      </c>
      <c r="E99" s="11" t="str">
        <f t="shared" si="2"/>
        <v> </v>
      </c>
    </row>
    <row r="100" ht="15.75" customHeight="1">
      <c r="A100" s="11">
        <v>9302.0</v>
      </c>
      <c r="B100" s="11" t="s">
        <v>133</v>
      </c>
      <c r="C100" s="12">
        <v>19533.0</v>
      </c>
      <c r="D100" s="11" t="str">
        <f t="shared" si="1"/>
        <v> </v>
      </c>
      <c r="E100" s="11" t="str">
        <f t="shared" si="2"/>
        <v> </v>
      </c>
    </row>
    <row r="101" ht="15.75" customHeight="1">
      <c r="A101" s="11">
        <v>9303.0</v>
      </c>
      <c r="B101" s="11" t="s">
        <v>134</v>
      </c>
      <c r="C101" s="12">
        <v>21908.0</v>
      </c>
      <c r="D101" s="11" t="str">
        <f t="shared" si="1"/>
        <v> </v>
      </c>
      <c r="E101" s="11" t="str">
        <f t="shared" si="2"/>
        <v> </v>
      </c>
    </row>
    <row r="102" ht="15.75" customHeight="1">
      <c r="A102" s="11">
        <v>9308.0</v>
      </c>
      <c r="B102" s="11" t="s">
        <v>135</v>
      </c>
      <c r="C102" s="12">
        <v>23129.0</v>
      </c>
      <c r="D102" s="11" t="str">
        <f t="shared" si="1"/>
        <v> </v>
      </c>
      <c r="E102" s="11" t="str">
        <f t="shared" si="2"/>
        <v> </v>
      </c>
    </row>
    <row r="103" ht="15.75" customHeight="1">
      <c r="A103" s="11">
        <v>9309.0</v>
      </c>
      <c r="B103" s="11" t="s">
        <v>136</v>
      </c>
      <c r="C103" s="12">
        <v>16967.0</v>
      </c>
      <c r="D103" s="11" t="str">
        <f t="shared" si="1"/>
        <v> </v>
      </c>
      <c r="E103" s="11" t="str">
        <f t="shared" si="2"/>
        <v> </v>
      </c>
    </row>
    <row r="104" ht="15.75" customHeight="1">
      <c r="A104" s="11">
        <v>9337.0</v>
      </c>
      <c r="B104" s="11" t="s">
        <v>137</v>
      </c>
      <c r="C104" s="12">
        <v>17297.0</v>
      </c>
      <c r="D104" s="11" t="str">
        <f t="shared" si="1"/>
        <v> </v>
      </c>
      <c r="E104" s="11" t="str">
        <f t="shared" si="2"/>
        <v> </v>
      </c>
    </row>
    <row r="105" ht="15.75" customHeight="1">
      <c r="A105" s="11">
        <v>9339.0</v>
      </c>
      <c r="B105" s="11" t="s">
        <v>138</v>
      </c>
      <c r="C105" s="12">
        <v>19089.0</v>
      </c>
      <c r="D105" s="11" t="str">
        <f t="shared" si="1"/>
        <v> </v>
      </c>
      <c r="E105" s="11" t="str">
        <f t="shared" si="2"/>
        <v> </v>
      </c>
    </row>
    <row r="106" ht="15.75" customHeight="1">
      <c r="A106" s="11">
        <v>9353.0</v>
      </c>
      <c r="B106" s="11" t="s">
        <v>139</v>
      </c>
      <c r="C106" s="12">
        <v>11841.0</v>
      </c>
      <c r="D106" s="11" t="str">
        <f t="shared" si="1"/>
        <v> </v>
      </c>
      <c r="E106" s="11" t="str">
        <f t="shared" si="2"/>
        <v> </v>
      </c>
    </row>
    <row r="107" ht="15.75" customHeight="1">
      <c r="A107" s="11">
        <v>9357.0</v>
      </c>
      <c r="B107" s="11" t="s">
        <v>140</v>
      </c>
      <c r="C107" s="12">
        <v>25107.0</v>
      </c>
      <c r="D107" s="11" t="str">
        <f t="shared" si="1"/>
        <v> </v>
      </c>
      <c r="E107" s="11" t="str">
        <f t="shared" si="2"/>
        <v> </v>
      </c>
    </row>
    <row r="108" ht="15.75" customHeight="1">
      <c r="A108" s="11">
        <v>9359.0</v>
      </c>
      <c r="B108" s="11" t="s">
        <v>141</v>
      </c>
      <c r="C108" s="12">
        <v>20605.0</v>
      </c>
      <c r="D108" s="11" t="str">
        <f t="shared" si="1"/>
        <v> </v>
      </c>
      <c r="E108" s="11" t="str">
        <f t="shared" si="2"/>
        <v> </v>
      </c>
    </row>
    <row r="109" ht="15.75" customHeight="1">
      <c r="A109" s="11">
        <v>9361.0</v>
      </c>
      <c r="B109" s="11" t="s">
        <v>142</v>
      </c>
      <c r="C109" s="12">
        <v>28389.0</v>
      </c>
      <c r="D109" s="11" t="str">
        <f t="shared" si="1"/>
        <v> </v>
      </c>
      <c r="E109" s="11" t="str">
        <f t="shared" si="2"/>
        <v> </v>
      </c>
    </row>
    <row r="110" ht="15.75" customHeight="1">
      <c r="A110" s="11">
        <v>9362.0</v>
      </c>
      <c r="B110" s="11" t="s">
        <v>143</v>
      </c>
      <c r="C110" s="12">
        <v>12905.0</v>
      </c>
      <c r="D110" s="11" t="str">
        <f t="shared" si="1"/>
        <v> </v>
      </c>
      <c r="E110" s="11" t="str">
        <f t="shared" si="2"/>
        <v> </v>
      </c>
    </row>
    <row r="111" ht="15.75" customHeight="1">
      <c r="A111" s="11">
        <v>9373.0</v>
      </c>
      <c r="B111" s="11" t="s">
        <v>144</v>
      </c>
      <c r="C111" s="12">
        <v>27133.0</v>
      </c>
      <c r="D111" s="11" t="str">
        <f t="shared" si="1"/>
        <v> </v>
      </c>
      <c r="E111" s="11" t="str">
        <f t="shared" si="2"/>
        <v> </v>
      </c>
    </row>
    <row r="112" ht="15.75" customHeight="1">
      <c r="A112" s="11">
        <v>9374.0</v>
      </c>
      <c r="B112" s="11" t="s">
        <v>145</v>
      </c>
      <c r="C112" s="12">
        <v>27807.0</v>
      </c>
      <c r="D112" s="11" t="str">
        <f t="shared" si="1"/>
        <v> </v>
      </c>
      <c r="E112" s="11" t="str">
        <f t="shared" si="2"/>
        <v> </v>
      </c>
    </row>
    <row r="113" ht="15.75" customHeight="1">
      <c r="A113" s="11">
        <v>9376.0</v>
      </c>
      <c r="B113" s="11" t="s">
        <v>146</v>
      </c>
      <c r="C113" s="12">
        <v>18198.0</v>
      </c>
      <c r="D113" s="11" t="str">
        <f t="shared" si="1"/>
        <v> </v>
      </c>
      <c r="E113" s="11" t="str">
        <f t="shared" si="2"/>
        <v> </v>
      </c>
    </row>
    <row r="114" ht="15.75" customHeight="1">
      <c r="A114" s="11">
        <v>9377.0</v>
      </c>
      <c r="B114" s="11" t="s">
        <v>147</v>
      </c>
      <c r="C114" s="12">
        <v>26302.0</v>
      </c>
      <c r="D114" s="11" t="str">
        <f t="shared" si="1"/>
        <v> </v>
      </c>
      <c r="E114" s="11" t="str">
        <f t="shared" si="2"/>
        <v> </v>
      </c>
    </row>
    <row r="115" ht="15.75" customHeight="1">
      <c r="A115" s="11">
        <v>9378.0</v>
      </c>
      <c r="B115" s="11" t="s">
        <v>148</v>
      </c>
      <c r="C115" s="12">
        <v>15869.0</v>
      </c>
      <c r="D115" s="11" t="str">
        <f t="shared" si="1"/>
        <v> </v>
      </c>
      <c r="E115" s="11" t="str">
        <f t="shared" si="2"/>
        <v> </v>
      </c>
    </row>
    <row r="116" ht="15.75" customHeight="1">
      <c r="A116" s="11">
        <v>9390.0</v>
      </c>
      <c r="B116" s="11" t="s">
        <v>149</v>
      </c>
      <c r="C116" s="12">
        <v>14051.0</v>
      </c>
      <c r="D116" s="11" t="str">
        <f t="shared" si="1"/>
        <v> </v>
      </c>
      <c r="E116" s="11" t="str">
        <f t="shared" si="2"/>
        <v> </v>
      </c>
    </row>
    <row r="117" ht="15.75" customHeight="1">
      <c r="A117" s="11">
        <v>9391.0</v>
      </c>
      <c r="B117" s="11" t="s">
        <v>150</v>
      </c>
      <c r="C117" s="12">
        <v>34234.0</v>
      </c>
      <c r="D117" s="11" t="str">
        <f t="shared" si="1"/>
        <v> </v>
      </c>
      <c r="E117" s="11" t="str">
        <f t="shared" si="2"/>
        <v> </v>
      </c>
    </row>
    <row r="118" ht="15.75" customHeight="1">
      <c r="A118" s="11">
        <v>9397.0</v>
      </c>
      <c r="B118" s="11" t="s">
        <v>151</v>
      </c>
      <c r="C118" s="12">
        <v>19432.0</v>
      </c>
      <c r="D118" s="11" t="str">
        <f t="shared" si="1"/>
        <v> </v>
      </c>
      <c r="E118" s="11" t="str">
        <f t="shared" si="2"/>
        <v> </v>
      </c>
    </row>
    <row r="119" ht="15.75" customHeight="1">
      <c r="A119" s="11">
        <v>9405.0</v>
      </c>
      <c r="B119" s="11" t="s">
        <v>152</v>
      </c>
      <c r="C119" s="12">
        <v>23240.0</v>
      </c>
      <c r="D119" s="11" t="str">
        <f t="shared" si="1"/>
        <v> </v>
      </c>
      <c r="E119" s="11" t="str">
        <f t="shared" si="2"/>
        <v> </v>
      </c>
    </row>
    <row r="120" ht="15.75" customHeight="1">
      <c r="A120" s="11">
        <v>9407.0</v>
      </c>
      <c r="B120" s="11" t="s">
        <v>153</v>
      </c>
      <c r="C120" s="12">
        <v>20817.0</v>
      </c>
      <c r="D120" s="11" t="str">
        <f t="shared" si="1"/>
        <v> </v>
      </c>
      <c r="E120" s="11" t="str">
        <f t="shared" si="2"/>
        <v> </v>
      </c>
    </row>
    <row r="121" ht="15.75" customHeight="1">
      <c r="A121" s="11">
        <v>9410.0</v>
      </c>
      <c r="B121" s="11" t="s">
        <v>154</v>
      </c>
      <c r="C121" s="12">
        <v>17493.0</v>
      </c>
      <c r="D121" s="11" t="str">
        <f t="shared" si="1"/>
        <v> </v>
      </c>
      <c r="E121" s="11" t="str">
        <f t="shared" si="2"/>
        <v> </v>
      </c>
    </row>
    <row r="122" ht="15.75" customHeight="1">
      <c r="A122" s="11">
        <v>9411.0</v>
      </c>
      <c r="B122" s="11" t="s">
        <v>155</v>
      </c>
      <c r="C122" s="12">
        <v>21700.0</v>
      </c>
      <c r="D122" s="11" t="str">
        <f t="shared" si="1"/>
        <v> </v>
      </c>
      <c r="E122" s="11" t="str">
        <f t="shared" si="2"/>
        <v> </v>
      </c>
    </row>
    <row r="123" ht="15.75" customHeight="1">
      <c r="A123" s="11">
        <v>9416.0</v>
      </c>
      <c r="B123" s="11" t="s">
        <v>156</v>
      </c>
      <c r="C123" s="12">
        <v>30339.0</v>
      </c>
      <c r="D123" s="11" t="str">
        <f t="shared" si="1"/>
        <v> </v>
      </c>
      <c r="E123" s="11" t="str">
        <f t="shared" si="2"/>
        <v> </v>
      </c>
    </row>
    <row r="124" ht="15.75" customHeight="1">
      <c r="A124" s="11">
        <v>9418.0</v>
      </c>
      <c r="B124" s="11" t="s">
        <v>157</v>
      </c>
      <c r="C124" s="12">
        <v>26479.0</v>
      </c>
      <c r="D124" s="11" t="str">
        <f t="shared" si="1"/>
        <v> </v>
      </c>
      <c r="E124" s="11" t="str">
        <f t="shared" si="2"/>
        <v> </v>
      </c>
    </row>
    <row r="125" ht="15.75" customHeight="1">
      <c r="A125" s="11">
        <v>9419.0</v>
      </c>
      <c r="B125" s="11" t="s">
        <v>158</v>
      </c>
      <c r="C125" s="12">
        <v>20558.0</v>
      </c>
      <c r="D125" s="11" t="str">
        <f t="shared" si="1"/>
        <v>Repeat</v>
      </c>
      <c r="E125" s="11" t="str">
        <f t="shared" si="2"/>
        <v> </v>
      </c>
    </row>
    <row r="126" ht="15.75" customHeight="1">
      <c r="A126" s="11">
        <v>9420.0</v>
      </c>
      <c r="B126" s="11" t="s">
        <v>159</v>
      </c>
      <c r="C126" s="12">
        <v>19224.0</v>
      </c>
      <c r="D126" s="11" t="str">
        <f t="shared" si="1"/>
        <v> </v>
      </c>
      <c r="E126" s="11" t="str">
        <f t="shared" si="2"/>
        <v> </v>
      </c>
    </row>
    <row r="127" ht="15.75" customHeight="1">
      <c r="A127" s="11">
        <v>9421.0</v>
      </c>
      <c r="B127" s="11" t="s">
        <v>160</v>
      </c>
      <c r="C127" s="12">
        <v>13135.0</v>
      </c>
      <c r="D127" s="11" t="str">
        <f t="shared" si="1"/>
        <v> </v>
      </c>
      <c r="E127" s="11" t="str">
        <f t="shared" si="2"/>
        <v> </v>
      </c>
    </row>
    <row r="128" ht="15.75" customHeight="1">
      <c r="A128" s="11">
        <v>9422.0</v>
      </c>
      <c r="B128" s="11" t="s">
        <v>161</v>
      </c>
      <c r="C128" s="12">
        <v>14154.0</v>
      </c>
      <c r="D128" s="11" t="str">
        <f t="shared" si="1"/>
        <v> </v>
      </c>
      <c r="E128" s="11" t="str">
        <f t="shared" si="2"/>
        <v> </v>
      </c>
    </row>
    <row r="129" ht="15.75" customHeight="1">
      <c r="A129" s="11">
        <v>9426.0</v>
      </c>
      <c r="B129" s="11" t="s">
        <v>162</v>
      </c>
      <c r="C129" s="12">
        <v>19051.0</v>
      </c>
      <c r="D129" s="11" t="str">
        <f t="shared" si="1"/>
        <v> </v>
      </c>
      <c r="E129" s="11" t="str">
        <f t="shared" si="2"/>
        <v> </v>
      </c>
    </row>
    <row r="130" ht="15.75" customHeight="1">
      <c r="A130" s="11">
        <v>9428.0</v>
      </c>
      <c r="B130" s="11" t="s">
        <v>163</v>
      </c>
      <c r="C130" s="12">
        <v>19929.0</v>
      </c>
      <c r="D130" s="11" t="str">
        <f t="shared" si="1"/>
        <v> </v>
      </c>
      <c r="E130" s="11" t="str">
        <f t="shared" si="2"/>
        <v> </v>
      </c>
    </row>
    <row r="131" ht="15.75" customHeight="1">
      <c r="A131" s="11">
        <v>9431.0</v>
      </c>
      <c r="B131" s="11" t="s">
        <v>164</v>
      </c>
      <c r="C131" s="12">
        <v>17511.0</v>
      </c>
      <c r="D131" s="11" t="str">
        <f t="shared" si="1"/>
        <v> </v>
      </c>
      <c r="E131" s="11" t="str">
        <f t="shared" si="2"/>
        <v> </v>
      </c>
    </row>
    <row r="132" ht="15.75" customHeight="1">
      <c r="A132" s="11">
        <v>9433.0</v>
      </c>
      <c r="B132" s="11" t="s">
        <v>165</v>
      </c>
      <c r="C132" s="12">
        <v>20435.0</v>
      </c>
      <c r="D132" s="11" t="str">
        <f t="shared" si="1"/>
        <v> </v>
      </c>
      <c r="E132" s="11" t="str">
        <f t="shared" si="2"/>
        <v> </v>
      </c>
    </row>
    <row r="133" ht="15.75" customHeight="1">
      <c r="A133" s="11">
        <v>9436.0</v>
      </c>
      <c r="B133" s="11" t="s">
        <v>166</v>
      </c>
      <c r="C133" s="12">
        <v>16542.0</v>
      </c>
      <c r="D133" s="11" t="str">
        <f t="shared" si="1"/>
        <v> </v>
      </c>
      <c r="E133" s="11" t="str">
        <f t="shared" si="2"/>
        <v> </v>
      </c>
    </row>
    <row r="134" ht="15.75" customHeight="1">
      <c r="A134" s="11">
        <v>9437.0</v>
      </c>
      <c r="B134" s="11" t="s">
        <v>167</v>
      </c>
      <c r="C134" s="12">
        <v>26224.0</v>
      </c>
      <c r="D134" s="11" t="str">
        <f t="shared" si="1"/>
        <v> </v>
      </c>
      <c r="E134" s="11" t="str">
        <f t="shared" si="2"/>
        <v> </v>
      </c>
    </row>
    <row r="135" ht="15.75" customHeight="1">
      <c r="A135" s="11">
        <v>9448.0</v>
      </c>
      <c r="B135" s="11" t="s">
        <v>168</v>
      </c>
      <c r="C135" s="12">
        <v>18154.0</v>
      </c>
      <c r="D135" s="11" t="str">
        <f t="shared" si="1"/>
        <v> </v>
      </c>
      <c r="E135" s="11" t="str">
        <f t="shared" si="2"/>
        <v> </v>
      </c>
    </row>
    <row r="136" ht="15.75" customHeight="1">
      <c r="A136" s="11">
        <v>9457.0</v>
      </c>
      <c r="B136" s="11" t="s">
        <v>169</v>
      </c>
      <c r="C136" s="12">
        <v>18817.0</v>
      </c>
      <c r="D136" s="11" t="str">
        <f t="shared" si="1"/>
        <v> </v>
      </c>
      <c r="E136" s="11" t="str">
        <f t="shared" si="2"/>
        <v> </v>
      </c>
    </row>
    <row r="137" ht="15.75" customHeight="1">
      <c r="A137" s="11">
        <v>9462.0</v>
      </c>
      <c r="B137" s="11" t="s">
        <v>170</v>
      </c>
      <c r="C137" s="12">
        <v>28905.0</v>
      </c>
      <c r="D137" s="11" t="str">
        <f t="shared" si="1"/>
        <v> </v>
      </c>
      <c r="E137" s="11" t="str">
        <f t="shared" si="2"/>
        <v> </v>
      </c>
    </row>
    <row r="138" ht="15.75" customHeight="1">
      <c r="A138" s="11">
        <v>9463.0</v>
      </c>
      <c r="B138" s="11" t="s">
        <v>171</v>
      </c>
      <c r="C138" s="12">
        <v>25642.0</v>
      </c>
      <c r="D138" s="11" t="str">
        <f t="shared" si="1"/>
        <v> </v>
      </c>
      <c r="E138" s="11" t="str">
        <f t="shared" si="2"/>
        <v> </v>
      </c>
    </row>
    <row r="139" ht="15.75" customHeight="1">
      <c r="A139" s="11">
        <v>9466.0</v>
      </c>
      <c r="B139" s="11" t="s">
        <v>172</v>
      </c>
      <c r="C139" s="12">
        <v>14634.0</v>
      </c>
      <c r="D139" s="11" t="str">
        <f t="shared" si="1"/>
        <v> </v>
      </c>
      <c r="E139" s="11" t="str">
        <f t="shared" si="2"/>
        <v> </v>
      </c>
    </row>
    <row r="140" ht="15.75" customHeight="1">
      <c r="A140" s="11">
        <v>9470.0</v>
      </c>
      <c r="B140" s="11" t="s">
        <v>173</v>
      </c>
      <c r="C140" s="12">
        <v>14237.0</v>
      </c>
      <c r="D140" s="11" t="str">
        <f t="shared" si="1"/>
        <v> </v>
      </c>
      <c r="E140" s="11" t="str">
        <f t="shared" si="2"/>
        <v> </v>
      </c>
    </row>
    <row r="141" ht="15.75" customHeight="1">
      <c r="A141" s="11">
        <v>9471.0</v>
      </c>
      <c r="B141" s="11" t="s">
        <v>174</v>
      </c>
      <c r="C141" s="12">
        <v>23973.0</v>
      </c>
      <c r="D141" s="11" t="str">
        <f t="shared" si="1"/>
        <v> </v>
      </c>
      <c r="E141" s="11" t="str">
        <f t="shared" si="2"/>
        <v> </v>
      </c>
    </row>
    <row r="142" ht="15.75" customHeight="1">
      <c r="A142" s="11">
        <v>9473.0</v>
      </c>
      <c r="B142" s="11" t="s">
        <v>175</v>
      </c>
      <c r="C142" s="12">
        <v>17984.0</v>
      </c>
      <c r="D142" s="11" t="str">
        <f t="shared" si="1"/>
        <v> </v>
      </c>
      <c r="E142" s="11" t="str">
        <f t="shared" si="2"/>
        <v> </v>
      </c>
    </row>
    <row r="143" ht="15.75" customHeight="1">
      <c r="A143" s="11">
        <v>9474.0</v>
      </c>
      <c r="B143" s="11" t="s">
        <v>176</v>
      </c>
      <c r="C143" s="12">
        <v>15778.0</v>
      </c>
      <c r="D143" s="11" t="str">
        <f t="shared" si="1"/>
        <v> </v>
      </c>
      <c r="E143" s="11" t="str">
        <f t="shared" si="2"/>
        <v> </v>
      </c>
    </row>
    <row r="144" ht="15.75" customHeight="1">
      <c r="A144" s="11">
        <v>9479.0</v>
      </c>
      <c r="B144" s="11" t="s">
        <v>177</v>
      </c>
      <c r="C144" s="12">
        <v>19225.0</v>
      </c>
      <c r="D144" s="11" t="str">
        <f t="shared" si="1"/>
        <v> </v>
      </c>
      <c r="E144" s="11" t="str">
        <f t="shared" si="2"/>
        <v> </v>
      </c>
    </row>
    <row r="145" ht="15.75" customHeight="1">
      <c r="A145" s="11">
        <v>9482.0</v>
      </c>
      <c r="B145" s="11" t="s">
        <v>178</v>
      </c>
      <c r="C145" s="12">
        <v>17175.0</v>
      </c>
      <c r="D145" s="11" t="str">
        <f t="shared" si="1"/>
        <v> </v>
      </c>
      <c r="E145" s="11" t="str">
        <f t="shared" si="2"/>
        <v> </v>
      </c>
    </row>
    <row r="146" ht="15.75" customHeight="1">
      <c r="A146" s="11">
        <v>9483.0</v>
      </c>
      <c r="B146" s="11" t="s">
        <v>179</v>
      </c>
      <c r="C146" s="12">
        <v>24454.0</v>
      </c>
      <c r="D146" s="11" t="str">
        <f t="shared" si="1"/>
        <v> </v>
      </c>
      <c r="E146" s="11" t="str">
        <f t="shared" si="2"/>
        <v> </v>
      </c>
    </row>
    <row r="147" ht="15.75" customHeight="1">
      <c r="A147" s="11">
        <v>9485.0</v>
      </c>
      <c r="B147" s="11" t="s">
        <v>180</v>
      </c>
      <c r="C147" s="12">
        <v>18889.0</v>
      </c>
      <c r="D147" s="11" t="str">
        <f t="shared" si="1"/>
        <v> </v>
      </c>
      <c r="E147" s="11" t="str">
        <f t="shared" si="2"/>
        <v> </v>
      </c>
    </row>
    <row r="148" ht="15.75" customHeight="1">
      <c r="A148" s="11">
        <v>9486.0</v>
      </c>
      <c r="B148" s="11" t="s">
        <v>181</v>
      </c>
      <c r="C148" s="12">
        <v>24344.0</v>
      </c>
      <c r="D148" s="11" t="str">
        <f t="shared" si="1"/>
        <v> </v>
      </c>
      <c r="E148" s="11" t="str">
        <f t="shared" si="2"/>
        <v> </v>
      </c>
    </row>
    <row r="149" ht="15.75" customHeight="1">
      <c r="A149" s="11">
        <v>9488.0</v>
      </c>
      <c r="B149" s="11" t="s">
        <v>182</v>
      </c>
      <c r="C149" s="12">
        <v>21316.0</v>
      </c>
      <c r="D149" s="11" t="str">
        <f t="shared" si="1"/>
        <v> </v>
      </c>
      <c r="E149" s="11" t="str">
        <f t="shared" si="2"/>
        <v> </v>
      </c>
    </row>
    <row r="150" ht="15.75" customHeight="1">
      <c r="A150" s="11">
        <v>9492.0</v>
      </c>
      <c r="B150" s="11" t="s">
        <v>183</v>
      </c>
      <c r="C150" s="12">
        <v>16812.0</v>
      </c>
      <c r="D150" s="11" t="str">
        <f t="shared" si="1"/>
        <v> </v>
      </c>
      <c r="E150" s="11" t="str">
        <f t="shared" si="2"/>
        <v> </v>
      </c>
    </row>
    <row r="151" ht="15.75" customHeight="1">
      <c r="A151" s="11">
        <v>9493.0</v>
      </c>
      <c r="B151" s="11" t="s">
        <v>184</v>
      </c>
      <c r="C151" s="12">
        <v>20636.0</v>
      </c>
      <c r="D151" s="11" t="str">
        <f t="shared" si="1"/>
        <v> </v>
      </c>
      <c r="E151" s="11" t="str">
        <f t="shared" si="2"/>
        <v> </v>
      </c>
    </row>
    <row r="152" ht="15.75" customHeight="1">
      <c r="A152" s="11">
        <v>9495.0</v>
      </c>
      <c r="B152" s="11" t="s">
        <v>185</v>
      </c>
      <c r="C152" s="12">
        <v>27984.0</v>
      </c>
      <c r="D152" s="11" t="str">
        <f t="shared" si="1"/>
        <v> </v>
      </c>
      <c r="E152" s="11" t="str">
        <f t="shared" si="2"/>
        <v> </v>
      </c>
    </row>
    <row r="153" ht="15.75" customHeight="1">
      <c r="A153" s="11">
        <v>9497.0</v>
      </c>
      <c r="B153" s="11" t="s">
        <v>186</v>
      </c>
      <c r="C153" s="12">
        <v>19414.0</v>
      </c>
      <c r="D153" s="11" t="str">
        <f t="shared" si="1"/>
        <v> </v>
      </c>
      <c r="E153" s="11" t="str">
        <f t="shared" si="2"/>
        <v> </v>
      </c>
    </row>
    <row r="154" ht="15.75" customHeight="1">
      <c r="A154" s="11">
        <v>9500.0</v>
      </c>
      <c r="B154" s="11" t="s">
        <v>187</v>
      </c>
      <c r="C154" s="12">
        <v>34136.0</v>
      </c>
      <c r="D154" s="11" t="str">
        <f t="shared" si="1"/>
        <v> </v>
      </c>
      <c r="E154" s="11" t="str">
        <f t="shared" si="2"/>
        <v> </v>
      </c>
    </row>
    <row r="155" ht="15.75" customHeight="1">
      <c r="A155" s="11">
        <v>9504.0</v>
      </c>
      <c r="B155" s="11" t="s">
        <v>188</v>
      </c>
      <c r="C155" s="12">
        <v>30448.0</v>
      </c>
      <c r="D155" s="11" t="str">
        <f t="shared" si="1"/>
        <v> </v>
      </c>
      <c r="E155" s="11" t="str">
        <f t="shared" si="2"/>
        <v> </v>
      </c>
    </row>
    <row r="156" ht="15.75" customHeight="1">
      <c r="A156" s="11">
        <v>9506.0</v>
      </c>
      <c r="B156" s="11" t="s">
        <v>189</v>
      </c>
      <c r="C156" s="12">
        <v>31808.0</v>
      </c>
      <c r="D156" s="11" t="str">
        <f t="shared" si="1"/>
        <v>Repeat</v>
      </c>
      <c r="E156" s="11" t="str">
        <f t="shared" si="2"/>
        <v> </v>
      </c>
    </row>
    <row r="157" ht="15.75" customHeight="1">
      <c r="A157" s="11">
        <v>9507.0</v>
      </c>
      <c r="B157" s="11" t="s">
        <v>190</v>
      </c>
      <c r="C157" s="12">
        <v>20398.0</v>
      </c>
      <c r="D157" s="11" t="str">
        <f t="shared" si="1"/>
        <v> </v>
      </c>
      <c r="E157" s="11" t="str">
        <f t="shared" si="2"/>
        <v> </v>
      </c>
    </row>
    <row r="158" ht="15.75" customHeight="1">
      <c r="A158" s="11">
        <v>9508.0</v>
      </c>
      <c r="B158" s="11" t="s">
        <v>191</v>
      </c>
      <c r="C158" s="12">
        <v>28138.0</v>
      </c>
      <c r="D158" s="11" t="str">
        <f t="shared" si="1"/>
        <v> </v>
      </c>
      <c r="E158" s="11" t="str">
        <f t="shared" si="2"/>
        <v> </v>
      </c>
    </row>
    <row r="159" ht="15.75" customHeight="1">
      <c r="A159" s="11">
        <v>9515.0</v>
      </c>
      <c r="B159" s="11" t="s">
        <v>192</v>
      </c>
      <c r="C159" s="12">
        <v>24752.0</v>
      </c>
      <c r="D159" s="11" t="str">
        <f t="shared" si="1"/>
        <v> </v>
      </c>
      <c r="E159" s="11" t="str">
        <f t="shared" si="2"/>
        <v> </v>
      </c>
    </row>
    <row r="160" ht="15.75" customHeight="1">
      <c r="A160" s="11">
        <v>9516.0</v>
      </c>
      <c r="B160" s="11" t="s">
        <v>193</v>
      </c>
      <c r="C160" s="12">
        <v>14662.0</v>
      </c>
      <c r="D160" s="11" t="str">
        <f t="shared" si="1"/>
        <v> </v>
      </c>
      <c r="E160" s="11" t="str">
        <f t="shared" si="2"/>
        <v> </v>
      </c>
    </row>
    <row r="161" ht="15.75" customHeight="1">
      <c r="A161" s="11">
        <v>9525.0</v>
      </c>
      <c r="B161" s="11" t="s">
        <v>194</v>
      </c>
      <c r="C161" s="12">
        <v>25322.0</v>
      </c>
      <c r="D161" s="11" t="str">
        <f t="shared" si="1"/>
        <v> </v>
      </c>
      <c r="E161" s="11" t="str">
        <f t="shared" si="2"/>
        <v> </v>
      </c>
    </row>
    <row r="162" ht="15.75" customHeight="1">
      <c r="A162" s="11">
        <v>9527.0</v>
      </c>
      <c r="B162" s="11" t="s">
        <v>195</v>
      </c>
      <c r="C162" s="12">
        <v>18490.0</v>
      </c>
      <c r="D162" s="11" t="str">
        <f t="shared" si="1"/>
        <v> </v>
      </c>
      <c r="E162" s="11" t="str">
        <f t="shared" si="2"/>
        <v> </v>
      </c>
    </row>
    <row r="163" ht="15.75" customHeight="1">
      <c r="A163" s="11">
        <v>9529.0</v>
      </c>
      <c r="B163" s="11" t="s">
        <v>196</v>
      </c>
      <c r="C163" s="12">
        <v>28740.0</v>
      </c>
      <c r="D163" s="11" t="str">
        <f t="shared" si="1"/>
        <v> </v>
      </c>
      <c r="E163" s="11" t="str">
        <f t="shared" si="2"/>
        <v> </v>
      </c>
    </row>
    <row r="164" ht="15.75" customHeight="1">
      <c r="A164" s="11">
        <v>9530.0</v>
      </c>
      <c r="B164" s="11" t="s">
        <v>197</v>
      </c>
      <c r="C164" s="12">
        <v>19208.0</v>
      </c>
      <c r="D164" s="11" t="str">
        <f t="shared" si="1"/>
        <v> </v>
      </c>
      <c r="E164" s="11" t="str">
        <f t="shared" si="2"/>
        <v> </v>
      </c>
    </row>
    <row r="165" ht="15.75" customHeight="1">
      <c r="A165" s="11">
        <v>9531.0</v>
      </c>
      <c r="B165" s="11" t="s">
        <v>198</v>
      </c>
      <c r="C165" s="12">
        <v>17451.0</v>
      </c>
      <c r="D165" s="11" t="str">
        <f t="shared" si="1"/>
        <v> </v>
      </c>
      <c r="E165" s="11" t="str">
        <f t="shared" si="2"/>
        <v> </v>
      </c>
    </row>
    <row r="166" ht="15.75" customHeight="1">
      <c r="A166" s="11">
        <v>9534.0</v>
      </c>
      <c r="B166" s="11" t="s">
        <v>199</v>
      </c>
      <c r="C166" s="12">
        <v>29839.0</v>
      </c>
      <c r="D166" s="11" t="str">
        <f t="shared" si="1"/>
        <v> </v>
      </c>
      <c r="E166" s="11" t="str">
        <f t="shared" si="2"/>
        <v> </v>
      </c>
    </row>
    <row r="167" ht="15.75" customHeight="1">
      <c r="A167" s="11">
        <v>9536.0</v>
      </c>
      <c r="B167" s="11" t="s">
        <v>200</v>
      </c>
      <c r="C167" s="12">
        <v>21649.0</v>
      </c>
      <c r="D167" s="11" t="str">
        <f t="shared" si="1"/>
        <v> </v>
      </c>
      <c r="E167" s="11" t="str">
        <f t="shared" si="2"/>
        <v> </v>
      </c>
    </row>
    <row r="168" ht="15.75" customHeight="1">
      <c r="A168" s="11">
        <v>9538.0</v>
      </c>
      <c r="B168" s="11" t="s">
        <v>201</v>
      </c>
      <c r="C168" s="12">
        <v>19933.0</v>
      </c>
      <c r="D168" s="11" t="str">
        <f t="shared" si="1"/>
        <v> </v>
      </c>
      <c r="E168" s="11" t="str">
        <f t="shared" si="2"/>
        <v> </v>
      </c>
    </row>
    <row r="169" ht="15.75" customHeight="1">
      <c r="A169" s="11">
        <v>9539.0</v>
      </c>
      <c r="B169" s="11" t="s">
        <v>202</v>
      </c>
      <c r="C169" s="12">
        <v>16721.0</v>
      </c>
      <c r="D169" s="11" t="str">
        <f t="shared" si="1"/>
        <v> </v>
      </c>
      <c r="E169" s="11" t="str">
        <f t="shared" si="2"/>
        <v> </v>
      </c>
    </row>
    <row r="170" ht="15.75" customHeight="1">
      <c r="A170" s="11">
        <v>9540.0</v>
      </c>
      <c r="B170" s="11" t="s">
        <v>203</v>
      </c>
      <c r="C170" s="12">
        <v>31846.0</v>
      </c>
      <c r="D170" s="11" t="str">
        <f t="shared" si="1"/>
        <v> </v>
      </c>
      <c r="E170" s="11" t="str">
        <f t="shared" si="2"/>
        <v> </v>
      </c>
    </row>
    <row r="171" ht="15.75" customHeight="1">
      <c r="A171" s="11">
        <v>9544.0</v>
      </c>
      <c r="B171" s="11" t="s">
        <v>204</v>
      </c>
      <c r="C171" s="12">
        <v>18713.0</v>
      </c>
      <c r="D171" s="11" t="str">
        <f t="shared" si="1"/>
        <v>Repeat</v>
      </c>
      <c r="E171" s="11" t="str">
        <f t="shared" si="2"/>
        <v> </v>
      </c>
    </row>
    <row r="172" ht="15.75" customHeight="1">
      <c r="A172" s="11">
        <v>9546.0</v>
      </c>
      <c r="B172" s="11" t="s">
        <v>205</v>
      </c>
      <c r="C172" s="12">
        <v>22915.0</v>
      </c>
      <c r="D172" s="11" t="str">
        <f t="shared" si="1"/>
        <v> </v>
      </c>
      <c r="E172" s="11" t="str">
        <f t="shared" si="2"/>
        <v> </v>
      </c>
    </row>
    <row r="173" ht="15.75" customHeight="1">
      <c r="A173" s="11">
        <v>9548.0</v>
      </c>
      <c r="B173" s="11" t="s">
        <v>206</v>
      </c>
      <c r="C173" s="12">
        <v>20139.0</v>
      </c>
      <c r="D173" s="11" t="str">
        <f t="shared" si="1"/>
        <v> </v>
      </c>
      <c r="E173" s="11" t="str">
        <f t="shared" si="2"/>
        <v> </v>
      </c>
    </row>
    <row r="174" ht="15.75" customHeight="1">
      <c r="A174" s="11">
        <v>9551.0</v>
      </c>
      <c r="B174" s="11" t="s">
        <v>207</v>
      </c>
      <c r="C174" s="12">
        <v>29122.0</v>
      </c>
      <c r="D174" s="11" t="str">
        <f t="shared" si="1"/>
        <v> </v>
      </c>
      <c r="E174" s="11" t="str">
        <f t="shared" si="2"/>
        <v> </v>
      </c>
    </row>
    <row r="175" ht="15.75" customHeight="1">
      <c r="A175" s="11">
        <v>9552.0</v>
      </c>
      <c r="B175" s="11" t="s">
        <v>208</v>
      </c>
      <c r="C175" s="12">
        <v>25547.0</v>
      </c>
      <c r="D175" s="11" t="str">
        <f t="shared" si="1"/>
        <v> </v>
      </c>
      <c r="E175" s="11" t="str">
        <f t="shared" si="2"/>
        <v> </v>
      </c>
    </row>
    <row r="176" ht="15.75" customHeight="1">
      <c r="A176" s="11">
        <v>9553.0</v>
      </c>
      <c r="B176" s="11" t="s">
        <v>209</v>
      </c>
      <c r="C176" s="12">
        <v>27612.0</v>
      </c>
      <c r="D176" s="11" t="str">
        <f t="shared" si="1"/>
        <v> </v>
      </c>
      <c r="E176" s="11" t="str">
        <f t="shared" si="2"/>
        <v> </v>
      </c>
    </row>
    <row r="177" ht="15.75" customHeight="1">
      <c r="A177" s="11">
        <v>9555.0</v>
      </c>
      <c r="B177" s="11" t="s">
        <v>210</v>
      </c>
      <c r="C177" s="12">
        <v>17568.0</v>
      </c>
      <c r="D177" s="11" t="str">
        <f t="shared" si="1"/>
        <v> </v>
      </c>
      <c r="E177" s="11" t="str">
        <f t="shared" si="2"/>
        <v> </v>
      </c>
    </row>
    <row r="178" ht="15.75" customHeight="1">
      <c r="A178" s="11">
        <v>9558.0</v>
      </c>
      <c r="B178" s="11" t="s">
        <v>211</v>
      </c>
      <c r="C178" s="12">
        <v>15593.0</v>
      </c>
      <c r="D178" s="11" t="str">
        <f t="shared" si="1"/>
        <v> </v>
      </c>
      <c r="E178" s="11" t="str">
        <f t="shared" si="2"/>
        <v> </v>
      </c>
    </row>
    <row r="179" ht="15.75" customHeight="1">
      <c r="A179" s="11">
        <v>9559.0</v>
      </c>
      <c r="B179" s="11" t="s">
        <v>212</v>
      </c>
      <c r="C179" s="12">
        <v>23028.0</v>
      </c>
      <c r="D179" s="11" t="str">
        <f t="shared" si="1"/>
        <v> </v>
      </c>
      <c r="E179" s="11" t="str">
        <f t="shared" si="2"/>
        <v> </v>
      </c>
    </row>
    <row r="180" ht="15.75" customHeight="1">
      <c r="A180" s="11">
        <v>9566.0</v>
      </c>
      <c r="B180" s="11" t="s">
        <v>213</v>
      </c>
      <c r="C180" s="12">
        <v>15750.0</v>
      </c>
      <c r="D180" s="11" t="str">
        <f t="shared" si="1"/>
        <v> </v>
      </c>
      <c r="E180" s="11" t="str">
        <f t="shared" si="2"/>
        <v> </v>
      </c>
    </row>
    <row r="181" ht="15.75" customHeight="1">
      <c r="A181" s="11">
        <v>9568.0</v>
      </c>
      <c r="B181" s="11" t="s">
        <v>214</v>
      </c>
      <c r="C181" s="12">
        <v>18943.0</v>
      </c>
      <c r="D181" s="11" t="str">
        <f t="shared" si="1"/>
        <v> </v>
      </c>
      <c r="E181" s="11" t="str">
        <f t="shared" si="2"/>
        <v> </v>
      </c>
    </row>
    <row r="182" ht="15.75" customHeight="1">
      <c r="A182" s="11">
        <v>9569.0</v>
      </c>
      <c r="B182" s="11" t="s">
        <v>215</v>
      </c>
      <c r="C182" s="12">
        <v>16181.0</v>
      </c>
      <c r="D182" s="11" t="str">
        <f t="shared" si="1"/>
        <v>Repeat</v>
      </c>
      <c r="E182" s="11" t="str">
        <f t="shared" si="2"/>
        <v> </v>
      </c>
    </row>
    <row r="183" ht="15.75" customHeight="1">
      <c r="A183" s="11">
        <v>9574.0</v>
      </c>
      <c r="B183" s="11" t="s">
        <v>216</v>
      </c>
      <c r="C183" s="12">
        <v>22789.0</v>
      </c>
      <c r="D183" s="11" t="str">
        <f t="shared" si="1"/>
        <v> </v>
      </c>
      <c r="E183" s="11" t="str">
        <f t="shared" si="2"/>
        <v> </v>
      </c>
    </row>
    <row r="184" ht="15.75" customHeight="1">
      <c r="A184" s="11">
        <v>9576.0</v>
      </c>
      <c r="B184" s="11" t="s">
        <v>217</v>
      </c>
      <c r="C184" s="12">
        <v>18646.0</v>
      </c>
      <c r="D184" s="11" t="str">
        <f t="shared" si="1"/>
        <v>Repeat</v>
      </c>
      <c r="E184" s="11" t="str">
        <f t="shared" si="2"/>
        <v> </v>
      </c>
    </row>
    <row r="185" ht="15.75" customHeight="1">
      <c r="A185" s="11">
        <v>9581.0</v>
      </c>
      <c r="B185" s="11" t="s">
        <v>218</v>
      </c>
      <c r="C185" s="12">
        <v>17827.0</v>
      </c>
      <c r="D185" s="11" t="str">
        <f t="shared" si="1"/>
        <v> </v>
      </c>
      <c r="E185" s="11" t="str">
        <f t="shared" si="2"/>
        <v> </v>
      </c>
    </row>
    <row r="186" ht="15.75" customHeight="1">
      <c r="A186" s="11">
        <v>9582.0</v>
      </c>
      <c r="B186" s="11" t="s">
        <v>219</v>
      </c>
      <c r="C186" s="12">
        <v>21147.0</v>
      </c>
      <c r="D186" s="11" t="str">
        <f t="shared" si="1"/>
        <v> </v>
      </c>
      <c r="E186" s="11" t="str">
        <f t="shared" si="2"/>
        <v> </v>
      </c>
    </row>
    <row r="187" ht="15.75" customHeight="1">
      <c r="A187" s="11">
        <v>9583.0</v>
      </c>
      <c r="B187" s="11" t="s">
        <v>220</v>
      </c>
      <c r="C187" s="12">
        <v>18782.0</v>
      </c>
      <c r="D187" s="11" t="str">
        <f t="shared" si="1"/>
        <v> </v>
      </c>
      <c r="E187" s="11" t="str">
        <f t="shared" si="2"/>
        <v> </v>
      </c>
    </row>
    <row r="188" ht="15.75" customHeight="1">
      <c r="A188" s="11">
        <v>9586.0</v>
      </c>
      <c r="B188" s="11" t="s">
        <v>221</v>
      </c>
      <c r="C188" s="12">
        <v>30147.0</v>
      </c>
      <c r="D188" s="11" t="str">
        <f t="shared" si="1"/>
        <v> </v>
      </c>
      <c r="E188" s="11" t="str">
        <f t="shared" si="2"/>
        <v> </v>
      </c>
    </row>
    <row r="189" ht="15.75" customHeight="1">
      <c r="A189" s="11">
        <v>9587.0</v>
      </c>
      <c r="B189" s="11" t="s">
        <v>222</v>
      </c>
      <c r="C189" s="12">
        <v>26896.0</v>
      </c>
      <c r="D189" s="11" t="str">
        <f t="shared" si="1"/>
        <v> </v>
      </c>
      <c r="E189" s="11" t="str">
        <f t="shared" si="2"/>
        <v> </v>
      </c>
    </row>
    <row r="190" ht="15.75" customHeight="1">
      <c r="A190" s="11">
        <v>9588.0</v>
      </c>
      <c r="B190" s="11" t="s">
        <v>223</v>
      </c>
      <c r="C190" s="12">
        <v>25522.0</v>
      </c>
      <c r="D190" s="11" t="str">
        <f t="shared" si="1"/>
        <v> </v>
      </c>
      <c r="E190" s="11" t="str">
        <f t="shared" si="2"/>
        <v> </v>
      </c>
    </row>
    <row r="191" ht="15.75" customHeight="1">
      <c r="A191" s="11">
        <v>9593.0</v>
      </c>
      <c r="B191" s="11" t="s">
        <v>224</v>
      </c>
      <c r="C191" s="12">
        <v>23217.0</v>
      </c>
      <c r="D191" s="11" t="str">
        <f t="shared" si="1"/>
        <v> </v>
      </c>
      <c r="E191" s="11" t="str">
        <f t="shared" si="2"/>
        <v> </v>
      </c>
    </row>
    <row r="192" ht="15.75" customHeight="1">
      <c r="A192" s="11">
        <v>9597.0</v>
      </c>
      <c r="B192" s="11" t="s">
        <v>225</v>
      </c>
      <c r="C192" s="12">
        <v>27446.0</v>
      </c>
      <c r="D192" s="11" t="str">
        <f t="shared" si="1"/>
        <v> </v>
      </c>
      <c r="E192" s="11" t="str">
        <f t="shared" si="2"/>
        <v> </v>
      </c>
    </row>
    <row r="193" ht="15.75" customHeight="1">
      <c r="A193" s="11">
        <v>9598.0</v>
      </c>
      <c r="B193" s="11" t="s">
        <v>226</v>
      </c>
      <c r="C193" s="12">
        <v>28579.0</v>
      </c>
      <c r="D193" s="11" t="str">
        <f t="shared" si="1"/>
        <v> </v>
      </c>
      <c r="E193" s="11" t="str">
        <f t="shared" si="2"/>
        <v> </v>
      </c>
    </row>
    <row r="194" ht="15.75" customHeight="1">
      <c r="A194" s="11">
        <v>9600.0</v>
      </c>
      <c r="B194" s="11" t="s">
        <v>227</v>
      </c>
      <c r="C194" s="12">
        <v>17409.0</v>
      </c>
      <c r="D194" s="11" t="str">
        <f t="shared" si="1"/>
        <v> </v>
      </c>
      <c r="E194" s="11" t="str">
        <f t="shared" si="2"/>
        <v> </v>
      </c>
    </row>
    <row r="195" ht="15.75" customHeight="1">
      <c r="A195" s="11">
        <v>9601.0</v>
      </c>
      <c r="B195" s="11" t="s">
        <v>228</v>
      </c>
      <c r="C195" s="12">
        <v>26335.0</v>
      </c>
      <c r="D195" s="11" t="str">
        <f t="shared" si="1"/>
        <v>Repeat</v>
      </c>
      <c r="E195" s="11" t="str">
        <f t="shared" si="2"/>
        <v> </v>
      </c>
    </row>
    <row r="196" ht="15.75" customHeight="1">
      <c r="A196" s="11">
        <v>9608.0</v>
      </c>
      <c r="B196" s="11" t="s">
        <v>229</v>
      </c>
      <c r="C196" s="12">
        <v>21736.0</v>
      </c>
      <c r="D196" s="11" t="str">
        <f t="shared" si="1"/>
        <v> </v>
      </c>
      <c r="E196" s="11" t="str">
        <f t="shared" si="2"/>
        <v> </v>
      </c>
    </row>
    <row r="197" ht="15.75" customHeight="1">
      <c r="A197" s="11">
        <v>9611.0</v>
      </c>
      <c r="B197" s="11" t="s">
        <v>230</v>
      </c>
      <c r="C197" s="12">
        <v>19130.0</v>
      </c>
      <c r="D197" s="11" t="str">
        <f t="shared" si="1"/>
        <v> </v>
      </c>
      <c r="E197" s="11" t="str">
        <f t="shared" si="2"/>
        <v> </v>
      </c>
    </row>
    <row r="198" ht="15.75" customHeight="1">
      <c r="A198" s="11">
        <v>9613.0</v>
      </c>
      <c r="B198" s="11" t="s">
        <v>231</v>
      </c>
      <c r="C198" s="12">
        <v>30187.0</v>
      </c>
      <c r="D198" s="11" t="str">
        <f t="shared" si="1"/>
        <v> </v>
      </c>
      <c r="E198" s="11" t="str">
        <f t="shared" si="2"/>
        <v> </v>
      </c>
    </row>
    <row r="199" ht="15.75" customHeight="1">
      <c r="A199" s="11">
        <v>9615.0</v>
      </c>
      <c r="B199" s="11" t="s">
        <v>232</v>
      </c>
      <c r="C199" s="12">
        <v>16478.0</v>
      </c>
      <c r="D199" s="11" t="str">
        <f t="shared" si="1"/>
        <v> </v>
      </c>
      <c r="E199" s="11" t="str">
        <f t="shared" si="2"/>
        <v> </v>
      </c>
    </row>
    <row r="200" ht="15.75" customHeight="1">
      <c r="A200" s="11">
        <v>9616.0</v>
      </c>
      <c r="B200" s="11" t="s">
        <v>233</v>
      </c>
      <c r="C200" s="12">
        <v>19613.0</v>
      </c>
      <c r="D200" s="11" t="str">
        <f t="shared" si="1"/>
        <v> </v>
      </c>
      <c r="E200" s="11" t="str">
        <f t="shared" si="2"/>
        <v> </v>
      </c>
    </row>
    <row r="201" ht="15.75" customHeight="1">
      <c r="A201" s="11">
        <v>9623.0</v>
      </c>
      <c r="B201" s="11" t="s">
        <v>234</v>
      </c>
      <c r="C201" s="12">
        <v>24448.0</v>
      </c>
      <c r="D201" s="11" t="str">
        <f t="shared" si="1"/>
        <v>Repeat</v>
      </c>
      <c r="E201" s="11" t="str">
        <f t="shared" si="2"/>
        <v> </v>
      </c>
    </row>
    <row r="202" ht="15.75" customHeight="1">
      <c r="A202" s="11">
        <v>9624.0</v>
      </c>
      <c r="B202" s="11" t="s">
        <v>235</v>
      </c>
      <c r="C202" s="12">
        <v>15243.0</v>
      </c>
      <c r="D202" s="11" t="str">
        <f t="shared" si="1"/>
        <v> </v>
      </c>
      <c r="E202" s="11" t="str">
        <f t="shared" si="2"/>
        <v> </v>
      </c>
    </row>
    <row r="203" ht="15.75" customHeight="1">
      <c r="A203" s="11">
        <v>9625.0</v>
      </c>
      <c r="B203" s="11" t="s">
        <v>236</v>
      </c>
      <c r="C203" s="12">
        <v>33683.0</v>
      </c>
      <c r="D203" s="11" t="str">
        <f t="shared" si="1"/>
        <v> </v>
      </c>
      <c r="E203" s="11" t="str">
        <f t="shared" si="2"/>
        <v> </v>
      </c>
    </row>
    <row r="204" ht="15.75" customHeight="1">
      <c r="A204" s="11">
        <v>9628.0</v>
      </c>
      <c r="B204" s="11" t="s">
        <v>237</v>
      </c>
      <c r="C204" s="12">
        <v>19679.0</v>
      </c>
      <c r="D204" s="11" t="str">
        <f t="shared" si="1"/>
        <v> </v>
      </c>
      <c r="E204" s="11" t="str">
        <f t="shared" si="2"/>
        <v> </v>
      </c>
    </row>
    <row r="205" ht="15.75" customHeight="1">
      <c r="A205" s="11">
        <v>9630.0</v>
      </c>
      <c r="B205" s="11" t="s">
        <v>238</v>
      </c>
      <c r="C205" s="12">
        <v>26628.0</v>
      </c>
      <c r="D205" s="11" t="str">
        <f t="shared" si="1"/>
        <v> </v>
      </c>
      <c r="E205" s="11" t="str">
        <f t="shared" si="2"/>
        <v> </v>
      </c>
    </row>
    <row r="206" ht="15.75" customHeight="1">
      <c r="A206" s="11">
        <v>9642.0</v>
      </c>
      <c r="B206" s="11" t="s">
        <v>239</v>
      </c>
      <c r="C206" s="12">
        <v>17215.0</v>
      </c>
      <c r="D206" s="11" t="str">
        <f t="shared" si="1"/>
        <v> </v>
      </c>
      <c r="E206" s="11" t="str">
        <f t="shared" si="2"/>
        <v> </v>
      </c>
    </row>
    <row r="207" ht="15.75" customHeight="1">
      <c r="A207" s="11">
        <v>9645.0</v>
      </c>
      <c r="B207" s="11" t="s">
        <v>240</v>
      </c>
      <c r="C207" s="12">
        <v>17705.0</v>
      </c>
      <c r="D207" s="11" t="str">
        <f t="shared" si="1"/>
        <v> </v>
      </c>
      <c r="E207" s="11" t="str">
        <f t="shared" si="2"/>
        <v> </v>
      </c>
    </row>
    <row r="208" ht="15.75" customHeight="1">
      <c r="A208" s="11">
        <v>9647.0</v>
      </c>
      <c r="B208" s="11" t="s">
        <v>241</v>
      </c>
      <c r="C208" s="12">
        <v>13767.0</v>
      </c>
      <c r="D208" s="11" t="str">
        <f t="shared" si="1"/>
        <v> </v>
      </c>
      <c r="E208" s="11" t="str">
        <f t="shared" si="2"/>
        <v> </v>
      </c>
    </row>
    <row r="209" ht="15.75" customHeight="1">
      <c r="A209" s="11">
        <v>9650.0</v>
      </c>
      <c r="B209" s="11" t="s">
        <v>242</v>
      </c>
      <c r="C209" s="12">
        <v>19714.0</v>
      </c>
      <c r="D209" s="11" t="str">
        <f t="shared" si="1"/>
        <v> </v>
      </c>
      <c r="E209" s="11" t="str">
        <f t="shared" si="2"/>
        <v> </v>
      </c>
    </row>
    <row r="210" ht="15.75" customHeight="1">
      <c r="A210" s="11">
        <v>9651.0</v>
      </c>
      <c r="B210" s="11" t="s">
        <v>243</v>
      </c>
      <c r="C210" s="12">
        <v>22812.0</v>
      </c>
      <c r="D210" s="11" t="str">
        <f t="shared" si="1"/>
        <v> </v>
      </c>
      <c r="E210" s="11" t="str">
        <f t="shared" si="2"/>
        <v> </v>
      </c>
    </row>
    <row r="211" ht="15.75" customHeight="1">
      <c r="A211" s="11">
        <v>9652.0</v>
      </c>
      <c r="B211" s="11" t="s">
        <v>244</v>
      </c>
      <c r="C211" s="12">
        <v>18328.0</v>
      </c>
      <c r="D211" s="11" t="str">
        <f t="shared" si="1"/>
        <v> </v>
      </c>
      <c r="E211" s="11" t="str">
        <f t="shared" si="2"/>
        <v> </v>
      </c>
    </row>
    <row r="212" ht="15.75" customHeight="1">
      <c r="A212" s="11">
        <v>9655.0</v>
      </c>
      <c r="B212" s="11" t="s">
        <v>245</v>
      </c>
      <c r="C212" s="12">
        <v>20908.0</v>
      </c>
      <c r="D212" s="11" t="str">
        <f t="shared" si="1"/>
        <v> </v>
      </c>
      <c r="E212" s="11" t="str">
        <f t="shared" si="2"/>
        <v> </v>
      </c>
    </row>
    <row r="213" ht="15.75" customHeight="1">
      <c r="A213" s="11">
        <v>9656.0</v>
      </c>
      <c r="B213" s="11" t="s">
        <v>246</v>
      </c>
      <c r="C213" s="12">
        <v>18564.0</v>
      </c>
      <c r="D213" s="11" t="str">
        <f t="shared" si="1"/>
        <v> </v>
      </c>
      <c r="E213" s="11" t="str">
        <f t="shared" si="2"/>
        <v> </v>
      </c>
    </row>
    <row r="214" ht="15.75" customHeight="1">
      <c r="A214" s="11">
        <v>9659.0</v>
      </c>
      <c r="B214" s="11" t="s">
        <v>247</v>
      </c>
      <c r="C214" s="12">
        <v>28253.0</v>
      </c>
      <c r="D214" s="11" t="str">
        <f t="shared" si="1"/>
        <v> </v>
      </c>
      <c r="E214" s="11" t="str">
        <f t="shared" si="2"/>
        <v> </v>
      </c>
    </row>
    <row r="215" ht="15.75" customHeight="1">
      <c r="A215" s="11">
        <v>9668.0</v>
      </c>
      <c r="B215" s="11" t="s">
        <v>248</v>
      </c>
      <c r="C215" s="12">
        <v>16446.0</v>
      </c>
      <c r="D215" s="11" t="str">
        <f t="shared" si="1"/>
        <v> </v>
      </c>
      <c r="E215" s="11" t="str">
        <f t="shared" si="2"/>
        <v> </v>
      </c>
    </row>
    <row r="216" ht="15.75" customHeight="1">
      <c r="A216" s="11">
        <v>9670.0</v>
      </c>
      <c r="B216" s="11" t="s">
        <v>249</v>
      </c>
      <c r="C216" s="12">
        <v>29843.0</v>
      </c>
      <c r="D216" s="11" t="str">
        <f t="shared" si="1"/>
        <v> </v>
      </c>
      <c r="E216" s="11" t="str">
        <f t="shared" si="2"/>
        <v> </v>
      </c>
    </row>
    <row r="217" ht="15.75" customHeight="1">
      <c r="A217" s="11">
        <v>9672.0</v>
      </c>
      <c r="B217" s="11" t="s">
        <v>250</v>
      </c>
      <c r="C217" s="12">
        <v>27199.0</v>
      </c>
      <c r="D217" s="11" t="str">
        <f t="shared" si="1"/>
        <v> </v>
      </c>
      <c r="E217" s="11" t="str">
        <f t="shared" si="2"/>
        <v> </v>
      </c>
    </row>
    <row r="218" ht="15.75" customHeight="1">
      <c r="A218" s="11">
        <v>9676.0</v>
      </c>
      <c r="B218" s="11" t="s">
        <v>251</v>
      </c>
      <c r="C218" s="12">
        <v>20831.0</v>
      </c>
      <c r="D218" s="11" t="str">
        <f t="shared" si="1"/>
        <v> </v>
      </c>
      <c r="E218" s="11" t="str">
        <f t="shared" si="2"/>
        <v> </v>
      </c>
    </row>
    <row r="219" ht="15.75" customHeight="1">
      <c r="A219" s="11">
        <v>9678.0</v>
      </c>
      <c r="B219" s="11" t="s">
        <v>252</v>
      </c>
      <c r="C219" s="12">
        <v>17245.0</v>
      </c>
      <c r="D219" s="11" t="str">
        <f t="shared" si="1"/>
        <v> </v>
      </c>
      <c r="E219" s="11" t="str">
        <f t="shared" si="2"/>
        <v> </v>
      </c>
    </row>
    <row r="220" ht="15.75" customHeight="1">
      <c r="A220" s="11">
        <v>9679.0</v>
      </c>
      <c r="B220" s="11" t="s">
        <v>253</v>
      </c>
      <c r="C220" s="12">
        <v>17822.0</v>
      </c>
      <c r="D220" s="11" t="str">
        <f t="shared" si="1"/>
        <v> </v>
      </c>
      <c r="E220" s="11" t="str">
        <f t="shared" si="2"/>
        <v> </v>
      </c>
    </row>
    <row r="221" ht="15.75" customHeight="1">
      <c r="A221" s="11">
        <v>9682.0</v>
      </c>
      <c r="B221" s="11" t="s">
        <v>254</v>
      </c>
      <c r="C221" s="12">
        <v>17001.0</v>
      </c>
      <c r="D221" s="11" t="str">
        <f t="shared" si="1"/>
        <v> </v>
      </c>
      <c r="E221" s="11" t="str">
        <f t="shared" si="2"/>
        <v> </v>
      </c>
    </row>
    <row r="222" ht="15.75" customHeight="1">
      <c r="A222" s="11">
        <v>9683.0</v>
      </c>
      <c r="B222" s="11" t="s">
        <v>255</v>
      </c>
      <c r="C222" s="12">
        <v>29811.0</v>
      </c>
      <c r="D222" s="11" t="str">
        <f t="shared" si="1"/>
        <v> </v>
      </c>
      <c r="E222" s="11" t="str">
        <f t="shared" si="2"/>
        <v> </v>
      </c>
    </row>
    <row r="223" ht="15.75" customHeight="1">
      <c r="A223" s="11">
        <v>9684.0</v>
      </c>
      <c r="B223" s="11" t="s">
        <v>256</v>
      </c>
      <c r="C223" s="12">
        <v>22452.0</v>
      </c>
      <c r="D223" s="11" t="str">
        <f t="shared" si="1"/>
        <v> </v>
      </c>
      <c r="E223" s="11" t="str">
        <f t="shared" si="2"/>
        <v> </v>
      </c>
    </row>
    <row r="224" ht="15.75" customHeight="1">
      <c r="A224" s="11">
        <v>9687.0</v>
      </c>
      <c r="B224" s="11" t="s">
        <v>257</v>
      </c>
      <c r="C224" s="12">
        <v>25917.0</v>
      </c>
      <c r="D224" s="11" t="str">
        <f t="shared" si="1"/>
        <v> </v>
      </c>
      <c r="E224" s="11" t="str">
        <f t="shared" si="2"/>
        <v> </v>
      </c>
    </row>
    <row r="225" ht="15.75" customHeight="1">
      <c r="A225" s="11">
        <v>9688.0</v>
      </c>
      <c r="B225" s="11" t="s">
        <v>258</v>
      </c>
      <c r="C225" s="12">
        <v>18440.0</v>
      </c>
      <c r="D225" s="11" t="str">
        <f t="shared" si="1"/>
        <v> </v>
      </c>
      <c r="E225" s="11" t="str">
        <f t="shared" si="2"/>
        <v> </v>
      </c>
    </row>
    <row r="226" ht="15.75" customHeight="1">
      <c r="A226" s="11">
        <v>9690.0</v>
      </c>
      <c r="B226" s="11" t="s">
        <v>259</v>
      </c>
      <c r="C226" s="12">
        <v>19700.0</v>
      </c>
      <c r="D226" s="11" t="str">
        <f t="shared" si="1"/>
        <v> </v>
      </c>
      <c r="E226" s="11" t="str">
        <f t="shared" si="2"/>
        <v> </v>
      </c>
    </row>
    <row r="227" ht="15.75" customHeight="1">
      <c r="A227" s="11">
        <v>9696.0</v>
      </c>
      <c r="B227" s="11" t="s">
        <v>260</v>
      </c>
      <c r="C227" s="12">
        <v>21244.0</v>
      </c>
      <c r="D227" s="11" t="str">
        <f t="shared" si="1"/>
        <v> </v>
      </c>
      <c r="E227" s="11" t="str">
        <f t="shared" si="2"/>
        <v> </v>
      </c>
    </row>
    <row r="228" ht="15.75" customHeight="1">
      <c r="A228" s="11">
        <v>9698.0</v>
      </c>
      <c r="B228" s="11" t="s">
        <v>261</v>
      </c>
      <c r="C228" s="12">
        <v>20760.0</v>
      </c>
      <c r="D228" s="11" t="str">
        <f t="shared" si="1"/>
        <v> </v>
      </c>
      <c r="E228" s="11" t="str">
        <f t="shared" si="2"/>
        <v> </v>
      </c>
    </row>
    <row r="229" ht="15.75" customHeight="1">
      <c r="A229" s="11">
        <v>9706.0</v>
      </c>
      <c r="B229" s="11" t="s">
        <v>262</v>
      </c>
      <c r="C229" s="12">
        <v>24707.0</v>
      </c>
      <c r="D229" s="11" t="str">
        <f t="shared" si="1"/>
        <v> </v>
      </c>
      <c r="E229" s="11" t="str">
        <f t="shared" si="2"/>
        <v> </v>
      </c>
    </row>
    <row r="230" ht="15.75" customHeight="1">
      <c r="A230" s="11">
        <v>9707.0</v>
      </c>
      <c r="B230" s="11" t="s">
        <v>263</v>
      </c>
      <c r="C230" s="12">
        <v>29373.0</v>
      </c>
      <c r="D230" s="11" t="str">
        <f t="shared" si="1"/>
        <v> </v>
      </c>
      <c r="E230" s="11" t="str">
        <f t="shared" si="2"/>
        <v> </v>
      </c>
    </row>
    <row r="231" ht="15.75" customHeight="1">
      <c r="A231" s="11">
        <v>9710.0</v>
      </c>
      <c r="B231" s="11" t="s">
        <v>264</v>
      </c>
      <c r="C231" s="12">
        <v>18189.0</v>
      </c>
      <c r="D231" s="11" t="str">
        <f t="shared" si="1"/>
        <v> </v>
      </c>
      <c r="E231" s="11" t="str">
        <f t="shared" si="2"/>
        <v> </v>
      </c>
    </row>
    <row r="232" ht="15.75" customHeight="1">
      <c r="A232" s="11">
        <v>9716.0</v>
      </c>
      <c r="B232" s="11" t="s">
        <v>265</v>
      </c>
      <c r="C232" s="12">
        <v>20692.0</v>
      </c>
      <c r="D232" s="11" t="str">
        <f t="shared" si="1"/>
        <v> </v>
      </c>
      <c r="E232" s="11" t="str">
        <f t="shared" si="2"/>
        <v> </v>
      </c>
    </row>
    <row r="233" ht="15.75" customHeight="1">
      <c r="A233" s="11">
        <v>9717.0</v>
      </c>
      <c r="B233" s="11" t="s">
        <v>266</v>
      </c>
      <c r="C233" s="12">
        <v>21889.0</v>
      </c>
      <c r="D233" s="11" t="str">
        <f t="shared" si="1"/>
        <v> </v>
      </c>
      <c r="E233" s="11" t="str">
        <f t="shared" si="2"/>
        <v> </v>
      </c>
    </row>
    <row r="234" ht="15.75" customHeight="1">
      <c r="A234" s="11">
        <v>9718.0</v>
      </c>
      <c r="B234" s="11" t="s">
        <v>267</v>
      </c>
      <c r="C234" s="12">
        <v>19657.0</v>
      </c>
      <c r="D234" s="11" t="str">
        <f t="shared" si="1"/>
        <v>Repeat</v>
      </c>
      <c r="E234" s="11" t="str">
        <f t="shared" si="2"/>
        <v> </v>
      </c>
    </row>
    <row r="235" ht="15.75" customHeight="1">
      <c r="A235" s="11">
        <v>9722.0</v>
      </c>
      <c r="B235" s="11" t="s">
        <v>268</v>
      </c>
      <c r="C235" s="12">
        <v>14366.0</v>
      </c>
      <c r="D235" s="11" t="str">
        <f t="shared" si="1"/>
        <v> </v>
      </c>
      <c r="E235" s="11" t="str">
        <f t="shared" si="2"/>
        <v> </v>
      </c>
    </row>
    <row r="236" ht="15.75" customHeight="1">
      <c r="A236" s="11">
        <v>9724.0</v>
      </c>
      <c r="B236" s="11" t="s">
        <v>269</v>
      </c>
      <c r="C236" s="12">
        <v>31788.0</v>
      </c>
      <c r="D236" s="11" t="str">
        <f t="shared" si="1"/>
        <v> </v>
      </c>
      <c r="E236" s="11" t="str">
        <f t="shared" si="2"/>
        <v> </v>
      </c>
    </row>
    <row r="237" ht="15.75" customHeight="1">
      <c r="A237" s="11">
        <v>9725.0</v>
      </c>
      <c r="B237" s="11" t="s">
        <v>270</v>
      </c>
      <c r="C237" s="12">
        <v>25836.0</v>
      </c>
      <c r="D237" s="11" t="str">
        <f t="shared" si="1"/>
        <v> </v>
      </c>
      <c r="E237" s="11" t="str">
        <f t="shared" si="2"/>
        <v> </v>
      </c>
    </row>
    <row r="238" ht="15.75" customHeight="1">
      <c r="A238" s="11">
        <v>9726.0</v>
      </c>
      <c r="B238" s="11" t="s">
        <v>271</v>
      </c>
      <c r="C238" s="12">
        <v>23374.0</v>
      </c>
      <c r="D238" s="11" t="str">
        <f t="shared" si="1"/>
        <v> </v>
      </c>
      <c r="E238" s="11" t="str">
        <f t="shared" si="2"/>
        <v> </v>
      </c>
    </row>
    <row r="239" ht="15.75" customHeight="1">
      <c r="A239" s="11">
        <v>9732.0</v>
      </c>
      <c r="B239" s="11" t="s">
        <v>272</v>
      </c>
      <c r="C239" s="12">
        <v>21690.0</v>
      </c>
      <c r="D239" s="11" t="str">
        <f t="shared" si="1"/>
        <v> </v>
      </c>
      <c r="E239" s="11" t="str">
        <f t="shared" si="2"/>
        <v> </v>
      </c>
    </row>
    <row r="240" ht="15.75" customHeight="1">
      <c r="A240" s="11">
        <v>9739.0</v>
      </c>
      <c r="B240" s="11" t="s">
        <v>273</v>
      </c>
      <c r="C240" s="12">
        <v>29196.0</v>
      </c>
      <c r="D240" s="11" t="str">
        <f t="shared" si="1"/>
        <v> </v>
      </c>
      <c r="E240" s="11" t="str">
        <f t="shared" si="2"/>
        <v> </v>
      </c>
    </row>
    <row r="241" ht="15.75" customHeight="1">
      <c r="A241" s="11">
        <v>9746.0</v>
      </c>
      <c r="B241" s="11" t="s">
        <v>274</v>
      </c>
      <c r="C241" s="12">
        <v>17527.0</v>
      </c>
      <c r="D241" s="11" t="str">
        <f t="shared" si="1"/>
        <v> </v>
      </c>
      <c r="E241" s="11" t="str">
        <f t="shared" si="2"/>
        <v> </v>
      </c>
    </row>
    <row r="242" ht="15.75" customHeight="1">
      <c r="A242" s="11">
        <v>9749.0</v>
      </c>
      <c r="B242" s="11" t="s">
        <v>275</v>
      </c>
      <c r="C242" s="12">
        <v>20957.0</v>
      </c>
      <c r="D242" s="11" t="str">
        <f t="shared" si="1"/>
        <v> </v>
      </c>
      <c r="E242" s="11" t="str">
        <f t="shared" si="2"/>
        <v> </v>
      </c>
    </row>
    <row r="243" ht="15.75" customHeight="1">
      <c r="A243" s="11">
        <v>9752.0</v>
      </c>
      <c r="B243" s="11" t="s">
        <v>276</v>
      </c>
      <c r="C243" s="12">
        <v>17975.0</v>
      </c>
      <c r="D243" s="11" t="str">
        <f t="shared" si="1"/>
        <v> </v>
      </c>
      <c r="E243" s="11" t="str">
        <f t="shared" si="2"/>
        <v> </v>
      </c>
    </row>
    <row r="244" ht="15.75" customHeight="1">
      <c r="A244" s="11">
        <v>9754.0</v>
      </c>
      <c r="B244" s="11" t="s">
        <v>277</v>
      </c>
      <c r="C244" s="12">
        <v>29747.0</v>
      </c>
      <c r="D244" s="11" t="str">
        <f t="shared" si="1"/>
        <v> </v>
      </c>
      <c r="E244" s="11" t="str">
        <f t="shared" si="2"/>
        <v> </v>
      </c>
    </row>
    <row r="245" ht="15.75" customHeight="1">
      <c r="A245" s="11">
        <v>9757.0</v>
      </c>
      <c r="B245" s="11" t="s">
        <v>278</v>
      </c>
      <c r="C245" s="12">
        <v>18098.0</v>
      </c>
      <c r="D245" s="11" t="str">
        <f t="shared" si="1"/>
        <v> </v>
      </c>
      <c r="E245" s="11" t="str">
        <f t="shared" si="2"/>
        <v> </v>
      </c>
    </row>
    <row r="246" ht="15.75" customHeight="1">
      <c r="A246" s="11">
        <v>9759.0</v>
      </c>
      <c r="B246" s="11" t="s">
        <v>279</v>
      </c>
      <c r="C246" s="12">
        <v>18196.0</v>
      </c>
      <c r="D246" s="11" t="str">
        <f t="shared" si="1"/>
        <v> </v>
      </c>
      <c r="E246" s="11" t="str">
        <f t="shared" si="2"/>
        <v> </v>
      </c>
    </row>
    <row r="247" ht="15.75" customHeight="1">
      <c r="A247" s="11">
        <v>9760.0</v>
      </c>
      <c r="B247" s="11" t="s">
        <v>280</v>
      </c>
      <c r="C247" s="12">
        <v>20490.0</v>
      </c>
      <c r="D247" s="11" t="str">
        <f t="shared" si="1"/>
        <v> </v>
      </c>
      <c r="E247" s="11" t="str">
        <f t="shared" si="2"/>
        <v> </v>
      </c>
    </row>
    <row r="248" ht="15.75" customHeight="1">
      <c r="A248" s="11">
        <v>9772.0</v>
      </c>
      <c r="B248" s="11" t="s">
        <v>281</v>
      </c>
      <c r="C248" s="12">
        <v>21743.0</v>
      </c>
      <c r="D248" s="11" t="str">
        <f t="shared" si="1"/>
        <v> </v>
      </c>
      <c r="E248" s="11" t="str">
        <f t="shared" si="2"/>
        <v> </v>
      </c>
    </row>
    <row r="249" ht="15.75" customHeight="1">
      <c r="A249" s="11">
        <v>9775.0</v>
      </c>
      <c r="B249" s="11" t="s">
        <v>282</v>
      </c>
      <c r="C249" s="12">
        <v>16906.0</v>
      </c>
      <c r="D249" s="11" t="str">
        <f t="shared" si="1"/>
        <v> </v>
      </c>
      <c r="E249" s="11" t="str">
        <f t="shared" si="2"/>
        <v> </v>
      </c>
    </row>
    <row r="250" ht="15.75" customHeight="1">
      <c r="A250" s="11">
        <v>9776.0</v>
      </c>
      <c r="B250" s="11" t="s">
        <v>283</v>
      </c>
      <c r="C250" s="12">
        <v>20259.0</v>
      </c>
      <c r="D250" s="11" t="str">
        <f t="shared" si="1"/>
        <v> </v>
      </c>
      <c r="E250" s="11" t="str">
        <f t="shared" si="2"/>
        <v> </v>
      </c>
    </row>
    <row r="251" ht="15.75" customHeight="1">
      <c r="A251" s="11">
        <v>9779.0</v>
      </c>
      <c r="B251" s="11" t="s">
        <v>284</v>
      </c>
      <c r="C251" s="12">
        <v>22449.0</v>
      </c>
      <c r="D251" s="11" t="str">
        <f t="shared" si="1"/>
        <v> </v>
      </c>
      <c r="E251" s="11" t="str">
        <f t="shared" si="2"/>
        <v> </v>
      </c>
    </row>
    <row r="252" ht="15.75" customHeight="1">
      <c r="A252" s="11">
        <v>9783.0</v>
      </c>
      <c r="B252" s="11" t="s">
        <v>285</v>
      </c>
      <c r="C252" s="12">
        <v>21087.0</v>
      </c>
      <c r="D252" s="11" t="str">
        <f t="shared" si="1"/>
        <v> </v>
      </c>
      <c r="E252" s="11" t="str">
        <f t="shared" si="2"/>
        <v> </v>
      </c>
    </row>
    <row r="253" ht="15.75" customHeight="1">
      <c r="A253" s="11">
        <v>9790.0</v>
      </c>
      <c r="B253" s="11" t="s">
        <v>286</v>
      </c>
      <c r="C253" s="12">
        <v>17915.0</v>
      </c>
      <c r="D253" s="11" t="str">
        <f t="shared" si="1"/>
        <v>Repeat</v>
      </c>
      <c r="E253" s="11" t="str">
        <f t="shared" si="2"/>
        <v> </v>
      </c>
    </row>
    <row r="254" ht="15.75" customHeight="1">
      <c r="A254" s="11">
        <v>9792.0</v>
      </c>
      <c r="B254" s="11" t="s">
        <v>287</v>
      </c>
      <c r="C254" s="12">
        <v>20458.0</v>
      </c>
      <c r="D254" s="11" t="str">
        <f t="shared" si="1"/>
        <v> </v>
      </c>
      <c r="E254" s="11" t="str">
        <f t="shared" si="2"/>
        <v> </v>
      </c>
    </row>
    <row r="255" ht="15.75" customHeight="1">
      <c r="A255" s="11">
        <v>9793.0</v>
      </c>
      <c r="B255" s="11" t="s">
        <v>288</v>
      </c>
      <c r="C255" s="12">
        <v>9749.0</v>
      </c>
      <c r="D255" s="11" t="str">
        <f t="shared" si="1"/>
        <v> </v>
      </c>
      <c r="E255" s="11" t="str">
        <f t="shared" si="2"/>
        <v> </v>
      </c>
    </row>
    <row r="256" ht="15.75" customHeight="1">
      <c r="A256" s="11">
        <v>9794.0</v>
      </c>
      <c r="B256" s="11" t="s">
        <v>289</v>
      </c>
      <c r="C256" s="12">
        <v>24881.0</v>
      </c>
      <c r="D256" s="11" t="str">
        <f t="shared" si="1"/>
        <v> </v>
      </c>
      <c r="E256" s="11" t="str">
        <f t="shared" si="2"/>
        <v> </v>
      </c>
    </row>
    <row r="257" ht="15.75" customHeight="1">
      <c r="A257" s="11">
        <v>9795.0</v>
      </c>
      <c r="B257" s="11" t="s">
        <v>290</v>
      </c>
      <c r="C257" s="12">
        <v>15509.0</v>
      </c>
      <c r="D257" s="11" t="str">
        <f t="shared" si="1"/>
        <v> </v>
      </c>
      <c r="E257" s="11" t="str">
        <f t="shared" si="2"/>
        <v> </v>
      </c>
    </row>
    <row r="258" ht="15.75" customHeight="1">
      <c r="A258" s="11">
        <v>9796.0</v>
      </c>
      <c r="B258" s="11" t="s">
        <v>291</v>
      </c>
      <c r="C258" s="12">
        <v>24665.0</v>
      </c>
      <c r="D258" s="11" t="str">
        <f t="shared" si="1"/>
        <v> </v>
      </c>
      <c r="E258" s="11" t="str">
        <f t="shared" si="2"/>
        <v> </v>
      </c>
    </row>
    <row r="259" ht="15.75" customHeight="1">
      <c r="A259" s="11">
        <v>9797.0</v>
      </c>
      <c r="B259" s="11" t="s">
        <v>292</v>
      </c>
      <c r="C259" s="12">
        <v>19913.0</v>
      </c>
      <c r="D259" s="11" t="str">
        <f t="shared" si="1"/>
        <v> </v>
      </c>
      <c r="E259" s="11" t="str">
        <f t="shared" si="2"/>
        <v> </v>
      </c>
    </row>
    <row r="260" ht="15.75" customHeight="1">
      <c r="A260" s="11">
        <v>9800.0</v>
      </c>
      <c r="B260" s="11" t="s">
        <v>293</v>
      </c>
      <c r="C260" s="12">
        <v>24218.0</v>
      </c>
      <c r="D260" s="11" t="str">
        <f t="shared" si="1"/>
        <v> </v>
      </c>
      <c r="E260" s="11" t="str">
        <f t="shared" si="2"/>
        <v> </v>
      </c>
    </row>
    <row r="261" ht="15.75" customHeight="1">
      <c r="A261" s="11">
        <v>9801.0</v>
      </c>
      <c r="B261" s="11" t="s">
        <v>294</v>
      </c>
      <c r="C261" s="12">
        <v>17058.0</v>
      </c>
      <c r="D261" s="11" t="str">
        <f t="shared" si="1"/>
        <v> </v>
      </c>
      <c r="E261" s="11" t="str">
        <f t="shared" si="2"/>
        <v> </v>
      </c>
    </row>
    <row r="262" ht="15.75" customHeight="1">
      <c r="A262" s="11">
        <v>9802.0</v>
      </c>
      <c r="B262" s="11" t="s">
        <v>295</v>
      </c>
      <c r="C262" s="12">
        <v>25328.0</v>
      </c>
      <c r="D262" s="11" t="str">
        <f t="shared" si="1"/>
        <v> </v>
      </c>
      <c r="E262" s="11" t="str">
        <f t="shared" si="2"/>
        <v> </v>
      </c>
    </row>
    <row r="263" ht="15.75" customHeight="1">
      <c r="A263" s="11">
        <v>9805.0</v>
      </c>
      <c r="B263" s="11" t="s">
        <v>296</v>
      </c>
      <c r="C263" s="12">
        <v>20993.0</v>
      </c>
      <c r="D263" s="11" t="str">
        <f t="shared" si="1"/>
        <v> </v>
      </c>
      <c r="E263" s="11" t="str">
        <f t="shared" si="2"/>
        <v> </v>
      </c>
    </row>
    <row r="264" ht="15.75" customHeight="1">
      <c r="A264" s="11">
        <v>9807.0</v>
      </c>
      <c r="B264" s="11" t="s">
        <v>297</v>
      </c>
      <c r="C264" s="12">
        <v>21412.0</v>
      </c>
      <c r="D264" s="11" t="str">
        <f t="shared" si="1"/>
        <v> </v>
      </c>
      <c r="E264" s="11" t="str">
        <f t="shared" si="2"/>
        <v> </v>
      </c>
    </row>
    <row r="265" ht="15.75" customHeight="1">
      <c r="A265" s="11">
        <v>9808.0</v>
      </c>
      <c r="B265" s="11" t="s">
        <v>298</v>
      </c>
      <c r="C265" s="12">
        <v>19466.0</v>
      </c>
      <c r="D265" s="11" t="str">
        <f t="shared" si="1"/>
        <v> </v>
      </c>
      <c r="E265" s="11" t="str">
        <f t="shared" si="2"/>
        <v> </v>
      </c>
    </row>
    <row r="266" ht="15.75" customHeight="1">
      <c r="A266" s="11">
        <v>9810.0</v>
      </c>
      <c r="B266" s="11" t="s">
        <v>299</v>
      </c>
      <c r="C266" s="12">
        <v>20018.0</v>
      </c>
      <c r="D266" s="11" t="str">
        <f t="shared" si="1"/>
        <v>Repeat</v>
      </c>
      <c r="E266" s="11" t="str">
        <f t="shared" si="2"/>
        <v>Repeat</v>
      </c>
    </row>
    <row r="267" ht="15.75" customHeight="1">
      <c r="A267" s="11">
        <v>9812.0</v>
      </c>
      <c r="B267" s="11" t="s">
        <v>300</v>
      </c>
      <c r="C267" s="12">
        <v>24557.0</v>
      </c>
      <c r="D267" s="11" t="str">
        <f t="shared" si="1"/>
        <v> </v>
      </c>
      <c r="E267" s="11" t="str">
        <f t="shared" si="2"/>
        <v> </v>
      </c>
    </row>
    <row r="268" ht="15.75" customHeight="1">
      <c r="A268" s="11">
        <v>9813.0</v>
      </c>
      <c r="B268" s="11" t="s">
        <v>301</v>
      </c>
      <c r="C268" s="12">
        <v>19008.0</v>
      </c>
      <c r="D268" s="11" t="str">
        <f t="shared" si="1"/>
        <v> </v>
      </c>
      <c r="E268" s="11" t="str">
        <f t="shared" si="2"/>
        <v> </v>
      </c>
    </row>
    <row r="269" ht="15.75" customHeight="1">
      <c r="A269" s="11">
        <v>9816.0</v>
      </c>
      <c r="B269" s="11" t="s">
        <v>302</v>
      </c>
      <c r="C269" s="12">
        <v>24040.0</v>
      </c>
      <c r="D269" s="11" t="str">
        <f t="shared" si="1"/>
        <v> </v>
      </c>
      <c r="E269" s="11" t="str">
        <f t="shared" si="2"/>
        <v> </v>
      </c>
    </row>
    <row r="270" ht="15.75" customHeight="1">
      <c r="A270" s="11">
        <v>9819.0</v>
      </c>
      <c r="B270" s="11" t="s">
        <v>303</v>
      </c>
      <c r="C270" s="12">
        <v>32338.0</v>
      </c>
      <c r="D270" s="11" t="str">
        <f t="shared" si="1"/>
        <v> </v>
      </c>
      <c r="E270" s="11" t="str">
        <f t="shared" si="2"/>
        <v> </v>
      </c>
    </row>
    <row r="271" ht="15.75" customHeight="1">
      <c r="A271" s="11">
        <v>9820.0</v>
      </c>
      <c r="B271" s="11" t="s">
        <v>304</v>
      </c>
      <c r="C271" s="12">
        <v>31343.0</v>
      </c>
      <c r="D271" s="11" t="str">
        <f t="shared" si="1"/>
        <v> </v>
      </c>
      <c r="E271" s="11" t="str">
        <f t="shared" si="2"/>
        <v> </v>
      </c>
    </row>
    <row r="272" ht="15.75" customHeight="1">
      <c r="A272" s="11">
        <v>9821.0</v>
      </c>
      <c r="B272" s="11" t="s">
        <v>305</v>
      </c>
      <c r="C272" s="12">
        <v>17116.0</v>
      </c>
      <c r="D272" s="11" t="str">
        <f t="shared" si="1"/>
        <v> </v>
      </c>
      <c r="E272" s="11" t="str">
        <f t="shared" si="2"/>
        <v> </v>
      </c>
    </row>
    <row r="273" ht="15.75" customHeight="1">
      <c r="A273" s="11">
        <v>9829.0</v>
      </c>
      <c r="B273" s="11" t="s">
        <v>306</v>
      </c>
      <c r="C273" s="12">
        <v>21367.0</v>
      </c>
      <c r="D273" s="11" t="str">
        <f t="shared" si="1"/>
        <v> </v>
      </c>
      <c r="E273" s="11" t="str">
        <f t="shared" si="2"/>
        <v> </v>
      </c>
    </row>
    <row r="274" ht="15.75" customHeight="1">
      <c r="A274" s="11">
        <v>9830.0</v>
      </c>
      <c r="B274" s="11" t="s">
        <v>307</v>
      </c>
      <c r="C274" s="12">
        <v>24008.0</v>
      </c>
      <c r="D274" s="11" t="str">
        <f t="shared" si="1"/>
        <v> </v>
      </c>
      <c r="E274" s="11" t="str">
        <f t="shared" si="2"/>
        <v> </v>
      </c>
    </row>
    <row r="275" ht="15.75" customHeight="1">
      <c r="A275" s="11">
        <v>9834.0</v>
      </c>
      <c r="B275" s="11" t="s">
        <v>308</v>
      </c>
      <c r="C275" s="12">
        <v>23212.0</v>
      </c>
      <c r="D275" s="11" t="str">
        <f t="shared" si="1"/>
        <v> </v>
      </c>
      <c r="E275" s="11" t="str">
        <f t="shared" si="2"/>
        <v> </v>
      </c>
    </row>
    <row r="276" ht="15.75" customHeight="1">
      <c r="A276" s="11">
        <v>9838.0</v>
      </c>
      <c r="B276" s="11" t="s">
        <v>309</v>
      </c>
      <c r="C276" s="12">
        <v>27927.0</v>
      </c>
      <c r="D276" s="11" t="str">
        <f t="shared" si="1"/>
        <v> </v>
      </c>
      <c r="E276" s="11" t="str">
        <f t="shared" si="2"/>
        <v> </v>
      </c>
    </row>
    <row r="277" ht="15.75" customHeight="1">
      <c r="A277" s="11">
        <v>9839.0</v>
      </c>
      <c r="B277" s="11" t="s">
        <v>310</v>
      </c>
      <c r="C277" s="12">
        <v>25968.0</v>
      </c>
      <c r="D277" s="11" t="str">
        <f t="shared" si="1"/>
        <v> </v>
      </c>
      <c r="E277" s="11" t="str">
        <f t="shared" si="2"/>
        <v> </v>
      </c>
    </row>
    <row r="278" ht="15.75" customHeight="1">
      <c r="A278" s="11">
        <v>9840.0</v>
      </c>
      <c r="B278" s="11" t="s">
        <v>311</v>
      </c>
      <c r="C278" s="12">
        <v>21928.0</v>
      </c>
      <c r="D278" s="11" t="str">
        <f t="shared" si="1"/>
        <v> </v>
      </c>
      <c r="E278" s="11" t="str">
        <f t="shared" si="2"/>
        <v> </v>
      </c>
    </row>
    <row r="279" ht="15.75" customHeight="1">
      <c r="A279" s="11">
        <v>9845.0</v>
      </c>
      <c r="B279" s="11" t="s">
        <v>312</v>
      </c>
      <c r="C279" s="12">
        <v>16458.0</v>
      </c>
      <c r="D279" s="11" t="str">
        <f t="shared" si="1"/>
        <v> </v>
      </c>
      <c r="E279" s="11" t="str">
        <f t="shared" si="2"/>
        <v> </v>
      </c>
    </row>
    <row r="280" ht="15.75" customHeight="1">
      <c r="A280" s="11">
        <v>9846.0</v>
      </c>
      <c r="B280" s="11" t="s">
        <v>313</v>
      </c>
      <c r="C280" s="12">
        <v>25384.0</v>
      </c>
      <c r="D280" s="11" t="str">
        <f t="shared" si="1"/>
        <v> </v>
      </c>
      <c r="E280" s="11" t="str">
        <f t="shared" si="2"/>
        <v> </v>
      </c>
    </row>
    <row r="281" ht="15.75" customHeight="1">
      <c r="A281" s="11">
        <v>9847.0</v>
      </c>
      <c r="B281" s="11" t="s">
        <v>314</v>
      </c>
      <c r="C281" s="12">
        <v>15510.0</v>
      </c>
      <c r="D281" s="11" t="str">
        <f t="shared" si="1"/>
        <v> </v>
      </c>
      <c r="E281" s="11" t="str">
        <f t="shared" si="2"/>
        <v> </v>
      </c>
    </row>
    <row r="282" ht="15.75" customHeight="1">
      <c r="A282" s="11">
        <v>9849.0</v>
      </c>
      <c r="B282" s="11" t="s">
        <v>315</v>
      </c>
      <c r="C282" s="12">
        <v>34711.0</v>
      </c>
      <c r="D282" s="11" t="str">
        <f t="shared" si="1"/>
        <v> </v>
      </c>
      <c r="E282" s="11" t="str">
        <f t="shared" si="2"/>
        <v> </v>
      </c>
    </row>
    <row r="283" ht="15.75" customHeight="1">
      <c r="A283" s="11">
        <v>9850.0</v>
      </c>
      <c r="B283" s="11" t="s">
        <v>316</v>
      </c>
      <c r="C283" s="12">
        <v>11145.0</v>
      </c>
      <c r="D283" s="11" t="str">
        <f t="shared" si="1"/>
        <v> </v>
      </c>
      <c r="E283" s="11" t="str">
        <f t="shared" si="2"/>
        <v> </v>
      </c>
    </row>
    <row r="284" ht="15.75" customHeight="1">
      <c r="A284" s="11">
        <v>9853.0</v>
      </c>
      <c r="B284" s="11" t="s">
        <v>317</v>
      </c>
      <c r="C284" s="12">
        <v>23125.0</v>
      </c>
      <c r="D284" s="11" t="str">
        <f t="shared" si="1"/>
        <v> </v>
      </c>
      <c r="E284" s="11" t="str">
        <f t="shared" si="2"/>
        <v> </v>
      </c>
    </row>
    <row r="285" ht="15.75" customHeight="1">
      <c r="A285" s="11">
        <v>9854.0</v>
      </c>
      <c r="B285" s="11" t="s">
        <v>318</v>
      </c>
      <c r="C285" s="12">
        <v>21614.0</v>
      </c>
      <c r="D285" s="11" t="str">
        <f t="shared" si="1"/>
        <v> </v>
      </c>
      <c r="E285" s="11" t="str">
        <f t="shared" si="2"/>
        <v> </v>
      </c>
    </row>
    <row r="286" ht="15.75" customHeight="1">
      <c r="A286" s="11">
        <v>9856.0</v>
      </c>
      <c r="B286" s="11" t="s">
        <v>319</v>
      </c>
      <c r="C286" s="12">
        <v>13655.0</v>
      </c>
      <c r="D286" s="11" t="str">
        <f t="shared" si="1"/>
        <v> </v>
      </c>
      <c r="E286" s="11" t="str">
        <f t="shared" si="2"/>
        <v> </v>
      </c>
    </row>
    <row r="287" ht="15.75" customHeight="1">
      <c r="A287" s="11">
        <v>9857.0</v>
      </c>
      <c r="B287" s="11" t="s">
        <v>320</v>
      </c>
      <c r="C287" s="12">
        <v>20960.0</v>
      </c>
      <c r="D287" s="11" t="str">
        <f t="shared" si="1"/>
        <v> </v>
      </c>
      <c r="E287" s="11" t="str">
        <f t="shared" si="2"/>
        <v> </v>
      </c>
    </row>
    <row r="288" ht="15.75" customHeight="1">
      <c r="A288" s="11">
        <v>9858.0</v>
      </c>
      <c r="B288" s="11" t="s">
        <v>321</v>
      </c>
      <c r="C288" s="12">
        <v>13270.0</v>
      </c>
      <c r="D288" s="11" t="str">
        <f t="shared" si="1"/>
        <v> </v>
      </c>
      <c r="E288" s="11" t="str">
        <f t="shared" si="2"/>
        <v> </v>
      </c>
    </row>
    <row r="289" ht="15.75" customHeight="1">
      <c r="A289" s="11">
        <v>9861.0</v>
      </c>
      <c r="B289" s="11" t="s">
        <v>322</v>
      </c>
      <c r="C289" s="12">
        <v>22756.0</v>
      </c>
      <c r="D289" s="11" t="str">
        <f t="shared" si="1"/>
        <v> </v>
      </c>
      <c r="E289" s="11" t="str">
        <f t="shared" si="2"/>
        <v> </v>
      </c>
    </row>
    <row r="290" ht="15.75" customHeight="1">
      <c r="A290" s="11">
        <v>9862.0</v>
      </c>
      <c r="B290" s="11" t="s">
        <v>323</v>
      </c>
      <c r="C290" s="12">
        <v>18805.0</v>
      </c>
      <c r="D290" s="11" t="str">
        <f t="shared" si="1"/>
        <v> </v>
      </c>
      <c r="E290" s="11" t="str">
        <f t="shared" si="2"/>
        <v> </v>
      </c>
    </row>
    <row r="291" ht="15.75" customHeight="1">
      <c r="A291" s="11">
        <v>9863.0</v>
      </c>
      <c r="B291" s="11" t="s">
        <v>324</v>
      </c>
      <c r="C291" s="12">
        <v>17578.0</v>
      </c>
      <c r="D291" s="11" t="str">
        <f t="shared" si="1"/>
        <v> </v>
      </c>
      <c r="E291" s="11" t="str">
        <f t="shared" si="2"/>
        <v> </v>
      </c>
    </row>
    <row r="292" ht="15.75" customHeight="1">
      <c r="A292" s="11">
        <v>9868.0</v>
      </c>
      <c r="B292" s="11" t="s">
        <v>325</v>
      </c>
      <c r="C292" s="12">
        <v>23500.0</v>
      </c>
      <c r="D292" s="11" t="str">
        <f t="shared" si="1"/>
        <v> </v>
      </c>
      <c r="E292" s="11" t="str">
        <f t="shared" si="2"/>
        <v> </v>
      </c>
    </row>
    <row r="293" ht="15.75" customHeight="1">
      <c r="A293" s="11">
        <v>9874.0</v>
      </c>
      <c r="B293" s="11" t="s">
        <v>326</v>
      </c>
      <c r="C293" s="12">
        <v>15369.0</v>
      </c>
      <c r="D293" s="11" t="str">
        <f t="shared" si="1"/>
        <v> </v>
      </c>
      <c r="E293" s="11" t="str">
        <f t="shared" si="2"/>
        <v> </v>
      </c>
    </row>
    <row r="294" ht="15.75" customHeight="1">
      <c r="A294" s="11">
        <v>9876.0</v>
      </c>
      <c r="B294" s="11" t="s">
        <v>327</v>
      </c>
      <c r="C294" s="12">
        <v>17633.0</v>
      </c>
      <c r="D294" s="11" t="str">
        <f t="shared" si="1"/>
        <v> </v>
      </c>
      <c r="E294" s="11" t="str">
        <f t="shared" si="2"/>
        <v> </v>
      </c>
    </row>
    <row r="295" ht="15.75" customHeight="1">
      <c r="A295" s="11">
        <v>9878.0</v>
      </c>
      <c r="B295" s="11" t="s">
        <v>328</v>
      </c>
      <c r="C295" s="12">
        <v>26966.0</v>
      </c>
      <c r="D295" s="11" t="str">
        <f t="shared" si="1"/>
        <v> </v>
      </c>
      <c r="E295" s="11" t="str">
        <f t="shared" si="2"/>
        <v> </v>
      </c>
    </row>
    <row r="296" ht="15.75" customHeight="1">
      <c r="A296" s="11">
        <v>9879.0</v>
      </c>
      <c r="B296" s="11" t="s">
        <v>329</v>
      </c>
      <c r="C296" s="12">
        <v>15426.0</v>
      </c>
      <c r="D296" s="11" t="str">
        <f t="shared" si="1"/>
        <v> </v>
      </c>
      <c r="E296" s="11" t="str">
        <f t="shared" si="2"/>
        <v> </v>
      </c>
    </row>
    <row r="297" ht="15.75" customHeight="1">
      <c r="A297" s="11">
        <v>9884.0</v>
      </c>
      <c r="B297" s="11" t="s">
        <v>330</v>
      </c>
      <c r="C297" s="12">
        <v>27245.0</v>
      </c>
      <c r="D297" s="11" t="str">
        <f t="shared" si="1"/>
        <v> </v>
      </c>
      <c r="E297" s="11" t="str">
        <f t="shared" si="2"/>
        <v> </v>
      </c>
    </row>
    <row r="298" ht="15.75" customHeight="1">
      <c r="A298" s="11">
        <v>9886.0</v>
      </c>
      <c r="B298" s="11" t="s">
        <v>331</v>
      </c>
      <c r="C298" s="12">
        <v>17931.0</v>
      </c>
      <c r="D298" s="11" t="str">
        <f t="shared" si="1"/>
        <v> </v>
      </c>
      <c r="E298" s="11" t="str">
        <f t="shared" si="2"/>
        <v> </v>
      </c>
    </row>
    <row r="299" ht="15.75" customHeight="1">
      <c r="A299" s="11">
        <v>9892.0</v>
      </c>
      <c r="B299" s="11" t="s">
        <v>332</v>
      </c>
      <c r="C299" s="12">
        <v>24543.0</v>
      </c>
      <c r="D299" s="11" t="str">
        <f t="shared" si="1"/>
        <v> </v>
      </c>
      <c r="E299" s="11" t="str">
        <f t="shared" si="2"/>
        <v> </v>
      </c>
    </row>
    <row r="300" ht="15.75" customHeight="1">
      <c r="A300" s="11">
        <v>9896.0</v>
      </c>
      <c r="B300" s="11" t="s">
        <v>333</v>
      </c>
      <c r="C300" s="12">
        <v>26782.0</v>
      </c>
      <c r="D300" s="11" t="str">
        <f t="shared" si="1"/>
        <v> </v>
      </c>
      <c r="E300" s="11" t="str">
        <f t="shared" si="2"/>
        <v> </v>
      </c>
    </row>
    <row r="301" ht="15.75" customHeight="1">
      <c r="A301" s="11">
        <v>9897.0</v>
      </c>
      <c r="B301" s="11" t="s">
        <v>334</v>
      </c>
      <c r="C301" s="12">
        <v>20744.0</v>
      </c>
      <c r="D301" s="11" t="str">
        <f t="shared" si="1"/>
        <v> </v>
      </c>
      <c r="E301" s="11" t="str">
        <f t="shared" si="2"/>
        <v> </v>
      </c>
    </row>
    <row r="302" ht="15.75" customHeight="1">
      <c r="A302" s="11">
        <v>9903.0</v>
      </c>
      <c r="B302" s="11" t="s">
        <v>335</v>
      </c>
      <c r="C302" s="12">
        <v>30671.0</v>
      </c>
      <c r="D302" s="11" t="str">
        <f t="shared" si="1"/>
        <v> </v>
      </c>
      <c r="E302" s="11" t="str">
        <f t="shared" si="2"/>
        <v> </v>
      </c>
    </row>
    <row r="303" ht="15.75" customHeight="1">
      <c r="A303" s="11">
        <v>9909.0</v>
      </c>
      <c r="B303" s="11" t="s">
        <v>336</v>
      </c>
      <c r="C303" s="12">
        <v>22143.0</v>
      </c>
      <c r="D303" s="11" t="str">
        <f t="shared" si="1"/>
        <v> </v>
      </c>
      <c r="E303" s="11" t="str">
        <f t="shared" si="2"/>
        <v> </v>
      </c>
    </row>
    <row r="304" ht="15.75" customHeight="1">
      <c r="A304" s="11">
        <v>9915.0</v>
      </c>
      <c r="B304" s="11" t="s">
        <v>337</v>
      </c>
      <c r="C304" s="12">
        <v>21615.0</v>
      </c>
      <c r="D304" s="11" t="str">
        <f t="shared" si="1"/>
        <v> </v>
      </c>
      <c r="E304" s="11" t="str">
        <f t="shared" si="2"/>
        <v> </v>
      </c>
    </row>
    <row r="305" ht="15.75" customHeight="1">
      <c r="A305" s="11">
        <v>9918.0</v>
      </c>
      <c r="B305" s="11" t="s">
        <v>338</v>
      </c>
      <c r="C305" s="12">
        <v>19828.0</v>
      </c>
      <c r="D305" s="11" t="str">
        <f t="shared" si="1"/>
        <v> </v>
      </c>
      <c r="E305" s="11" t="str">
        <f t="shared" si="2"/>
        <v> </v>
      </c>
    </row>
    <row r="306" ht="15.75" customHeight="1">
      <c r="A306" s="11">
        <v>9919.0</v>
      </c>
      <c r="B306" s="11" t="s">
        <v>339</v>
      </c>
      <c r="C306" s="12">
        <v>23783.0</v>
      </c>
      <c r="D306" s="11" t="str">
        <f t="shared" si="1"/>
        <v> </v>
      </c>
      <c r="E306" s="11" t="str">
        <f t="shared" si="2"/>
        <v> </v>
      </c>
    </row>
    <row r="307" ht="15.75" customHeight="1">
      <c r="A307" s="11">
        <v>9921.0</v>
      </c>
      <c r="B307" s="11" t="s">
        <v>340</v>
      </c>
      <c r="C307" s="12">
        <v>28905.0</v>
      </c>
      <c r="D307" s="11" t="str">
        <f t="shared" si="1"/>
        <v> </v>
      </c>
      <c r="E307" s="11" t="str">
        <f t="shared" si="2"/>
        <v> </v>
      </c>
    </row>
    <row r="308" ht="15.75" customHeight="1">
      <c r="A308" s="11">
        <v>9929.0</v>
      </c>
      <c r="B308" s="11" t="s">
        <v>341</v>
      </c>
      <c r="C308" s="12">
        <v>28475.0</v>
      </c>
      <c r="D308" s="11" t="str">
        <f t="shared" si="1"/>
        <v> </v>
      </c>
      <c r="E308" s="11" t="str">
        <f t="shared" si="2"/>
        <v> </v>
      </c>
    </row>
    <row r="309" ht="15.75" customHeight="1">
      <c r="A309" s="11">
        <v>9930.0</v>
      </c>
      <c r="B309" s="11" t="s">
        <v>342</v>
      </c>
      <c r="C309" s="12">
        <v>20329.0</v>
      </c>
      <c r="D309" s="11" t="str">
        <f t="shared" si="1"/>
        <v> </v>
      </c>
      <c r="E309" s="11" t="str">
        <f t="shared" si="2"/>
        <v> </v>
      </c>
    </row>
    <row r="310" ht="15.75" customHeight="1">
      <c r="A310" s="11">
        <v>9938.0</v>
      </c>
      <c r="B310" s="11" t="s">
        <v>343</v>
      </c>
      <c r="C310" s="12">
        <v>25985.0</v>
      </c>
      <c r="D310" s="11" t="str">
        <f t="shared" si="1"/>
        <v> </v>
      </c>
      <c r="E310" s="11" t="str">
        <f t="shared" si="2"/>
        <v> </v>
      </c>
    </row>
    <row r="311" ht="15.75" customHeight="1">
      <c r="A311" s="11">
        <v>9945.0</v>
      </c>
      <c r="B311" s="11" t="s">
        <v>344</v>
      </c>
      <c r="C311" s="12">
        <v>21443.0</v>
      </c>
      <c r="D311" s="11" t="str">
        <f t="shared" si="1"/>
        <v> </v>
      </c>
      <c r="E311" s="11" t="str">
        <f t="shared" si="2"/>
        <v>Repeat</v>
      </c>
    </row>
    <row r="312" ht="15.75" customHeight="1">
      <c r="A312" s="11">
        <v>9950.0</v>
      </c>
      <c r="B312" s="11" t="s">
        <v>345</v>
      </c>
      <c r="C312" s="12">
        <v>31754.0</v>
      </c>
      <c r="D312" s="11" t="str">
        <f t="shared" si="1"/>
        <v> </v>
      </c>
      <c r="E312" s="11" t="str">
        <f t="shared" si="2"/>
        <v> </v>
      </c>
    </row>
    <row r="313" ht="15.75" customHeight="1">
      <c r="A313" s="11">
        <v>9957.0</v>
      </c>
      <c r="B313" s="11" t="s">
        <v>346</v>
      </c>
      <c r="C313" s="12">
        <v>18709.0</v>
      </c>
      <c r="D313" s="11" t="str">
        <f t="shared" si="1"/>
        <v> </v>
      </c>
      <c r="E313" s="11" t="str">
        <f t="shared" si="2"/>
        <v> </v>
      </c>
    </row>
    <row r="314" ht="15.75" customHeight="1">
      <c r="A314" s="11">
        <v>9958.0</v>
      </c>
      <c r="B314" s="11" t="s">
        <v>347</v>
      </c>
      <c r="C314" s="12">
        <v>28272.0</v>
      </c>
      <c r="D314" s="11" t="str">
        <f t="shared" si="1"/>
        <v> </v>
      </c>
      <c r="E314" s="11" t="str">
        <f t="shared" si="2"/>
        <v> </v>
      </c>
    </row>
    <row r="315" ht="15.75" customHeight="1">
      <c r="A315" s="11">
        <v>9961.0</v>
      </c>
      <c r="B315" s="11" t="s">
        <v>348</v>
      </c>
      <c r="C315" s="12">
        <v>17793.0</v>
      </c>
      <c r="D315" s="11" t="str">
        <f t="shared" si="1"/>
        <v> </v>
      </c>
      <c r="E315" s="11" t="str">
        <f t="shared" si="2"/>
        <v> </v>
      </c>
    </row>
    <row r="316" ht="15.75" customHeight="1">
      <c r="A316" s="11">
        <v>9965.0</v>
      </c>
      <c r="B316" s="11" t="s">
        <v>349</v>
      </c>
      <c r="C316" s="12">
        <v>23819.0</v>
      </c>
      <c r="D316" s="11" t="str">
        <f t="shared" si="1"/>
        <v> </v>
      </c>
      <c r="E316" s="11" t="str">
        <f t="shared" si="2"/>
        <v> </v>
      </c>
    </row>
    <row r="317" ht="15.75" customHeight="1">
      <c r="A317" s="11">
        <v>9966.0</v>
      </c>
      <c r="B317" s="11" t="s">
        <v>350</v>
      </c>
      <c r="C317" s="12">
        <v>20414.0</v>
      </c>
      <c r="D317" s="11" t="str">
        <f t="shared" si="1"/>
        <v> </v>
      </c>
      <c r="E317" s="11" t="str">
        <f t="shared" si="2"/>
        <v> </v>
      </c>
    </row>
    <row r="318" ht="15.75" customHeight="1">
      <c r="A318" s="11">
        <v>9967.0</v>
      </c>
      <c r="B318" s="11" t="s">
        <v>351</v>
      </c>
      <c r="C318" s="12">
        <v>27629.0</v>
      </c>
      <c r="D318" s="11" t="str">
        <f t="shared" si="1"/>
        <v> </v>
      </c>
      <c r="E318" s="11" t="str">
        <f t="shared" si="2"/>
        <v> </v>
      </c>
    </row>
    <row r="319" ht="15.75" customHeight="1">
      <c r="A319" s="11">
        <v>9968.0</v>
      </c>
      <c r="B319" s="11" t="s">
        <v>352</v>
      </c>
      <c r="C319" s="12">
        <v>29042.0</v>
      </c>
      <c r="D319" s="11" t="str">
        <f t="shared" si="1"/>
        <v> </v>
      </c>
      <c r="E319" s="11" t="str">
        <f t="shared" si="2"/>
        <v> </v>
      </c>
    </row>
    <row r="320" ht="15.75" customHeight="1">
      <c r="A320" s="11">
        <v>9971.0</v>
      </c>
      <c r="B320" s="11" t="s">
        <v>353</v>
      </c>
      <c r="C320" s="12">
        <v>21774.0</v>
      </c>
      <c r="D320" s="11" t="str">
        <f t="shared" si="1"/>
        <v> </v>
      </c>
      <c r="E320" s="11" t="str">
        <f t="shared" si="2"/>
        <v> </v>
      </c>
    </row>
    <row r="321" ht="15.75" customHeight="1">
      <c r="A321" s="11">
        <v>9973.0</v>
      </c>
      <c r="B321" s="11" t="s">
        <v>354</v>
      </c>
      <c r="C321" s="12">
        <v>20345.0</v>
      </c>
      <c r="D321" s="11" t="str">
        <f t="shared" si="1"/>
        <v> </v>
      </c>
      <c r="E321" s="11" t="str">
        <f t="shared" si="2"/>
        <v> </v>
      </c>
    </row>
    <row r="322" ht="15.75" customHeight="1">
      <c r="A322" s="11">
        <v>9975.0</v>
      </c>
      <c r="B322" s="11" t="s">
        <v>355</v>
      </c>
      <c r="C322" s="12">
        <v>25010.0</v>
      </c>
      <c r="D322" s="11" t="str">
        <f t="shared" si="1"/>
        <v> </v>
      </c>
      <c r="E322" s="11" t="str">
        <f t="shared" si="2"/>
        <v> </v>
      </c>
    </row>
    <row r="323" ht="15.75" customHeight="1">
      <c r="A323" s="11">
        <v>9976.0</v>
      </c>
      <c r="B323" s="11" t="s">
        <v>356</v>
      </c>
      <c r="C323" s="12">
        <v>19321.0</v>
      </c>
      <c r="D323" s="11" t="str">
        <f t="shared" si="1"/>
        <v> </v>
      </c>
      <c r="E323" s="11" t="str">
        <f t="shared" si="2"/>
        <v> </v>
      </c>
    </row>
    <row r="324" ht="15.75" customHeight="1">
      <c r="A324" s="11">
        <v>9979.0</v>
      </c>
      <c r="B324" s="11" t="s">
        <v>357</v>
      </c>
      <c r="C324" s="12">
        <v>16425.0</v>
      </c>
      <c r="D324" s="11" t="str">
        <f t="shared" si="1"/>
        <v> </v>
      </c>
      <c r="E324" s="11" t="str">
        <f t="shared" si="2"/>
        <v> </v>
      </c>
    </row>
    <row r="325" ht="15.75" customHeight="1">
      <c r="A325" s="11">
        <v>9984.0</v>
      </c>
      <c r="B325" s="11" t="s">
        <v>358</v>
      </c>
      <c r="C325" s="12">
        <v>20969.0</v>
      </c>
      <c r="D325" s="11" t="str">
        <f t="shared" si="1"/>
        <v>Repeat</v>
      </c>
      <c r="E325" s="11" t="str">
        <f t="shared" si="2"/>
        <v> </v>
      </c>
    </row>
    <row r="326" ht="15.75" customHeight="1">
      <c r="A326" s="11">
        <v>9986.0</v>
      </c>
      <c r="B326" s="11" t="s">
        <v>359</v>
      </c>
      <c r="C326" s="12">
        <v>28617.0</v>
      </c>
      <c r="D326" s="11" t="str">
        <f t="shared" si="1"/>
        <v> </v>
      </c>
      <c r="E326" s="11" t="str">
        <f t="shared" si="2"/>
        <v> </v>
      </c>
    </row>
    <row r="327" ht="15.75" customHeight="1">
      <c r="A327" s="11">
        <v>9987.0</v>
      </c>
      <c r="B327" s="11" t="s">
        <v>360</v>
      </c>
      <c r="C327" s="12">
        <v>25661.0</v>
      </c>
      <c r="D327" s="11" t="str">
        <f t="shared" si="1"/>
        <v> </v>
      </c>
      <c r="E327" s="11" t="str">
        <f t="shared" si="2"/>
        <v> </v>
      </c>
    </row>
    <row r="328" ht="15.75" customHeight="1">
      <c r="A328" s="11">
        <v>9991.0</v>
      </c>
      <c r="B328" s="11" t="s">
        <v>361</v>
      </c>
      <c r="C328" s="12">
        <v>22415.0</v>
      </c>
      <c r="D328" s="11" t="str">
        <f t="shared" si="1"/>
        <v> </v>
      </c>
      <c r="E328" s="11" t="str">
        <f t="shared" si="2"/>
        <v> </v>
      </c>
    </row>
    <row r="329" ht="15.75" customHeight="1">
      <c r="A329" s="11">
        <v>9995.0</v>
      </c>
      <c r="B329" s="11" t="s">
        <v>362</v>
      </c>
      <c r="C329" s="12">
        <v>25122.0</v>
      </c>
      <c r="D329" s="11" t="str">
        <f t="shared" si="1"/>
        <v> </v>
      </c>
      <c r="E329" s="11" t="str">
        <f t="shared" si="2"/>
        <v> </v>
      </c>
    </row>
    <row r="330" ht="15.75" customHeight="1">
      <c r="A330" s="11">
        <v>10001.0</v>
      </c>
      <c r="B330" s="11" t="s">
        <v>363</v>
      </c>
      <c r="C330" s="12">
        <v>16357.0</v>
      </c>
      <c r="D330" s="11" t="str">
        <f t="shared" si="1"/>
        <v> </v>
      </c>
      <c r="E330" s="11" t="str">
        <f t="shared" si="2"/>
        <v> </v>
      </c>
    </row>
    <row r="331" ht="15.75" customHeight="1">
      <c r="A331" s="11">
        <v>10003.0</v>
      </c>
      <c r="B331" s="11" t="s">
        <v>364</v>
      </c>
      <c r="C331" s="12">
        <v>17511.0</v>
      </c>
      <c r="D331" s="11" t="str">
        <f t="shared" si="1"/>
        <v> </v>
      </c>
      <c r="E331" s="11" t="str">
        <f t="shared" si="2"/>
        <v> </v>
      </c>
    </row>
    <row r="332" ht="15.75" customHeight="1">
      <c r="A332" s="11">
        <v>10010.0</v>
      </c>
      <c r="B332" s="11" t="s">
        <v>365</v>
      </c>
      <c r="C332" s="12">
        <v>17232.0</v>
      </c>
      <c r="D332" s="11" t="str">
        <f t="shared" si="1"/>
        <v> </v>
      </c>
      <c r="E332" s="11" t="str">
        <f t="shared" si="2"/>
        <v> </v>
      </c>
    </row>
    <row r="333" ht="15.75" customHeight="1">
      <c r="A333" s="11">
        <v>10011.0</v>
      </c>
      <c r="B333" s="11" t="s">
        <v>366</v>
      </c>
      <c r="C333" s="12">
        <v>30920.0</v>
      </c>
      <c r="D333" s="11" t="str">
        <f t="shared" si="1"/>
        <v> </v>
      </c>
      <c r="E333" s="11" t="str">
        <f t="shared" si="2"/>
        <v> </v>
      </c>
    </row>
    <row r="334" ht="15.75" customHeight="1">
      <c r="A334" s="11">
        <v>10012.0</v>
      </c>
      <c r="B334" s="11" t="s">
        <v>367</v>
      </c>
      <c r="C334" s="12">
        <v>22936.0</v>
      </c>
      <c r="D334" s="11" t="str">
        <f t="shared" si="1"/>
        <v> </v>
      </c>
      <c r="E334" s="11" t="str">
        <f t="shared" si="2"/>
        <v> </v>
      </c>
    </row>
    <row r="335" ht="15.75" customHeight="1">
      <c r="A335" s="11">
        <v>10014.0</v>
      </c>
      <c r="B335" s="11" t="s">
        <v>368</v>
      </c>
      <c r="C335" s="12">
        <v>34238.0</v>
      </c>
      <c r="D335" s="11" t="str">
        <f t="shared" si="1"/>
        <v> </v>
      </c>
      <c r="E335" s="11" t="str">
        <f t="shared" si="2"/>
        <v> </v>
      </c>
    </row>
    <row r="336" ht="15.75" customHeight="1">
      <c r="A336" s="11">
        <v>10015.0</v>
      </c>
      <c r="B336" s="11" t="s">
        <v>369</v>
      </c>
      <c r="C336" s="12">
        <v>20741.0</v>
      </c>
      <c r="D336" s="11" t="str">
        <f t="shared" si="1"/>
        <v> </v>
      </c>
      <c r="E336" s="11" t="str">
        <f t="shared" si="2"/>
        <v> </v>
      </c>
    </row>
    <row r="337" ht="15.75" customHeight="1">
      <c r="A337" s="11">
        <v>10016.0</v>
      </c>
      <c r="B337" s="11" t="s">
        <v>370</v>
      </c>
      <c r="C337" s="12">
        <v>28044.0</v>
      </c>
      <c r="D337" s="11" t="str">
        <f t="shared" si="1"/>
        <v> </v>
      </c>
      <c r="E337" s="11" t="str">
        <f t="shared" si="2"/>
        <v> </v>
      </c>
    </row>
    <row r="338" ht="15.75" customHeight="1">
      <c r="A338" s="11">
        <v>10021.0</v>
      </c>
      <c r="B338" s="11" t="s">
        <v>371</v>
      </c>
      <c r="C338" s="12">
        <v>18787.0</v>
      </c>
      <c r="D338" s="11" t="str">
        <f t="shared" si="1"/>
        <v> </v>
      </c>
      <c r="E338" s="11" t="str">
        <f t="shared" si="2"/>
        <v> </v>
      </c>
    </row>
    <row r="339" ht="15.75" customHeight="1">
      <c r="A339" s="11">
        <v>10022.0</v>
      </c>
      <c r="B339" s="11" t="s">
        <v>372</v>
      </c>
      <c r="C339" s="12">
        <v>18051.0</v>
      </c>
      <c r="D339" s="11" t="str">
        <f t="shared" si="1"/>
        <v> </v>
      </c>
      <c r="E339" s="11" t="str">
        <f t="shared" si="2"/>
        <v> </v>
      </c>
    </row>
    <row r="340" ht="15.75" customHeight="1">
      <c r="A340" s="11">
        <v>10023.0</v>
      </c>
      <c r="B340" s="11" t="s">
        <v>373</v>
      </c>
      <c r="C340" s="12">
        <v>17761.0</v>
      </c>
      <c r="D340" s="11" t="str">
        <f t="shared" si="1"/>
        <v> </v>
      </c>
      <c r="E340" s="11" t="str">
        <f t="shared" si="2"/>
        <v> </v>
      </c>
    </row>
    <row r="341" ht="15.75" customHeight="1">
      <c r="A341" s="11">
        <v>10024.0</v>
      </c>
      <c r="B341" s="11" t="s">
        <v>374</v>
      </c>
      <c r="C341" s="12">
        <v>29045.0</v>
      </c>
      <c r="D341" s="11" t="str">
        <f t="shared" si="1"/>
        <v> </v>
      </c>
      <c r="E341" s="11" t="str">
        <f t="shared" si="2"/>
        <v> </v>
      </c>
    </row>
    <row r="342" ht="15.75" customHeight="1">
      <c r="A342" s="11">
        <v>10025.0</v>
      </c>
      <c r="B342" s="11" t="s">
        <v>375</v>
      </c>
      <c r="C342" s="12">
        <v>21272.0</v>
      </c>
      <c r="D342" s="11" t="str">
        <f t="shared" si="1"/>
        <v> </v>
      </c>
      <c r="E342" s="11" t="str">
        <f t="shared" si="2"/>
        <v> </v>
      </c>
    </row>
    <row r="343" ht="15.75" customHeight="1">
      <c r="A343" s="11">
        <v>10027.0</v>
      </c>
      <c r="B343" s="11" t="s">
        <v>376</v>
      </c>
      <c r="C343" s="12">
        <v>15074.0</v>
      </c>
      <c r="D343" s="11" t="str">
        <f t="shared" si="1"/>
        <v> </v>
      </c>
      <c r="E343" s="11" t="str">
        <f t="shared" si="2"/>
        <v> </v>
      </c>
    </row>
    <row r="344" ht="15.75" customHeight="1">
      <c r="A344" s="11">
        <v>10028.0</v>
      </c>
      <c r="B344" s="11" t="s">
        <v>377</v>
      </c>
      <c r="C344" s="12">
        <v>28198.0</v>
      </c>
      <c r="D344" s="11" t="str">
        <f t="shared" si="1"/>
        <v> </v>
      </c>
      <c r="E344" s="11" t="str">
        <f t="shared" si="2"/>
        <v> </v>
      </c>
    </row>
    <row r="345" ht="15.75" customHeight="1">
      <c r="A345" s="11">
        <v>10030.0</v>
      </c>
      <c r="B345" s="11" t="s">
        <v>378</v>
      </c>
      <c r="C345" s="12">
        <v>28740.0</v>
      </c>
      <c r="D345" s="11" t="str">
        <f t="shared" si="1"/>
        <v> </v>
      </c>
      <c r="E345" s="11" t="str">
        <f t="shared" si="2"/>
        <v> </v>
      </c>
    </row>
    <row r="346" ht="15.75" customHeight="1">
      <c r="A346" s="11">
        <v>10031.0</v>
      </c>
      <c r="B346" s="11" t="s">
        <v>379</v>
      </c>
      <c r="C346" s="12">
        <v>17004.0</v>
      </c>
      <c r="D346" s="11" t="str">
        <f t="shared" si="1"/>
        <v> </v>
      </c>
      <c r="E346" s="11" t="str">
        <f t="shared" si="2"/>
        <v> </v>
      </c>
    </row>
    <row r="347" ht="15.75" customHeight="1">
      <c r="A347" s="11">
        <v>10033.0</v>
      </c>
      <c r="B347" s="11" t="s">
        <v>380</v>
      </c>
      <c r="C347" s="12">
        <v>20237.0</v>
      </c>
      <c r="D347" s="11" t="str">
        <f t="shared" si="1"/>
        <v> </v>
      </c>
      <c r="E347" s="11" t="str">
        <f t="shared" si="2"/>
        <v> </v>
      </c>
    </row>
    <row r="348" ht="15.75" customHeight="1">
      <c r="A348" s="11">
        <v>10034.0</v>
      </c>
      <c r="B348" s="11" t="s">
        <v>381</v>
      </c>
      <c r="C348" s="12">
        <v>15966.0</v>
      </c>
      <c r="D348" s="11" t="str">
        <f t="shared" si="1"/>
        <v> </v>
      </c>
      <c r="E348" s="11" t="str">
        <f t="shared" si="2"/>
        <v> </v>
      </c>
    </row>
    <row r="349" ht="15.75" customHeight="1">
      <c r="A349" s="11">
        <v>10036.0</v>
      </c>
      <c r="B349" s="11" t="s">
        <v>382</v>
      </c>
      <c r="C349" s="12">
        <v>25546.0</v>
      </c>
      <c r="D349" s="11" t="str">
        <f t="shared" si="1"/>
        <v> </v>
      </c>
      <c r="E349" s="11" t="str">
        <f t="shared" si="2"/>
        <v> </v>
      </c>
    </row>
    <row r="350" ht="15.75" customHeight="1">
      <c r="A350" s="11">
        <v>10037.0</v>
      </c>
      <c r="B350" s="11" t="s">
        <v>383</v>
      </c>
      <c r="C350" s="12">
        <v>15616.0</v>
      </c>
      <c r="D350" s="11" t="str">
        <f t="shared" si="1"/>
        <v> </v>
      </c>
      <c r="E350" s="11" t="str">
        <f t="shared" si="2"/>
        <v> </v>
      </c>
    </row>
    <row r="351" ht="15.75" customHeight="1">
      <c r="A351" s="11">
        <v>10039.0</v>
      </c>
      <c r="B351" s="11" t="s">
        <v>384</v>
      </c>
      <c r="C351" s="12">
        <v>25054.0</v>
      </c>
      <c r="D351" s="11" t="str">
        <f t="shared" si="1"/>
        <v> </v>
      </c>
      <c r="E351" s="11" t="str">
        <f t="shared" si="2"/>
        <v> </v>
      </c>
    </row>
    <row r="352" ht="15.75" customHeight="1">
      <c r="A352" s="11">
        <v>10040.0</v>
      </c>
      <c r="B352" s="11" t="s">
        <v>385</v>
      </c>
      <c r="C352" s="12">
        <v>20306.0</v>
      </c>
      <c r="D352" s="11" t="str">
        <f t="shared" si="1"/>
        <v> </v>
      </c>
      <c r="E352" s="11" t="str">
        <f t="shared" si="2"/>
        <v> </v>
      </c>
    </row>
    <row r="353" ht="15.75" customHeight="1">
      <c r="A353" s="11">
        <v>10044.0</v>
      </c>
      <c r="B353" s="11" t="s">
        <v>386</v>
      </c>
      <c r="C353" s="12">
        <v>30038.0</v>
      </c>
      <c r="D353" s="11" t="str">
        <f t="shared" si="1"/>
        <v> </v>
      </c>
      <c r="E353" s="11" t="str">
        <f t="shared" si="2"/>
        <v> </v>
      </c>
    </row>
    <row r="354" ht="15.75" customHeight="1">
      <c r="A354" s="11">
        <v>10047.0</v>
      </c>
      <c r="B354" s="11" t="s">
        <v>387</v>
      </c>
      <c r="C354" s="12">
        <v>24501.0</v>
      </c>
      <c r="D354" s="11" t="str">
        <f t="shared" si="1"/>
        <v> </v>
      </c>
      <c r="E354" s="11" t="str">
        <f t="shared" si="2"/>
        <v> </v>
      </c>
    </row>
    <row r="355" ht="15.75" customHeight="1">
      <c r="A355" s="11">
        <v>10049.0</v>
      </c>
      <c r="B355" s="11" t="s">
        <v>388</v>
      </c>
      <c r="C355" s="12">
        <v>20472.0</v>
      </c>
      <c r="D355" s="11" t="str">
        <f t="shared" si="1"/>
        <v> </v>
      </c>
      <c r="E355" s="11" t="str">
        <f t="shared" si="2"/>
        <v> </v>
      </c>
    </row>
    <row r="356" ht="15.75" customHeight="1">
      <c r="A356" s="11">
        <v>10050.0</v>
      </c>
      <c r="B356" s="11" t="s">
        <v>389</v>
      </c>
      <c r="C356" s="12">
        <v>17254.0</v>
      </c>
      <c r="D356" s="11" t="str">
        <f t="shared" si="1"/>
        <v> </v>
      </c>
      <c r="E356" s="11" t="str">
        <f t="shared" si="2"/>
        <v> </v>
      </c>
    </row>
    <row r="357" ht="15.75" customHeight="1">
      <c r="A357" s="11">
        <v>10055.0</v>
      </c>
      <c r="B357" s="11" t="s">
        <v>390</v>
      </c>
      <c r="C357" s="12">
        <v>22515.0</v>
      </c>
      <c r="D357" s="11" t="str">
        <f t="shared" si="1"/>
        <v> </v>
      </c>
      <c r="E357" s="11" t="str">
        <f t="shared" si="2"/>
        <v> </v>
      </c>
    </row>
    <row r="358" ht="15.75" customHeight="1">
      <c r="A358" s="11">
        <v>10056.0</v>
      </c>
      <c r="B358" s="11" t="s">
        <v>391</v>
      </c>
      <c r="C358" s="12">
        <v>27676.0</v>
      </c>
      <c r="D358" s="11" t="str">
        <f t="shared" si="1"/>
        <v> </v>
      </c>
      <c r="E358" s="11" t="str">
        <f t="shared" si="2"/>
        <v> </v>
      </c>
    </row>
    <row r="359" ht="15.75" customHeight="1">
      <c r="A359" s="11">
        <v>10058.0</v>
      </c>
      <c r="B359" s="11" t="s">
        <v>392</v>
      </c>
      <c r="C359" s="12">
        <v>23141.0</v>
      </c>
      <c r="D359" s="11" t="str">
        <f t="shared" si="1"/>
        <v> </v>
      </c>
      <c r="E359" s="11" t="str">
        <f t="shared" si="2"/>
        <v> </v>
      </c>
    </row>
    <row r="360" ht="15.75" customHeight="1">
      <c r="A360" s="11">
        <v>10059.0</v>
      </c>
      <c r="B360" s="11" t="s">
        <v>393</v>
      </c>
      <c r="C360" s="12">
        <v>32778.0</v>
      </c>
      <c r="D360" s="11" t="str">
        <f t="shared" si="1"/>
        <v> </v>
      </c>
      <c r="E360" s="11" t="str">
        <f t="shared" si="2"/>
        <v> </v>
      </c>
    </row>
    <row r="361" ht="15.75" customHeight="1">
      <c r="A361" s="11">
        <v>10061.0</v>
      </c>
      <c r="B361" s="11" t="s">
        <v>394</v>
      </c>
      <c r="C361" s="12">
        <v>21559.0</v>
      </c>
      <c r="D361" s="11" t="str">
        <f t="shared" si="1"/>
        <v> </v>
      </c>
      <c r="E361" s="11" t="str">
        <f t="shared" si="2"/>
        <v> </v>
      </c>
    </row>
    <row r="362" ht="15.75" customHeight="1">
      <c r="A362" s="11">
        <v>10063.0</v>
      </c>
      <c r="B362" s="11" t="s">
        <v>395</v>
      </c>
      <c r="C362" s="12">
        <v>24993.0</v>
      </c>
      <c r="D362" s="11" t="str">
        <f t="shared" si="1"/>
        <v> </v>
      </c>
      <c r="E362" s="11" t="str">
        <f t="shared" si="2"/>
        <v> </v>
      </c>
    </row>
    <row r="363" ht="15.75" customHeight="1">
      <c r="A363" s="11">
        <v>10068.0</v>
      </c>
      <c r="B363" s="11" t="s">
        <v>396</v>
      </c>
      <c r="C363" s="12">
        <v>15785.0</v>
      </c>
      <c r="D363" s="11" t="str">
        <f t="shared" si="1"/>
        <v> </v>
      </c>
      <c r="E363" s="11" t="str">
        <f t="shared" si="2"/>
        <v> </v>
      </c>
    </row>
    <row r="364" ht="15.75" customHeight="1">
      <c r="A364" s="11">
        <v>10074.0</v>
      </c>
      <c r="B364" s="11" t="s">
        <v>397</v>
      </c>
      <c r="C364" s="12">
        <v>32549.0</v>
      </c>
      <c r="D364" s="11" t="str">
        <f t="shared" si="1"/>
        <v> </v>
      </c>
      <c r="E364" s="11" t="str">
        <f t="shared" si="2"/>
        <v> </v>
      </c>
    </row>
    <row r="365" ht="15.75" customHeight="1">
      <c r="A365" s="11">
        <v>10075.0</v>
      </c>
      <c r="B365" s="11" t="s">
        <v>398</v>
      </c>
      <c r="C365" s="12">
        <v>12294.0</v>
      </c>
      <c r="D365" s="11" t="str">
        <f t="shared" si="1"/>
        <v> </v>
      </c>
      <c r="E365" s="11" t="str">
        <f t="shared" si="2"/>
        <v> </v>
      </c>
    </row>
    <row r="366" ht="15.75" customHeight="1">
      <c r="A366" s="11">
        <v>10076.0</v>
      </c>
      <c r="B366" s="11" t="s">
        <v>399</v>
      </c>
      <c r="C366" s="12">
        <v>27726.0</v>
      </c>
      <c r="D366" s="11" t="str">
        <f t="shared" si="1"/>
        <v> </v>
      </c>
      <c r="E366" s="11" t="str">
        <f t="shared" si="2"/>
        <v> </v>
      </c>
    </row>
    <row r="367" ht="15.75" customHeight="1">
      <c r="A367" s="11">
        <v>10078.0</v>
      </c>
      <c r="B367" s="11" t="s">
        <v>400</v>
      </c>
      <c r="C367" s="12">
        <v>11441.0</v>
      </c>
      <c r="D367" s="11" t="str">
        <f t="shared" si="1"/>
        <v> </v>
      </c>
      <c r="E367" s="11" t="str">
        <f t="shared" si="2"/>
        <v> </v>
      </c>
    </row>
    <row r="368" ht="15.75" customHeight="1">
      <c r="A368" s="11">
        <v>10080.0</v>
      </c>
      <c r="B368" s="11" t="s">
        <v>401</v>
      </c>
      <c r="C368" s="12">
        <v>21618.0</v>
      </c>
      <c r="D368" s="11" t="str">
        <f t="shared" si="1"/>
        <v> </v>
      </c>
      <c r="E368" s="11" t="str">
        <f t="shared" si="2"/>
        <v> </v>
      </c>
    </row>
    <row r="369" ht="15.75" customHeight="1">
      <c r="A369" s="11">
        <v>10082.0</v>
      </c>
      <c r="B369" s="11" t="s">
        <v>402</v>
      </c>
      <c r="C369" s="12">
        <v>29027.0</v>
      </c>
      <c r="D369" s="11" t="str">
        <f t="shared" si="1"/>
        <v> </v>
      </c>
      <c r="E369" s="11" t="str">
        <f t="shared" si="2"/>
        <v> </v>
      </c>
    </row>
    <row r="370" ht="15.75" customHeight="1">
      <c r="A370" s="11">
        <v>10084.0</v>
      </c>
      <c r="B370" s="11" t="s">
        <v>403</v>
      </c>
      <c r="C370" s="12">
        <v>27338.0</v>
      </c>
      <c r="D370" s="11" t="str">
        <f t="shared" si="1"/>
        <v> </v>
      </c>
      <c r="E370" s="11" t="str">
        <f t="shared" si="2"/>
        <v> </v>
      </c>
    </row>
    <row r="371" ht="15.75" customHeight="1">
      <c r="A371" s="11">
        <v>10088.0</v>
      </c>
      <c r="B371" s="11" t="s">
        <v>404</v>
      </c>
      <c r="C371" s="12">
        <v>22805.0</v>
      </c>
      <c r="D371" s="11" t="str">
        <f t="shared" si="1"/>
        <v> </v>
      </c>
      <c r="E371" s="11" t="str">
        <f t="shared" si="2"/>
        <v> </v>
      </c>
    </row>
    <row r="372" ht="15.75" customHeight="1">
      <c r="A372" s="11">
        <v>10090.0</v>
      </c>
      <c r="B372" s="11" t="s">
        <v>405</v>
      </c>
      <c r="C372" s="12">
        <v>19362.0</v>
      </c>
      <c r="D372" s="11" t="str">
        <f t="shared" si="1"/>
        <v> </v>
      </c>
      <c r="E372" s="11" t="str">
        <f t="shared" si="2"/>
        <v> </v>
      </c>
    </row>
    <row r="373" ht="15.75" customHeight="1">
      <c r="A373" s="11">
        <v>10092.0</v>
      </c>
      <c r="B373" s="11" t="s">
        <v>406</v>
      </c>
      <c r="C373" s="12">
        <v>22090.0</v>
      </c>
      <c r="D373" s="11" t="str">
        <f t="shared" si="1"/>
        <v> </v>
      </c>
      <c r="E373" s="11" t="str">
        <f t="shared" si="2"/>
        <v> </v>
      </c>
    </row>
    <row r="374" ht="15.75" customHeight="1">
      <c r="A374" s="11">
        <v>10094.0</v>
      </c>
      <c r="B374" s="11" t="s">
        <v>407</v>
      </c>
      <c r="C374" s="12">
        <v>24190.0</v>
      </c>
      <c r="D374" s="11" t="str">
        <f t="shared" si="1"/>
        <v> </v>
      </c>
      <c r="E374" s="11" t="str">
        <f t="shared" si="2"/>
        <v> </v>
      </c>
    </row>
    <row r="375" ht="15.75" customHeight="1">
      <c r="A375" s="11">
        <v>10095.0</v>
      </c>
      <c r="B375" s="11" t="s">
        <v>408</v>
      </c>
      <c r="C375" s="12">
        <v>17275.0</v>
      </c>
      <c r="D375" s="11" t="str">
        <f t="shared" si="1"/>
        <v> </v>
      </c>
      <c r="E375" s="11" t="str">
        <f t="shared" si="2"/>
        <v> </v>
      </c>
    </row>
    <row r="376" ht="15.75" customHeight="1">
      <c r="A376" s="11">
        <v>10097.0</v>
      </c>
      <c r="B376" s="11" t="s">
        <v>409</v>
      </c>
      <c r="C376" s="12">
        <v>19102.0</v>
      </c>
      <c r="D376" s="11" t="str">
        <f t="shared" si="1"/>
        <v> </v>
      </c>
      <c r="E376" s="11" t="str">
        <f t="shared" si="2"/>
        <v> </v>
      </c>
    </row>
    <row r="377" ht="15.75" customHeight="1">
      <c r="A377" s="11">
        <v>10100.0</v>
      </c>
      <c r="B377" s="11" t="s">
        <v>410</v>
      </c>
      <c r="C377" s="12">
        <v>21315.0</v>
      </c>
      <c r="D377" s="11" t="str">
        <f t="shared" si="1"/>
        <v>Repeat</v>
      </c>
      <c r="E377" s="11" t="str">
        <f t="shared" si="2"/>
        <v>Repeat</v>
      </c>
    </row>
    <row r="378" ht="15.75" customHeight="1">
      <c r="A378" s="11">
        <v>10101.0</v>
      </c>
      <c r="B378" s="11" t="s">
        <v>411</v>
      </c>
      <c r="C378" s="12">
        <v>21656.0</v>
      </c>
      <c r="D378" s="11" t="str">
        <f t="shared" si="1"/>
        <v> </v>
      </c>
      <c r="E378" s="11" t="str">
        <f t="shared" si="2"/>
        <v> </v>
      </c>
    </row>
    <row r="379" ht="15.75" customHeight="1">
      <c r="A379" s="11">
        <v>10109.0</v>
      </c>
      <c r="B379" s="11" t="s">
        <v>412</v>
      </c>
      <c r="C379" s="12">
        <v>22900.0</v>
      </c>
      <c r="D379" s="11" t="str">
        <f t="shared" si="1"/>
        <v> </v>
      </c>
      <c r="E379" s="11" t="str">
        <f t="shared" si="2"/>
        <v> </v>
      </c>
    </row>
    <row r="380" ht="15.75" customHeight="1">
      <c r="A380" s="11">
        <v>10111.0</v>
      </c>
      <c r="B380" s="11" t="s">
        <v>413</v>
      </c>
      <c r="C380" s="12">
        <v>20554.0</v>
      </c>
      <c r="D380" s="11" t="str">
        <f t="shared" si="1"/>
        <v> </v>
      </c>
      <c r="E380" s="11" t="str">
        <f t="shared" si="2"/>
        <v> </v>
      </c>
    </row>
    <row r="381" ht="15.75" customHeight="1">
      <c r="A381" s="11">
        <v>10113.0</v>
      </c>
      <c r="B381" s="11" t="s">
        <v>414</v>
      </c>
      <c r="C381" s="12">
        <v>19691.0</v>
      </c>
      <c r="D381" s="11" t="str">
        <f t="shared" si="1"/>
        <v> </v>
      </c>
      <c r="E381" s="11" t="str">
        <f t="shared" si="2"/>
        <v> </v>
      </c>
    </row>
    <row r="382" ht="15.75" customHeight="1">
      <c r="A382" s="11">
        <v>10114.0</v>
      </c>
      <c r="B382" s="11" t="s">
        <v>415</v>
      </c>
      <c r="C382" s="12">
        <v>21405.0</v>
      </c>
      <c r="D382" s="11" t="str">
        <f t="shared" si="1"/>
        <v> </v>
      </c>
      <c r="E382" s="11" t="str">
        <f t="shared" si="2"/>
        <v> </v>
      </c>
    </row>
    <row r="383" ht="15.75" customHeight="1">
      <c r="A383" s="11">
        <v>10115.0</v>
      </c>
      <c r="B383" s="11" t="s">
        <v>416</v>
      </c>
      <c r="C383" s="12">
        <v>28803.0</v>
      </c>
      <c r="D383" s="11" t="str">
        <f t="shared" si="1"/>
        <v> </v>
      </c>
      <c r="E383" s="11" t="str">
        <f t="shared" si="2"/>
        <v> </v>
      </c>
    </row>
    <row r="384" ht="15.75" customHeight="1">
      <c r="A384" s="11">
        <v>10118.0</v>
      </c>
      <c r="B384" s="11" t="s">
        <v>417</v>
      </c>
      <c r="C384" s="12">
        <v>15112.0</v>
      </c>
      <c r="D384" s="11" t="str">
        <f t="shared" si="1"/>
        <v> </v>
      </c>
      <c r="E384" s="11" t="str">
        <f t="shared" si="2"/>
        <v> </v>
      </c>
    </row>
    <row r="385" ht="15.75" customHeight="1">
      <c r="A385" s="11">
        <v>10121.0</v>
      </c>
      <c r="B385" s="11" t="s">
        <v>418</v>
      </c>
      <c r="C385" s="12">
        <v>32416.0</v>
      </c>
      <c r="D385" s="11" t="str">
        <f t="shared" si="1"/>
        <v> </v>
      </c>
      <c r="E385" s="11" t="str">
        <f t="shared" si="2"/>
        <v> </v>
      </c>
    </row>
    <row r="386" ht="15.75" customHeight="1">
      <c r="A386" s="11">
        <v>10136.0</v>
      </c>
      <c r="B386" s="11" t="s">
        <v>419</v>
      </c>
      <c r="C386" s="12">
        <v>22803.0</v>
      </c>
      <c r="D386" s="11" t="str">
        <f t="shared" si="1"/>
        <v> </v>
      </c>
      <c r="E386" s="11" t="str">
        <f t="shared" si="2"/>
        <v> </v>
      </c>
    </row>
    <row r="387" ht="15.75" customHeight="1">
      <c r="A387" s="11">
        <v>10137.0</v>
      </c>
      <c r="B387" s="11" t="s">
        <v>420</v>
      </c>
      <c r="C387" s="12">
        <v>21021.0</v>
      </c>
      <c r="D387" s="11" t="str">
        <f t="shared" si="1"/>
        <v> </v>
      </c>
      <c r="E387" s="11" t="str">
        <f t="shared" si="2"/>
        <v> </v>
      </c>
    </row>
    <row r="388" ht="15.75" customHeight="1">
      <c r="A388" s="11">
        <v>10140.0</v>
      </c>
      <c r="B388" s="11" t="s">
        <v>421</v>
      </c>
      <c r="C388" s="12">
        <v>24305.0</v>
      </c>
      <c r="D388" s="11" t="str">
        <f t="shared" si="1"/>
        <v> </v>
      </c>
      <c r="E388" s="11" t="str">
        <f t="shared" si="2"/>
        <v> </v>
      </c>
    </row>
    <row r="389" ht="15.75" customHeight="1">
      <c r="A389" s="11">
        <v>10141.0</v>
      </c>
      <c r="B389" s="11" t="s">
        <v>422</v>
      </c>
      <c r="C389" s="12">
        <v>23797.0</v>
      </c>
      <c r="D389" s="11" t="str">
        <f t="shared" si="1"/>
        <v> </v>
      </c>
      <c r="E389" s="11" t="str">
        <f t="shared" si="2"/>
        <v> </v>
      </c>
    </row>
    <row r="390" ht="15.75" customHeight="1">
      <c r="A390" s="11">
        <v>10143.0</v>
      </c>
      <c r="B390" s="11" t="s">
        <v>423</v>
      </c>
      <c r="C390" s="12">
        <v>14042.0</v>
      </c>
      <c r="D390" s="11" t="str">
        <f t="shared" si="1"/>
        <v> </v>
      </c>
      <c r="E390" s="11" t="str">
        <f t="shared" si="2"/>
        <v> </v>
      </c>
    </row>
    <row r="391" ht="15.75" customHeight="1">
      <c r="A391" s="11">
        <v>10144.0</v>
      </c>
      <c r="B391" s="11" t="s">
        <v>424</v>
      </c>
      <c r="C391" s="12">
        <v>30076.0</v>
      </c>
      <c r="D391" s="11" t="str">
        <f t="shared" si="1"/>
        <v> </v>
      </c>
      <c r="E391" s="11" t="str">
        <f t="shared" si="2"/>
        <v> </v>
      </c>
    </row>
    <row r="392" ht="15.75" customHeight="1">
      <c r="A392" s="11">
        <v>10145.0</v>
      </c>
      <c r="B392" s="11" t="s">
        <v>425</v>
      </c>
      <c r="C392" s="12">
        <v>30566.0</v>
      </c>
      <c r="D392" s="11" t="str">
        <f t="shared" si="1"/>
        <v> </v>
      </c>
      <c r="E392" s="11" t="str">
        <f t="shared" si="2"/>
        <v> </v>
      </c>
    </row>
    <row r="393" ht="15.75" customHeight="1">
      <c r="A393" s="11">
        <v>10147.0</v>
      </c>
      <c r="B393" s="11" t="s">
        <v>426</v>
      </c>
      <c r="C393" s="12">
        <v>23415.0</v>
      </c>
      <c r="D393" s="11" t="str">
        <f t="shared" si="1"/>
        <v> </v>
      </c>
      <c r="E393" s="11" t="str">
        <f t="shared" si="2"/>
        <v> </v>
      </c>
    </row>
    <row r="394" ht="15.75" customHeight="1">
      <c r="A394" s="11">
        <v>10148.0</v>
      </c>
      <c r="B394" s="11" t="s">
        <v>427</v>
      </c>
      <c r="C394" s="12">
        <v>33977.0</v>
      </c>
      <c r="D394" s="11" t="str">
        <f t="shared" si="1"/>
        <v> </v>
      </c>
      <c r="E394" s="11" t="str">
        <f t="shared" si="2"/>
        <v> </v>
      </c>
    </row>
    <row r="395" ht="15.75" customHeight="1">
      <c r="A395" s="11">
        <v>10150.0</v>
      </c>
      <c r="B395" s="11" t="s">
        <v>428</v>
      </c>
      <c r="C395" s="12">
        <v>15025.0</v>
      </c>
      <c r="D395" s="11" t="str">
        <f t="shared" si="1"/>
        <v> </v>
      </c>
      <c r="E395" s="11" t="str">
        <f t="shared" si="2"/>
        <v> </v>
      </c>
    </row>
    <row r="396" ht="15.75" customHeight="1">
      <c r="A396" s="11">
        <v>10154.0</v>
      </c>
      <c r="B396" s="11" t="s">
        <v>429</v>
      </c>
      <c r="C396" s="12">
        <v>18673.0</v>
      </c>
      <c r="D396" s="11" t="str">
        <f t="shared" si="1"/>
        <v> </v>
      </c>
      <c r="E396" s="11" t="str">
        <f t="shared" si="2"/>
        <v> </v>
      </c>
    </row>
    <row r="397" ht="15.75" customHeight="1">
      <c r="A397" s="11">
        <v>10155.0</v>
      </c>
      <c r="B397" s="11" t="s">
        <v>430</v>
      </c>
      <c r="C397" s="12">
        <v>16882.0</v>
      </c>
      <c r="D397" s="11" t="str">
        <f t="shared" si="1"/>
        <v> </v>
      </c>
      <c r="E397" s="11" t="str">
        <f t="shared" si="2"/>
        <v> </v>
      </c>
    </row>
    <row r="398" ht="15.75" customHeight="1">
      <c r="A398" s="11">
        <v>10157.0</v>
      </c>
      <c r="B398" s="11" t="s">
        <v>431</v>
      </c>
      <c r="C398" s="12">
        <v>23341.0</v>
      </c>
      <c r="D398" s="11" t="str">
        <f t="shared" si="1"/>
        <v> </v>
      </c>
      <c r="E398" s="11" t="str">
        <f t="shared" si="2"/>
        <v> </v>
      </c>
    </row>
    <row r="399" ht="15.75" customHeight="1">
      <c r="A399" s="11">
        <v>10158.0</v>
      </c>
      <c r="B399" s="11" t="s">
        <v>432</v>
      </c>
      <c r="C399" s="12">
        <v>20362.0</v>
      </c>
      <c r="D399" s="11" t="str">
        <f t="shared" si="1"/>
        <v> </v>
      </c>
      <c r="E399" s="11" t="str">
        <f t="shared" si="2"/>
        <v> </v>
      </c>
    </row>
    <row r="400" ht="15.75" customHeight="1">
      <c r="A400" s="11">
        <v>10159.0</v>
      </c>
      <c r="B400" s="11" t="s">
        <v>433</v>
      </c>
      <c r="C400" s="12">
        <v>22564.0</v>
      </c>
      <c r="D400" s="11" t="str">
        <f t="shared" si="1"/>
        <v> </v>
      </c>
      <c r="E400" s="11" t="str">
        <f t="shared" si="2"/>
        <v> </v>
      </c>
    </row>
    <row r="401" ht="15.75" customHeight="1">
      <c r="A401" s="11">
        <v>10160.0</v>
      </c>
      <c r="B401" s="11" t="s">
        <v>434</v>
      </c>
      <c r="C401" s="12">
        <v>21263.0</v>
      </c>
      <c r="D401" s="11" t="str">
        <f t="shared" si="1"/>
        <v> </v>
      </c>
      <c r="E401" s="11" t="str">
        <f t="shared" si="2"/>
        <v> </v>
      </c>
    </row>
    <row r="402" ht="15.75" customHeight="1">
      <c r="A402" s="11">
        <v>10162.0</v>
      </c>
      <c r="B402" s="11" t="s">
        <v>435</v>
      </c>
      <c r="C402" s="12">
        <v>21165.0</v>
      </c>
      <c r="D402" s="11" t="str">
        <f t="shared" si="1"/>
        <v> </v>
      </c>
      <c r="E402" s="11" t="str">
        <f t="shared" si="2"/>
        <v> </v>
      </c>
    </row>
    <row r="403" ht="15.75" customHeight="1">
      <c r="A403" s="11">
        <v>10164.0</v>
      </c>
      <c r="B403" s="11" t="s">
        <v>436</v>
      </c>
      <c r="C403" s="12">
        <v>21050.0</v>
      </c>
      <c r="D403" s="11" t="str">
        <f t="shared" si="1"/>
        <v> </v>
      </c>
      <c r="E403" s="11" t="str">
        <f t="shared" si="2"/>
        <v> </v>
      </c>
    </row>
    <row r="404" ht="15.75" customHeight="1">
      <c r="A404" s="11">
        <v>10167.0</v>
      </c>
      <c r="B404" s="11" t="s">
        <v>437</v>
      </c>
      <c r="C404" s="12">
        <v>22736.0</v>
      </c>
      <c r="D404" s="11" t="str">
        <f t="shared" si="1"/>
        <v> </v>
      </c>
      <c r="E404" s="11" t="str">
        <f t="shared" si="2"/>
        <v> </v>
      </c>
    </row>
    <row r="405" ht="15.75" customHeight="1">
      <c r="A405" s="11">
        <v>10170.0</v>
      </c>
      <c r="B405" s="11" t="s">
        <v>438</v>
      </c>
      <c r="C405" s="12">
        <v>23032.0</v>
      </c>
      <c r="D405" s="11" t="str">
        <f t="shared" si="1"/>
        <v> </v>
      </c>
      <c r="E405" s="11" t="str">
        <f t="shared" si="2"/>
        <v> </v>
      </c>
    </row>
    <row r="406" ht="15.75" customHeight="1">
      <c r="A406" s="11">
        <v>10171.0</v>
      </c>
      <c r="B406" s="11" t="s">
        <v>439</v>
      </c>
      <c r="C406" s="12">
        <v>32722.0</v>
      </c>
      <c r="D406" s="11" t="str">
        <f t="shared" si="1"/>
        <v> </v>
      </c>
      <c r="E406" s="11" t="str">
        <f t="shared" si="2"/>
        <v> </v>
      </c>
    </row>
    <row r="407" ht="15.75" customHeight="1">
      <c r="A407" s="11">
        <v>10172.0</v>
      </c>
      <c r="B407" s="11" t="s">
        <v>440</v>
      </c>
      <c r="C407" s="12">
        <v>17536.0</v>
      </c>
      <c r="D407" s="11" t="str">
        <f t="shared" si="1"/>
        <v> </v>
      </c>
      <c r="E407" s="11" t="str">
        <f t="shared" si="2"/>
        <v> </v>
      </c>
    </row>
    <row r="408" ht="15.75" customHeight="1">
      <c r="A408" s="11">
        <v>10174.0</v>
      </c>
      <c r="B408" s="11" t="s">
        <v>441</v>
      </c>
      <c r="C408" s="12">
        <v>13226.0</v>
      </c>
      <c r="D408" s="11" t="str">
        <f t="shared" si="1"/>
        <v> </v>
      </c>
      <c r="E408" s="11" t="str">
        <f t="shared" si="2"/>
        <v> </v>
      </c>
    </row>
    <row r="409" ht="15.75" customHeight="1">
      <c r="A409" s="11">
        <v>10176.0</v>
      </c>
      <c r="B409" s="11" t="s">
        <v>442</v>
      </c>
      <c r="C409" s="12">
        <v>29241.0</v>
      </c>
      <c r="D409" s="11" t="str">
        <f t="shared" si="1"/>
        <v> </v>
      </c>
      <c r="E409" s="11" t="str">
        <f t="shared" si="2"/>
        <v> </v>
      </c>
    </row>
    <row r="410" ht="15.75" customHeight="1">
      <c r="A410" s="11">
        <v>10179.0</v>
      </c>
      <c r="B410" s="11" t="s">
        <v>443</v>
      </c>
      <c r="C410" s="12">
        <v>36829.0</v>
      </c>
      <c r="D410" s="11" t="str">
        <f t="shared" si="1"/>
        <v> </v>
      </c>
      <c r="E410" s="11" t="str">
        <f t="shared" si="2"/>
        <v> </v>
      </c>
    </row>
    <row r="411" ht="15.75" customHeight="1">
      <c r="A411" s="11">
        <v>10181.0</v>
      </c>
      <c r="B411" s="11" t="s">
        <v>444</v>
      </c>
      <c r="C411" s="12">
        <v>13596.0</v>
      </c>
      <c r="D411" s="11" t="str">
        <f t="shared" si="1"/>
        <v> </v>
      </c>
      <c r="E411" s="11" t="str">
        <f t="shared" si="2"/>
        <v> </v>
      </c>
    </row>
    <row r="412" ht="15.75" customHeight="1">
      <c r="A412" s="11">
        <v>10184.0</v>
      </c>
      <c r="B412" s="11" t="s">
        <v>445</v>
      </c>
      <c r="C412" s="12">
        <v>25092.0</v>
      </c>
      <c r="D412" s="11" t="str">
        <f t="shared" si="1"/>
        <v> </v>
      </c>
      <c r="E412" s="11" t="str">
        <f t="shared" si="2"/>
        <v> </v>
      </c>
    </row>
    <row r="413" ht="15.75" customHeight="1">
      <c r="A413" s="11">
        <v>10185.0</v>
      </c>
      <c r="B413" s="11" t="s">
        <v>446</v>
      </c>
      <c r="C413" s="12">
        <v>24575.0</v>
      </c>
      <c r="D413" s="11" t="str">
        <f t="shared" si="1"/>
        <v> </v>
      </c>
      <c r="E413" s="11" t="str">
        <f t="shared" si="2"/>
        <v> </v>
      </c>
    </row>
    <row r="414" ht="15.75" customHeight="1">
      <c r="A414" s="11">
        <v>10188.0</v>
      </c>
      <c r="B414" s="11" t="s">
        <v>447</v>
      </c>
      <c r="C414" s="12">
        <v>25964.0</v>
      </c>
      <c r="D414" s="11" t="str">
        <f t="shared" si="1"/>
        <v> </v>
      </c>
      <c r="E414" s="11" t="str">
        <f t="shared" si="2"/>
        <v> </v>
      </c>
    </row>
    <row r="415" ht="15.75" customHeight="1">
      <c r="A415" s="11">
        <v>10194.0</v>
      </c>
      <c r="B415" s="11" t="s">
        <v>448</v>
      </c>
      <c r="C415" s="12">
        <v>28664.0</v>
      </c>
      <c r="D415" s="11" t="str">
        <f t="shared" si="1"/>
        <v> </v>
      </c>
      <c r="E415" s="11" t="str">
        <f t="shared" si="2"/>
        <v> </v>
      </c>
    </row>
    <row r="416" ht="15.75" customHeight="1">
      <c r="A416" s="11">
        <v>10196.0</v>
      </c>
      <c r="B416" s="11" t="s">
        <v>449</v>
      </c>
      <c r="C416" s="12">
        <v>23525.0</v>
      </c>
      <c r="D416" s="11" t="str">
        <f t="shared" si="1"/>
        <v> </v>
      </c>
      <c r="E416" s="11" t="str">
        <f t="shared" si="2"/>
        <v> </v>
      </c>
    </row>
    <row r="417" ht="15.75" customHeight="1">
      <c r="A417" s="11">
        <v>10202.0</v>
      </c>
      <c r="B417" s="11" t="s">
        <v>450</v>
      </c>
      <c r="C417" s="12">
        <v>19571.0</v>
      </c>
      <c r="D417" s="11" t="str">
        <f t="shared" si="1"/>
        <v> </v>
      </c>
      <c r="E417" s="11" t="str">
        <f t="shared" si="2"/>
        <v> </v>
      </c>
    </row>
    <row r="418" ht="15.75" customHeight="1">
      <c r="A418" s="11">
        <v>10203.0</v>
      </c>
      <c r="B418" s="11" t="s">
        <v>451</v>
      </c>
      <c r="C418" s="12">
        <v>18014.0</v>
      </c>
      <c r="D418" s="11" t="str">
        <f t="shared" si="1"/>
        <v> </v>
      </c>
      <c r="E418" s="11" t="str">
        <f t="shared" si="2"/>
        <v> </v>
      </c>
    </row>
    <row r="419" ht="15.75" customHeight="1">
      <c r="A419" s="11">
        <v>10204.0</v>
      </c>
      <c r="B419" s="11" t="s">
        <v>452</v>
      </c>
      <c r="C419" s="12">
        <v>30612.0</v>
      </c>
      <c r="D419" s="11" t="str">
        <f t="shared" si="1"/>
        <v>Repeat</v>
      </c>
      <c r="E419" s="11" t="str">
        <f t="shared" si="2"/>
        <v> </v>
      </c>
    </row>
    <row r="420" ht="15.75" customHeight="1">
      <c r="A420" s="11">
        <v>10205.0</v>
      </c>
      <c r="B420" s="11" t="s">
        <v>453</v>
      </c>
      <c r="C420" s="12">
        <v>32658.0</v>
      </c>
      <c r="D420" s="11" t="str">
        <f t="shared" si="1"/>
        <v> </v>
      </c>
      <c r="E420" s="11" t="str">
        <f t="shared" si="2"/>
        <v> </v>
      </c>
    </row>
    <row r="421" ht="15.75" customHeight="1">
      <c r="A421" s="11">
        <v>10219.0</v>
      </c>
      <c r="B421" s="11" t="s">
        <v>454</v>
      </c>
      <c r="C421" s="12">
        <v>19568.0</v>
      </c>
      <c r="D421" s="11" t="str">
        <f t="shared" si="1"/>
        <v> </v>
      </c>
      <c r="E421" s="11" t="str">
        <f t="shared" si="2"/>
        <v> </v>
      </c>
    </row>
    <row r="422" ht="15.75" customHeight="1">
      <c r="A422" s="11">
        <v>10225.0</v>
      </c>
      <c r="B422" s="11" t="s">
        <v>455</v>
      </c>
      <c r="C422" s="12">
        <v>26924.0</v>
      </c>
      <c r="D422" s="11" t="str">
        <f t="shared" si="1"/>
        <v> </v>
      </c>
      <c r="E422" s="11" t="str">
        <f t="shared" si="2"/>
        <v> </v>
      </c>
    </row>
    <row r="423" ht="15.75" customHeight="1">
      <c r="A423" s="11">
        <v>10226.0</v>
      </c>
      <c r="B423" s="11" t="s">
        <v>456</v>
      </c>
      <c r="C423" s="12">
        <v>24555.0</v>
      </c>
      <c r="D423" s="11" t="str">
        <f t="shared" si="1"/>
        <v> </v>
      </c>
      <c r="E423" s="11" t="str">
        <f t="shared" si="2"/>
        <v> </v>
      </c>
    </row>
    <row r="424" ht="15.75" customHeight="1">
      <c r="A424" s="11">
        <v>10229.0</v>
      </c>
      <c r="B424" s="11" t="s">
        <v>457</v>
      </c>
      <c r="C424" s="12">
        <v>10797.0</v>
      </c>
      <c r="D424" s="11" t="str">
        <f t="shared" si="1"/>
        <v> </v>
      </c>
      <c r="E424" s="11" t="str">
        <f t="shared" si="2"/>
        <v> </v>
      </c>
    </row>
    <row r="425" ht="15.75" customHeight="1">
      <c r="A425" s="11">
        <v>10230.0</v>
      </c>
      <c r="B425" s="11" t="s">
        <v>458</v>
      </c>
      <c r="C425" s="12">
        <v>21963.0</v>
      </c>
      <c r="D425" s="11" t="str">
        <f t="shared" si="1"/>
        <v> </v>
      </c>
      <c r="E425" s="11" t="str">
        <f t="shared" si="2"/>
        <v> </v>
      </c>
    </row>
    <row r="426" ht="15.75" customHeight="1">
      <c r="A426" s="11">
        <v>10235.0</v>
      </c>
      <c r="B426" s="11" t="s">
        <v>459</v>
      </c>
      <c r="C426" s="12">
        <v>17564.0</v>
      </c>
      <c r="D426" s="11" t="str">
        <f t="shared" si="1"/>
        <v> </v>
      </c>
      <c r="E426" s="11" t="str">
        <f t="shared" si="2"/>
        <v> </v>
      </c>
    </row>
    <row r="427" ht="15.75" customHeight="1">
      <c r="A427" s="11">
        <v>10237.0</v>
      </c>
      <c r="B427" s="11" t="s">
        <v>460</v>
      </c>
      <c r="C427" s="12">
        <v>21414.0</v>
      </c>
      <c r="D427" s="11" t="str">
        <f t="shared" si="1"/>
        <v> </v>
      </c>
      <c r="E427" s="11" t="str">
        <f t="shared" si="2"/>
        <v> </v>
      </c>
    </row>
    <row r="428" ht="15.75" customHeight="1">
      <c r="A428" s="11">
        <v>10244.0</v>
      </c>
      <c r="B428" s="11" t="s">
        <v>461</v>
      </c>
      <c r="C428" s="12">
        <v>13101.0</v>
      </c>
      <c r="D428" s="11" t="str">
        <f t="shared" si="1"/>
        <v> </v>
      </c>
      <c r="E428" s="11" t="str">
        <f t="shared" si="2"/>
        <v> </v>
      </c>
    </row>
    <row r="429" ht="15.75" customHeight="1">
      <c r="A429" s="11">
        <v>10250.0</v>
      </c>
      <c r="B429" s="11" t="s">
        <v>462</v>
      </c>
      <c r="C429" s="12">
        <v>34424.0</v>
      </c>
      <c r="D429" s="11" t="str">
        <f t="shared" si="1"/>
        <v> </v>
      </c>
      <c r="E429" s="11" t="str">
        <f t="shared" si="2"/>
        <v> </v>
      </c>
    </row>
    <row r="430" ht="15.75" customHeight="1">
      <c r="A430" s="11">
        <v>10251.0</v>
      </c>
      <c r="B430" s="11" t="s">
        <v>463</v>
      </c>
      <c r="C430" s="12">
        <v>21415.0</v>
      </c>
      <c r="D430" s="11" t="str">
        <f t="shared" si="1"/>
        <v> </v>
      </c>
      <c r="E430" s="11" t="str">
        <f t="shared" si="2"/>
        <v> </v>
      </c>
    </row>
    <row r="431" ht="15.75" customHeight="1">
      <c r="A431" s="11">
        <v>10252.0</v>
      </c>
      <c r="B431" s="11" t="s">
        <v>464</v>
      </c>
      <c r="C431" s="12">
        <v>21320.0</v>
      </c>
      <c r="D431" s="11" t="str">
        <f t="shared" si="1"/>
        <v> </v>
      </c>
      <c r="E431" s="11" t="str">
        <f t="shared" si="2"/>
        <v> </v>
      </c>
    </row>
    <row r="432" ht="15.75" customHeight="1">
      <c r="A432" s="11">
        <v>10255.0</v>
      </c>
      <c r="B432" s="11" t="s">
        <v>465</v>
      </c>
      <c r="C432" s="12">
        <v>17542.0</v>
      </c>
      <c r="D432" s="11" t="str">
        <f t="shared" si="1"/>
        <v> </v>
      </c>
      <c r="E432" s="11" t="str">
        <f t="shared" si="2"/>
        <v> </v>
      </c>
    </row>
    <row r="433" ht="15.75" customHeight="1">
      <c r="A433" s="11">
        <v>10256.0</v>
      </c>
      <c r="B433" s="11" t="s">
        <v>466</v>
      </c>
      <c r="C433" s="12">
        <v>18566.0</v>
      </c>
      <c r="D433" s="11" t="str">
        <f t="shared" si="1"/>
        <v> </v>
      </c>
      <c r="E433" s="11" t="str">
        <f t="shared" si="2"/>
        <v> </v>
      </c>
    </row>
    <row r="434" ht="15.75" customHeight="1">
      <c r="A434" s="11">
        <v>10257.0</v>
      </c>
      <c r="B434" s="11" t="s">
        <v>467</v>
      </c>
      <c r="C434" s="12">
        <v>21651.0</v>
      </c>
      <c r="D434" s="11" t="str">
        <f t="shared" si="1"/>
        <v> </v>
      </c>
      <c r="E434" s="11" t="str">
        <f t="shared" si="2"/>
        <v> </v>
      </c>
    </row>
    <row r="435" ht="15.75" customHeight="1">
      <c r="A435" s="11">
        <v>10261.0</v>
      </c>
      <c r="B435" s="11" t="s">
        <v>468</v>
      </c>
      <c r="C435" s="12">
        <v>20731.0</v>
      </c>
      <c r="D435" s="11" t="str">
        <f t="shared" si="1"/>
        <v> </v>
      </c>
      <c r="E435" s="11" t="str">
        <f t="shared" si="2"/>
        <v> </v>
      </c>
    </row>
    <row r="436" ht="15.75" customHeight="1">
      <c r="A436" s="11">
        <v>10262.0</v>
      </c>
      <c r="B436" s="11" t="s">
        <v>469</v>
      </c>
      <c r="C436" s="12">
        <v>16196.0</v>
      </c>
      <c r="D436" s="11" t="str">
        <f t="shared" si="1"/>
        <v> </v>
      </c>
      <c r="E436" s="11" t="str">
        <f t="shared" si="2"/>
        <v> </v>
      </c>
    </row>
    <row r="437" ht="15.75" customHeight="1">
      <c r="A437" s="11">
        <v>10267.0</v>
      </c>
      <c r="B437" s="11" t="s">
        <v>470</v>
      </c>
      <c r="C437" s="12">
        <v>33386.0</v>
      </c>
      <c r="D437" s="11" t="str">
        <f t="shared" si="1"/>
        <v> </v>
      </c>
      <c r="E437" s="11" t="str">
        <f t="shared" si="2"/>
        <v> </v>
      </c>
    </row>
    <row r="438" ht="15.75" customHeight="1">
      <c r="A438" s="11">
        <v>10270.0</v>
      </c>
      <c r="B438" s="11" t="s">
        <v>471</v>
      </c>
      <c r="C438" s="12">
        <v>12945.0</v>
      </c>
      <c r="D438" s="11" t="str">
        <f t="shared" si="1"/>
        <v> </v>
      </c>
      <c r="E438" s="11" t="str">
        <f t="shared" si="2"/>
        <v> </v>
      </c>
    </row>
    <row r="439" ht="15.75" customHeight="1">
      <c r="A439" s="11">
        <v>10273.0</v>
      </c>
      <c r="B439" s="11" t="s">
        <v>472</v>
      </c>
      <c r="C439" s="12">
        <v>15730.0</v>
      </c>
      <c r="D439" s="11" t="str">
        <f t="shared" si="1"/>
        <v> </v>
      </c>
      <c r="E439" s="11" t="str">
        <f t="shared" si="2"/>
        <v> </v>
      </c>
    </row>
    <row r="440" ht="15.75" customHeight="1">
      <c r="A440" s="11">
        <v>10277.0</v>
      </c>
      <c r="B440" s="11" t="s">
        <v>473</v>
      </c>
      <c r="C440" s="12">
        <v>19210.0</v>
      </c>
      <c r="D440" s="11" t="str">
        <f t="shared" si="1"/>
        <v> </v>
      </c>
      <c r="E440" s="11" t="str">
        <f t="shared" si="2"/>
        <v> </v>
      </c>
    </row>
    <row r="441" ht="15.75" customHeight="1">
      <c r="A441" s="11">
        <v>10279.0</v>
      </c>
      <c r="B441" s="11" t="s">
        <v>474</v>
      </c>
      <c r="C441" s="12">
        <v>29847.0</v>
      </c>
      <c r="D441" s="11" t="str">
        <f t="shared" si="1"/>
        <v> </v>
      </c>
      <c r="E441" s="11" t="str">
        <f t="shared" si="2"/>
        <v> </v>
      </c>
    </row>
    <row r="442" ht="15.75" customHeight="1">
      <c r="A442" s="11">
        <v>10281.0</v>
      </c>
      <c r="B442" s="11" t="s">
        <v>475</v>
      </c>
      <c r="C442" s="12">
        <v>15169.0</v>
      </c>
      <c r="D442" s="11" t="str">
        <f t="shared" si="1"/>
        <v> </v>
      </c>
      <c r="E442" s="11" t="str">
        <f t="shared" si="2"/>
        <v> </v>
      </c>
    </row>
    <row r="443" ht="15.75" customHeight="1">
      <c r="A443" s="11">
        <v>10282.0</v>
      </c>
      <c r="B443" s="11" t="s">
        <v>476</v>
      </c>
      <c r="C443" s="12">
        <v>17282.0</v>
      </c>
      <c r="D443" s="11" t="str">
        <f t="shared" si="1"/>
        <v> </v>
      </c>
      <c r="E443" s="11" t="str">
        <f t="shared" si="2"/>
        <v> </v>
      </c>
    </row>
    <row r="444" ht="15.75" customHeight="1">
      <c r="A444" s="11">
        <v>10285.0</v>
      </c>
      <c r="B444" s="11" t="s">
        <v>477</v>
      </c>
      <c r="C444" s="12">
        <v>24347.0</v>
      </c>
      <c r="D444" s="11" t="str">
        <f t="shared" si="1"/>
        <v> </v>
      </c>
      <c r="E444" s="11" t="str">
        <f t="shared" si="2"/>
        <v> </v>
      </c>
    </row>
    <row r="445" ht="15.75" customHeight="1">
      <c r="A445" s="11">
        <v>10286.0</v>
      </c>
      <c r="B445" s="11" t="s">
        <v>478</v>
      </c>
      <c r="C445" s="12">
        <v>15269.0</v>
      </c>
      <c r="D445" s="11" t="str">
        <f t="shared" si="1"/>
        <v> </v>
      </c>
      <c r="E445" s="11" t="str">
        <f t="shared" si="2"/>
        <v> </v>
      </c>
    </row>
    <row r="446" ht="15.75" customHeight="1">
      <c r="A446" s="11">
        <v>10291.0</v>
      </c>
      <c r="B446" s="11" t="s">
        <v>479</v>
      </c>
      <c r="C446" s="12">
        <v>20391.0</v>
      </c>
      <c r="D446" s="11" t="str">
        <f t="shared" si="1"/>
        <v> </v>
      </c>
      <c r="E446" s="11" t="str">
        <f t="shared" si="2"/>
        <v> </v>
      </c>
    </row>
    <row r="447" ht="15.75" customHeight="1">
      <c r="A447" s="11">
        <v>10295.0</v>
      </c>
      <c r="B447" s="11" t="s">
        <v>480</v>
      </c>
      <c r="C447" s="12">
        <v>31342.0</v>
      </c>
      <c r="D447" s="11" t="str">
        <f t="shared" si="1"/>
        <v> </v>
      </c>
      <c r="E447" s="11" t="str">
        <f t="shared" si="2"/>
        <v> </v>
      </c>
    </row>
    <row r="448" ht="15.75" customHeight="1">
      <c r="A448" s="11">
        <v>10297.0</v>
      </c>
      <c r="B448" s="11" t="s">
        <v>481</v>
      </c>
      <c r="C448" s="12">
        <v>33463.0</v>
      </c>
      <c r="D448" s="11" t="str">
        <f t="shared" si="1"/>
        <v> </v>
      </c>
      <c r="E448" s="11" t="str">
        <f t="shared" si="2"/>
        <v> </v>
      </c>
    </row>
    <row r="449" ht="15.75" customHeight="1">
      <c r="A449" s="11">
        <v>10298.0</v>
      </c>
      <c r="B449" s="11" t="s">
        <v>482</v>
      </c>
      <c r="C449" s="12">
        <v>27385.0</v>
      </c>
      <c r="D449" s="11" t="str">
        <f t="shared" si="1"/>
        <v> </v>
      </c>
      <c r="E449" s="11" t="str">
        <f t="shared" si="2"/>
        <v> </v>
      </c>
    </row>
    <row r="450" ht="15.75" customHeight="1">
      <c r="A450" s="11">
        <v>10300.0</v>
      </c>
      <c r="B450" s="11" t="s">
        <v>483</v>
      </c>
      <c r="C450" s="12">
        <v>30761.0</v>
      </c>
      <c r="D450" s="11" t="str">
        <f t="shared" si="1"/>
        <v> </v>
      </c>
      <c r="E450" s="11" t="str">
        <f t="shared" si="2"/>
        <v> </v>
      </c>
    </row>
    <row r="451" ht="15.75" customHeight="1">
      <c r="A451" s="11">
        <v>10302.0</v>
      </c>
      <c r="B451" s="11" t="s">
        <v>484</v>
      </c>
      <c r="C451" s="12">
        <v>11831.0</v>
      </c>
      <c r="D451" s="11" t="str">
        <f t="shared" si="1"/>
        <v> </v>
      </c>
      <c r="E451" s="11" t="str">
        <f t="shared" si="2"/>
        <v> </v>
      </c>
    </row>
    <row r="452" ht="15.75" customHeight="1">
      <c r="A452" s="11">
        <v>10304.0</v>
      </c>
      <c r="B452" s="11" t="s">
        <v>485</v>
      </c>
      <c r="C452" s="12">
        <v>24920.0</v>
      </c>
      <c r="D452" s="11" t="str">
        <f t="shared" si="1"/>
        <v> </v>
      </c>
      <c r="E452" s="11" t="str">
        <f t="shared" si="2"/>
        <v> </v>
      </c>
    </row>
    <row r="453" ht="15.75" customHeight="1">
      <c r="A453" s="11">
        <v>10305.0</v>
      </c>
      <c r="B453" s="11" t="s">
        <v>486</v>
      </c>
      <c r="C453" s="12">
        <v>22882.0</v>
      </c>
      <c r="D453" s="11" t="str">
        <f t="shared" si="1"/>
        <v> </v>
      </c>
      <c r="E453" s="11" t="str">
        <f t="shared" si="2"/>
        <v> </v>
      </c>
    </row>
    <row r="454" ht="15.75" customHeight="1">
      <c r="A454" s="11">
        <v>10306.0</v>
      </c>
      <c r="B454" s="11" t="s">
        <v>487</v>
      </c>
      <c r="C454" s="12">
        <v>20435.0</v>
      </c>
      <c r="D454" s="11" t="str">
        <f t="shared" si="1"/>
        <v> </v>
      </c>
      <c r="E454" s="11" t="str">
        <f t="shared" si="2"/>
        <v> </v>
      </c>
    </row>
    <row r="455" ht="15.75" customHeight="1">
      <c r="A455" s="11">
        <v>10309.0</v>
      </c>
      <c r="B455" s="11" t="s">
        <v>488</v>
      </c>
      <c r="C455" s="12">
        <v>22771.0</v>
      </c>
      <c r="D455" s="11" t="str">
        <f t="shared" si="1"/>
        <v> </v>
      </c>
      <c r="E455" s="11" t="str">
        <f t="shared" si="2"/>
        <v> </v>
      </c>
    </row>
    <row r="456" ht="15.75" customHeight="1">
      <c r="A456" s="11">
        <v>10310.0</v>
      </c>
      <c r="B456" s="11" t="s">
        <v>489</v>
      </c>
      <c r="C456" s="12">
        <v>28208.0</v>
      </c>
      <c r="D456" s="11" t="str">
        <f t="shared" si="1"/>
        <v> </v>
      </c>
      <c r="E456" s="11" t="str">
        <f t="shared" si="2"/>
        <v> </v>
      </c>
    </row>
    <row r="457" ht="15.75" customHeight="1">
      <c r="A457" s="11">
        <v>10315.0</v>
      </c>
      <c r="B457" s="11" t="s">
        <v>490</v>
      </c>
      <c r="C457" s="12">
        <v>19182.0</v>
      </c>
      <c r="D457" s="11" t="str">
        <f t="shared" si="1"/>
        <v> </v>
      </c>
      <c r="E457" s="11" t="str">
        <f t="shared" si="2"/>
        <v> </v>
      </c>
    </row>
    <row r="458" ht="15.75" customHeight="1">
      <c r="A458" s="11">
        <v>10316.0</v>
      </c>
      <c r="B458" s="11" t="s">
        <v>491</v>
      </c>
      <c r="C458" s="12">
        <v>17547.0</v>
      </c>
      <c r="D458" s="11" t="str">
        <f t="shared" si="1"/>
        <v> </v>
      </c>
      <c r="E458" s="11" t="str">
        <f t="shared" si="2"/>
        <v> </v>
      </c>
    </row>
    <row r="459" ht="15.75" customHeight="1">
      <c r="A459" s="11">
        <v>10321.0</v>
      </c>
      <c r="B459" s="11" t="s">
        <v>492</v>
      </c>
      <c r="C459" s="12">
        <v>27501.0</v>
      </c>
      <c r="D459" s="11" t="str">
        <f t="shared" si="1"/>
        <v> </v>
      </c>
      <c r="E459" s="11" t="str">
        <f t="shared" si="2"/>
        <v> </v>
      </c>
    </row>
    <row r="460" ht="15.75" customHeight="1">
      <c r="A460" s="11">
        <v>10323.0</v>
      </c>
      <c r="B460" s="11" t="s">
        <v>493</v>
      </c>
      <c r="C460" s="12">
        <v>25052.0</v>
      </c>
      <c r="D460" s="11" t="str">
        <f t="shared" si="1"/>
        <v> </v>
      </c>
      <c r="E460" s="11" t="str">
        <f t="shared" si="2"/>
        <v> </v>
      </c>
    </row>
    <row r="461" ht="15.75" customHeight="1">
      <c r="A461" s="11">
        <v>10327.0</v>
      </c>
      <c r="B461" s="11" t="s">
        <v>494</v>
      </c>
      <c r="C461" s="12">
        <v>18737.0</v>
      </c>
      <c r="D461" s="11" t="str">
        <f t="shared" si="1"/>
        <v> </v>
      </c>
      <c r="E461" s="11" t="str">
        <f t="shared" si="2"/>
        <v> </v>
      </c>
    </row>
    <row r="462" ht="15.75" customHeight="1">
      <c r="A462" s="11">
        <v>10328.0</v>
      </c>
      <c r="B462" s="11" t="s">
        <v>495</v>
      </c>
      <c r="C462" s="12">
        <v>23256.0</v>
      </c>
      <c r="D462" s="11" t="str">
        <f t="shared" si="1"/>
        <v> </v>
      </c>
      <c r="E462" s="11" t="str">
        <f t="shared" si="2"/>
        <v> </v>
      </c>
    </row>
    <row r="463" ht="15.75" customHeight="1">
      <c r="A463" s="11">
        <v>10329.0</v>
      </c>
      <c r="B463" s="11" t="s">
        <v>496</v>
      </c>
      <c r="C463" s="12">
        <v>28366.0</v>
      </c>
      <c r="D463" s="11" t="str">
        <f t="shared" si="1"/>
        <v> </v>
      </c>
      <c r="E463" s="11" t="str">
        <f t="shared" si="2"/>
        <v> </v>
      </c>
    </row>
    <row r="464" ht="15.75" customHeight="1">
      <c r="A464" s="11">
        <v>10330.0</v>
      </c>
      <c r="B464" s="11" t="s">
        <v>497</v>
      </c>
      <c r="C464" s="12">
        <v>23562.0</v>
      </c>
      <c r="D464" s="11" t="str">
        <f t="shared" si="1"/>
        <v> </v>
      </c>
      <c r="E464" s="11" t="str">
        <f t="shared" si="2"/>
        <v> </v>
      </c>
    </row>
    <row r="465" ht="15.75" customHeight="1">
      <c r="A465" s="11">
        <v>10332.0</v>
      </c>
      <c r="B465" s="11" t="s">
        <v>498</v>
      </c>
      <c r="C465" s="12">
        <v>12729.0</v>
      </c>
      <c r="D465" s="11" t="str">
        <f t="shared" si="1"/>
        <v> </v>
      </c>
      <c r="E465" s="11" t="str">
        <f t="shared" si="2"/>
        <v> </v>
      </c>
    </row>
    <row r="466" ht="15.75" customHeight="1">
      <c r="A466" s="11">
        <v>10333.0</v>
      </c>
      <c r="B466" s="11" t="s">
        <v>499</v>
      </c>
      <c r="C466" s="12">
        <v>18307.0</v>
      </c>
      <c r="D466" s="11" t="str">
        <f t="shared" si="1"/>
        <v> </v>
      </c>
      <c r="E466" s="11" t="str">
        <f t="shared" si="2"/>
        <v> </v>
      </c>
    </row>
    <row r="467" ht="15.75" customHeight="1">
      <c r="A467" s="11">
        <v>10336.0</v>
      </c>
      <c r="B467" s="11" t="s">
        <v>500</v>
      </c>
      <c r="C467" s="12">
        <v>17098.0</v>
      </c>
      <c r="D467" s="11" t="str">
        <f t="shared" si="1"/>
        <v> </v>
      </c>
      <c r="E467" s="11" t="str">
        <f t="shared" si="2"/>
        <v> </v>
      </c>
    </row>
    <row r="468" ht="15.75" customHeight="1">
      <c r="A468" s="11">
        <v>10337.0</v>
      </c>
      <c r="B468" s="11" t="s">
        <v>501</v>
      </c>
      <c r="C468" s="12">
        <v>28137.0</v>
      </c>
      <c r="D468" s="11" t="str">
        <f t="shared" si="1"/>
        <v> </v>
      </c>
      <c r="E468" s="11" t="str">
        <f t="shared" si="2"/>
        <v> </v>
      </c>
    </row>
    <row r="469" ht="15.75" customHeight="1">
      <c r="A469" s="11">
        <v>10338.0</v>
      </c>
      <c r="B469" s="11" t="s">
        <v>502</v>
      </c>
      <c r="C469" s="12">
        <v>34388.0</v>
      </c>
      <c r="D469" s="11" t="str">
        <f t="shared" si="1"/>
        <v> </v>
      </c>
      <c r="E469" s="11" t="str">
        <f t="shared" si="2"/>
        <v> </v>
      </c>
    </row>
    <row r="470" ht="15.75" customHeight="1">
      <c r="A470" s="11">
        <v>10340.0</v>
      </c>
      <c r="B470" s="11" t="s">
        <v>503</v>
      </c>
      <c r="C470" s="12">
        <v>22263.0</v>
      </c>
      <c r="D470" s="11" t="str">
        <f t="shared" si="1"/>
        <v>Repeat</v>
      </c>
      <c r="E470" s="11" t="str">
        <f t="shared" si="2"/>
        <v> </v>
      </c>
    </row>
    <row r="471" ht="15.75" customHeight="1">
      <c r="A471" s="11">
        <v>10341.0</v>
      </c>
      <c r="B471" s="11" t="s">
        <v>504</v>
      </c>
      <c r="C471" s="12">
        <v>30560.0</v>
      </c>
      <c r="D471" s="11" t="str">
        <f t="shared" si="1"/>
        <v> </v>
      </c>
      <c r="E471" s="11" t="str">
        <f t="shared" si="2"/>
        <v> </v>
      </c>
    </row>
    <row r="472" ht="15.75" customHeight="1">
      <c r="A472" s="11">
        <v>10344.0</v>
      </c>
      <c r="B472" s="11" t="s">
        <v>505</v>
      </c>
      <c r="C472" s="12">
        <v>25289.0</v>
      </c>
      <c r="D472" s="11" t="str">
        <f t="shared" si="1"/>
        <v> </v>
      </c>
      <c r="E472" s="11" t="str">
        <f t="shared" si="2"/>
        <v> </v>
      </c>
    </row>
    <row r="473" ht="15.75" customHeight="1">
      <c r="A473" s="11">
        <v>10348.0</v>
      </c>
      <c r="B473" s="11" t="s">
        <v>506</v>
      </c>
      <c r="C473" s="12">
        <v>28779.0</v>
      </c>
      <c r="D473" s="11" t="str">
        <f t="shared" si="1"/>
        <v> </v>
      </c>
      <c r="E473" s="11" t="str">
        <f t="shared" si="2"/>
        <v> </v>
      </c>
    </row>
    <row r="474" ht="15.75" customHeight="1">
      <c r="A474" s="11">
        <v>10351.0</v>
      </c>
      <c r="B474" s="11" t="s">
        <v>507</v>
      </c>
      <c r="C474" s="12">
        <v>31630.0</v>
      </c>
      <c r="D474" s="11" t="str">
        <f t="shared" si="1"/>
        <v> </v>
      </c>
      <c r="E474" s="11" t="str">
        <f t="shared" si="2"/>
        <v> </v>
      </c>
    </row>
    <row r="475" ht="15.75" customHeight="1">
      <c r="A475" s="11">
        <v>10355.0</v>
      </c>
      <c r="B475" s="11" t="s">
        <v>508</v>
      </c>
      <c r="C475" s="12">
        <v>29845.0</v>
      </c>
      <c r="D475" s="11" t="str">
        <f t="shared" si="1"/>
        <v> </v>
      </c>
      <c r="E475" s="11" t="str">
        <f t="shared" si="2"/>
        <v> </v>
      </c>
    </row>
    <row r="476" ht="15.75" customHeight="1">
      <c r="A476" s="11">
        <v>10356.0</v>
      </c>
      <c r="B476" s="11" t="s">
        <v>509</v>
      </c>
      <c r="C476" s="12">
        <v>21546.0</v>
      </c>
      <c r="D476" s="11" t="str">
        <f t="shared" si="1"/>
        <v> </v>
      </c>
      <c r="E476" s="11" t="str">
        <f t="shared" si="2"/>
        <v> </v>
      </c>
    </row>
    <row r="477" ht="15.75" customHeight="1">
      <c r="A477" s="11">
        <v>10357.0</v>
      </c>
      <c r="B477" s="11" t="s">
        <v>510</v>
      </c>
      <c r="C477" s="12">
        <v>27914.0</v>
      </c>
      <c r="D477" s="11" t="str">
        <f t="shared" si="1"/>
        <v> </v>
      </c>
      <c r="E477" s="11" t="str">
        <f t="shared" si="2"/>
        <v> </v>
      </c>
    </row>
    <row r="478" ht="15.75" customHeight="1">
      <c r="A478" s="11">
        <v>10359.0</v>
      </c>
      <c r="B478" s="11" t="s">
        <v>511</v>
      </c>
      <c r="C478" s="12">
        <v>21397.0</v>
      </c>
      <c r="D478" s="11" t="str">
        <f t="shared" si="1"/>
        <v> </v>
      </c>
      <c r="E478" s="11" t="str">
        <f t="shared" si="2"/>
        <v> </v>
      </c>
    </row>
    <row r="479" ht="15.75" customHeight="1">
      <c r="A479" s="11">
        <v>10362.0</v>
      </c>
      <c r="B479" s="11" t="s">
        <v>512</v>
      </c>
      <c r="C479" s="12">
        <v>22527.0</v>
      </c>
      <c r="D479" s="11" t="str">
        <f t="shared" si="1"/>
        <v> </v>
      </c>
      <c r="E479" s="11" t="str">
        <f t="shared" si="2"/>
        <v> </v>
      </c>
    </row>
    <row r="480" ht="15.75" customHeight="1">
      <c r="A480" s="11">
        <v>10364.0</v>
      </c>
      <c r="B480" s="11" t="s">
        <v>513</v>
      </c>
      <c r="C480" s="12">
        <v>20316.0</v>
      </c>
      <c r="D480" s="11" t="str">
        <f t="shared" si="1"/>
        <v> </v>
      </c>
      <c r="E480" s="11" t="str">
        <f t="shared" si="2"/>
        <v> </v>
      </c>
    </row>
    <row r="481" ht="15.75" customHeight="1">
      <c r="A481" s="11">
        <v>10366.0</v>
      </c>
      <c r="B481" s="11" t="s">
        <v>514</v>
      </c>
      <c r="C481" s="12">
        <v>16372.0</v>
      </c>
      <c r="D481" s="11" t="str">
        <f t="shared" si="1"/>
        <v> </v>
      </c>
      <c r="E481" s="11" t="str">
        <f t="shared" si="2"/>
        <v> </v>
      </c>
    </row>
    <row r="482" ht="15.75" customHeight="1">
      <c r="A482" s="11">
        <v>10368.0</v>
      </c>
      <c r="B482" s="11" t="s">
        <v>515</v>
      </c>
      <c r="C482" s="12">
        <v>29922.0</v>
      </c>
      <c r="D482" s="11" t="str">
        <f t="shared" si="1"/>
        <v> </v>
      </c>
      <c r="E482" s="11" t="str">
        <f t="shared" si="2"/>
        <v> </v>
      </c>
    </row>
    <row r="483" ht="15.75" customHeight="1">
      <c r="A483" s="11">
        <v>10374.0</v>
      </c>
      <c r="B483" s="11" t="s">
        <v>516</v>
      </c>
      <c r="C483" s="12">
        <v>18737.0</v>
      </c>
      <c r="D483" s="11" t="str">
        <f t="shared" si="1"/>
        <v> </v>
      </c>
      <c r="E483" s="11" t="str">
        <f t="shared" si="2"/>
        <v> </v>
      </c>
    </row>
    <row r="484" ht="15.75" customHeight="1">
      <c r="A484" s="11">
        <v>10375.0</v>
      </c>
      <c r="B484" s="11" t="s">
        <v>517</v>
      </c>
      <c r="C484" s="12">
        <v>22634.0</v>
      </c>
      <c r="D484" s="11" t="str">
        <f t="shared" si="1"/>
        <v>Repeat</v>
      </c>
      <c r="E484" s="11" t="str">
        <f t="shared" si="2"/>
        <v> </v>
      </c>
    </row>
    <row r="485" ht="15.75" customHeight="1">
      <c r="A485" s="11">
        <v>10376.0</v>
      </c>
      <c r="B485" s="11" t="s">
        <v>518</v>
      </c>
      <c r="C485" s="12">
        <v>22381.0</v>
      </c>
      <c r="D485" s="11" t="str">
        <f t="shared" si="1"/>
        <v> </v>
      </c>
      <c r="E485" s="11" t="str">
        <f t="shared" si="2"/>
        <v> </v>
      </c>
    </row>
    <row r="486" ht="15.75" customHeight="1">
      <c r="A486" s="11">
        <v>10377.0</v>
      </c>
      <c r="B486" s="11" t="s">
        <v>519</v>
      </c>
      <c r="C486" s="12">
        <v>20263.0</v>
      </c>
      <c r="D486" s="11" t="str">
        <f t="shared" si="1"/>
        <v> </v>
      </c>
      <c r="E486" s="11" t="str">
        <f t="shared" si="2"/>
        <v> </v>
      </c>
    </row>
    <row r="487" ht="15.75" customHeight="1">
      <c r="A487" s="11">
        <v>10378.0</v>
      </c>
      <c r="B487" s="11" t="s">
        <v>517</v>
      </c>
      <c r="C487" s="12">
        <v>24054.0</v>
      </c>
      <c r="D487" s="11" t="str">
        <f t="shared" si="1"/>
        <v>Repeat</v>
      </c>
      <c r="E487" s="11" t="str">
        <f t="shared" si="2"/>
        <v> </v>
      </c>
    </row>
    <row r="488" ht="15.75" customHeight="1">
      <c r="A488" s="11">
        <v>10379.0</v>
      </c>
      <c r="B488" s="11" t="s">
        <v>520</v>
      </c>
      <c r="C488" s="12">
        <v>18943.0</v>
      </c>
      <c r="D488" s="11" t="str">
        <f t="shared" si="1"/>
        <v> </v>
      </c>
      <c r="E488" s="11" t="str">
        <f t="shared" si="2"/>
        <v> </v>
      </c>
    </row>
    <row r="489" ht="15.75" customHeight="1">
      <c r="A489" s="11">
        <v>10380.0</v>
      </c>
      <c r="B489" s="11" t="s">
        <v>521</v>
      </c>
      <c r="C489" s="12">
        <v>17576.0</v>
      </c>
      <c r="D489" s="11" t="str">
        <f t="shared" si="1"/>
        <v> </v>
      </c>
      <c r="E489" s="11" t="str">
        <f t="shared" si="2"/>
        <v> </v>
      </c>
    </row>
    <row r="490" ht="15.75" customHeight="1">
      <c r="A490" s="11">
        <v>10381.0</v>
      </c>
      <c r="B490" s="11" t="s">
        <v>522</v>
      </c>
      <c r="C490" s="12">
        <v>15865.0</v>
      </c>
      <c r="D490" s="11" t="str">
        <f t="shared" si="1"/>
        <v> </v>
      </c>
      <c r="E490" s="11" t="str">
        <f t="shared" si="2"/>
        <v> </v>
      </c>
    </row>
    <row r="491" ht="15.75" customHeight="1">
      <c r="A491" s="11">
        <v>10387.0</v>
      </c>
      <c r="B491" s="11" t="s">
        <v>523</v>
      </c>
      <c r="C491" s="12">
        <v>24045.0</v>
      </c>
      <c r="D491" s="11" t="str">
        <f t="shared" si="1"/>
        <v> </v>
      </c>
      <c r="E491" s="11" t="str">
        <f t="shared" si="2"/>
        <v> </v>
      </c>
    </row>
    <row r="492" ht="15.75" customHeight="1">
      <c r="A492" s="11">
        <v>10392.0</v>
      </c>
      <c r="B492" s="11" t="s">
        <v>524</v>
      </c>
      <c r="C492" s="12">
        <v>31105.0</v>
      </c>
      <c r="D492" s="11" t="str">
        <f t="shared" si="1"/>
        <v> </v>
      </c>
      <c r="E492" s="11" t="str">
        <f t="shared" si="2"/>
        <v> </v>
      </c>
    </row>
    <row r="493" ht="15.75" customHeight="1">
      <c r="A493" s="11">
        <v>10393.0</v>
      </c>
      <c r="B493" s="11" t="s">
        <v>525</v>
      </c>
      <c r="C493" s="12">
        <v>18677.0</v>
      </c>
      <c r="D493" s="11" t="str">
        <f t="shared" si="1"/>
        <v> </v>
      </c>
      <c r="E493" s="11" t="str">
        <f t="shared" si="2"/>
        <v> </v>
      </c>
    </row>
    <row r="494" ht="15.75" customHeight="1">
      <c r="A494" s="11">
        <v>10395.0</v>
      </c>
      <c r="B494" s="11" t="s">
        <v>526</v>
      </c>
      <c r="C494" s="12">
        <v>16600.0</v>
      </c>
      <c r="D494" s="11" t="str">
        <f t="shared" si="1"/>
        <v> </v>
      </c>
      <c r="E494" s="11" t="str">
        <f t="shared" si="2"/>
        <v> </v>
      </c>
    </row>
    <row r="495" ht="15.75" customHeight="1">
      <c r="A495" s="11">
        <v>10397.0</v>
      </c>
      <c r="B495" s="11" t="s">
        <v>527</v>
      </c>
      <c r="C495" s="12">
        <v>21654.0</v>
      </c>
      <c r="D495" s="11" t="str">
        <f t="shared" si="1"/>
        <v> </v>
      </c>
      <c r="E495" s="11" t="str">
        <f t="shared" si="2"/>
        <v> </v>
      </c>
    </row>
    <row r="496" ht="15.75" customHeight="1">
      <c r="A496" s="11">
        <v>10398.0</v>
      </c>
      <c r="B496" s="11" t="s">
        <v>528</v>
      </c>
      <c r="C496" s="12">
        <v>35333.0</v>
      </c>
      <c r="D496" s="11" t="str">
        <f t="shared" si="1"/>
        <v> </v>
      </c>
      <c r="E496" s="11" t="str">
        <f t="shared" si="2"/>
        <v> </v>
      </c>
    </row>
    <row r="497" ht="15.75" customHeight="1">
      <c r="A497" s="11">
        <v>10399.0</v>
      </c>
      <c r="B497" s="11" t="s">
        <v>529</v>
      </c>
      <c r="C497" s="12">
        <v>29259.0</v>
      </c>
      <c r="D497" s="11" t="str">
        <f t="shared" si="1"/>
        <v> </v>
      </c>
      <c r="E497" s="11" t="str">
        <f t="shared" si="2"/>
        <v> </v>
      </c>
    </row>
    <row r="498" ht="15.75" customHeight="1">
      <c r="A498" s="11">
        <v>10400.0</v>
      </c>
      <c r="B498" s="11" t="s">
        <v>530</v>
      </c>
      <c r="C498" s="12">
        <v>23351.0</v>
      </c>
      <c r="D498" s="11" t="str">
        <f t="shared" si="1"/>
        <v> </v>
      </c>
      <c r="E498" s="11" t="str">
        <f t="shared" si="2"/>
        <v> </v>
      </c>
    </row>
    <row r="499" ht="15.75" customHeight="1">
      <c r="A499" s="11">
        <v>10407.0</v>
      </c>
      <c r="B499" s="11" t="s">
        <v>531</v>
      </c>
      <c r="C499" s="12">
        <v>21435.0</v>
      </c>
      <c r="D499" s="11" t="str">
        <f t="shared" si="1"/>
        <v> </v>
      </c>
      <c r="E499" s="11" t="str">
        <f t="shared" si="2"/>
        <v> </v>
      </c>
    </row>
    <row r="500" ht="15.75" customHeight="1">
      <c r="A500" s="11">
        <v>10408.0</v>
      </c>
      <c r="B500" s="11" t="s">
        <v>532</v>
      </c>
      <c r="C500" s="12">
        <v>20647.0</v>
      </c>
      <c r="D500" s="11" t="str">
        <f t="shared" si="1"/>
        <v> </v>
      </c>
      <c r="E500" s="11" t="str">
        <f t="shared" si="2"/>
        <v> </v>
      </c>
    </row>
    <row r="501" ht="15.75" customHeight="1">
      <c r="A501" s="11">
        <v>10411.0</v>
      </c>
      <c r="B501" s="11" t="s">
        <v>533</v>
      </c>
      <c r="C501" s="12">
        <v>28569.0</v>
      </c>
      <c r="D501" s="11" t="str">
        <f t="shared" si="1"/>
        <v>Repeat</v>
      </c>
      <c r="E501" s="11" t="str">
        <f t="shared" si="2"/>
        <v> </v>
      </c>
    </row>
    <row r="502" ht="15.75" customHeight="1">
      <c r="A502" s="11">
        <v>10415.0</v>
      </c>
      <c r="B502" s="11" t="s">
        <v>534</v>
      </c>
      <c r="C502" s="12">
        <v>25164.0</v>
      </c>
      <c r="D502" s="11" t="str">
        <f t="shared" si="1"/>
        <v> </v>
      </c>
      <c r="E502" s="11" t="str">
        <f t="shared" si="2"/>
        <v> </v>
      </c>
    </row>
    <row r="503" ht="15.75" customHeight="1">
      <c r="A503" s="11">
        <v>10416.0</v>
      </c>
      <c r="B503" s="11" t="s">
        <v>535</v>
      </c>
      <c r="C503" s="12">
        <v>18695.0</v>
      </c>
      <c r="D503" s="11" t="str">
        <f t="shared" si="1"/>
        <v> </v>
      </c>
      <c r="E503" s="11" t="str">
        <f t="shared" si="2"/>
        <v> </v>
      </c>
    </row>
    <row r="504" ht="15.75" customHeight="1">
      <c r="A504" s="11">
        <v>10419.0</v>
      </c>
      <c r="B504" s="11" t="s">
        <v>536</v>
      </c>
      <c r="C504" s="12">
        <v>32869.0</v>
      </c>
      <c r="D504" s="11" t="str">
        <f t="shared" si="1"/>
        <v> </v>
      </c>
      <c r="E504" s="11" t="str">
        <f t="shared" si="2"/>
        <v> </v>
      </c>
    </row>
    <row r="505" ht="15.75" customHeight="1">
      <c r="A505" s="11">
        <v>10420.0</v>
      </c>
      <c r="B505" s="11" t="s">
        <v>537</v>
      </c>
      <c r="C505" s="12">
        <v>30575.0</v>
      </c>
      <c r="D505" s="11" t="str">
        <f t="shared" si="1"/>
        <v> </v>
      </c>
      <c r="E505" s="11" t="str">
        <f t="shared" si="2"/>
        <v> </v>
      </c>
    </row>
    <row r="506" ht="15.75" customHeight="1">
      <c r="A506" s="11">
        <v>10422.0</v>
      </c>
      <c r="B506" s="11" t="s">
        <v>538</v>
      </c>
      <c r="C506" s="12">
        <v>19404.0</v>
      </c>
      <c r="D506" s="11" t="str">
        <f t="shared" si="1"/>
        <v> </v>
      </c>
      <c r="E506" s="11" t="str">
        <f t="shared" si="2"/>
        <v> </v>
      </c>
    </row>
    <row r="507" ht="15.75" customHeight="1">
      <c r="A507" s="11">
        <v>10424.0</v>
      </c>
      <c r="B507" s="11" t="s">
        <v>539</v>
      </c>
      <c r="C507" s="12">
        <v>27435.0</v>
      </c>
      <c r="D507" s="11" t="str">
        <f t="shared" si="1"/>
        <v> </v>
      </c>
      <c r="E507" s="11" t="str">
        <f t="shared" si="2"/>
        <v> </v>
      </c>
    </row>
    <row r="508" ht="15.75" customHeight="1">
      <c r="A508" s="11">
        <v>10427.0</v>
      </c>
      <c r="B508" s="11" t="s">
        <v>540</v>
      </c>
      <c r="C508" s="12">
        <v>21546.0</v>
      </c>
      <c r="D508" s="11" t="str">
        <f t="shared" si="1"/>
        <v> </v>
      </c>
      <c r="E508" s="11" t="str">
        <f t="shared" si="2"/>
        <v> </v>
      </c>
    </row>
    <row r="509" ht="15.75" customHeight="1">
      <c r="A509" s="11">
        <v>10429.0</v>
      </c>
      <c r="B509" s="11" t="s">
        <v>541</v>
      </c>
      <c r="C509" s="12">
        <v>16572.0</v>
      </c>
      <c r="D509" s="11" t="str">
        <f t="shared" si="1"/>
        <v> </v>
      </c>
      <c r="E509" s="11" t="str">
        <f t="shared" si="2"/>
        <v> </v>
      </c>
    </row>
    <row r="510" ht="15.75" customHeight="1">
      <c r="A510" s="11">
        <v>10431.0</v>
      </c>
      <c r="B510" s="11" t="s">
        <v>542</v>
      </c>
      <c r="C510" s="12">
        <v>19921.0</v>
      </c>
      <c r="D510" s="11" t="str">
        <f t="shared" si="1"/>
        <v> </v>
      </c>
      <c r="E510" s="11" t="str">
        <f t="shared" si="2"/>
        <v> </v>
      </c>
    </row>
    <row r="511" ht="15.75" customHeight="1">
      <c r="A511" s="11">
        <v>10432.0</v>
      </c>
      <c r="B511" s="11" t="s">
        <v>543</v>
      </c>
      <c r="C511" s="12">
        <v>19914.0</v>
      </c>
      <c r="D511" s="11" t="str">
        <f t="shared" si="1"/>
        <v> </v>
      </c>
      <c r="E511" s="11" t="str">
        <f t="shared" si="2"/>
        <v> </v>
      </c>
    </row>
    <row r="512" ht="15.75" customHeight="1">
      <c r="A512" s="11">
        <v>10433.0</v>
      </c>
      <c r="B512" s="11" t="s">
        <v>544</v>
      </c>
      <c r="C512" s="12">
        <v>23083.0</v>
      </c>
      <c r="D512" s="11" t="str">
        <f t="shared" si="1"/>
        <v> </v>
      </c>
      <c r="E512" s="11" t="str">
        <f t="shared" si="2"/>
        <v> </v>
      </c>
    </row>
    <row r="513" ht="15.75" customHeight="1">
      <c r="A513" s="11">
        <v>10439.0</v>
      </c>
      <c r="B513" s="11" t="s">
        <v>545</v>
      </c>
      <c r="C513" s="12">
        <v>19159.0</v>
      </c>
      <c r="D513" s="11" t="str">
        <f t="shared" si="1"/>
        <v> </v>
      </c>
      <c r="E513" s="11" t="str">
        <f t="shared" si="2"/>
        <v> </v>
      </c>
    </row>
    <row r="514" ht="15.75" customHeight="1">
      <c r="A514" s="11">
        <v>10442.0</v>
      </c>
      <c r="B514" s="11" t="s">
        <v>546</v>
      </c>
      <c r="C514" s="12">
        <v>26703.0</v>
      </c>
      <c r="D514" s="11" t="str">
        <f t="shared" si="1"/>
        <v> </v>
      </c>
      <c r="E514" s="11" t="str">
        <f t="shared" si="2"/>
        <v> </v>
      </c>
    </row>
    <row r="515" ht="15.75" customHeight="1">
      <c r="A515" s="11">
        <v>10444.0</v>
      </c>
      <c r="B515" s="11" t="s">
        <v>547</v>
      </c>
      <c r="C515" s="12">
        <v>26614.0</v>
      </c>
      <c r="D515" s="11" t="str">
        <f t="shared" si="1"/>
        <v> </v>
      </c>
      <c r="E515" s="11" t="str">
        <f t="shared" si="2"/>
        <v> </v>
      </c>
    </row>
    <row r="516" ht="15.75" customHeight="1">
      <c r="A516" s="11">
        <v>10445.0</v>
      </c>
      <c r="B516" s="11" t="s">
        <v>548</v>
      </c>
      <c r="C516" s="12">
        <v>16254.0</v>
      </c>
      <c r="D516" s="11" t="str">
        <f t="shared" si="1"/>
        <v> </v>
      </c>
      <c r="E516" s="11" t="str">
        <f t="shared" si="2"/>
        <v> </v>
      </c>
    </row>
    <row r="517" ht="15.75" customHeight="1">
      <c r="A517" s="11">
        <v>10447.0</v>
      </c>
      <c r="B517" s="11" t="s">
        <v>549</v>
      </c>
      <c r="C517" s="12">
        <v>28282.0</v>
      </c>
      <c r="D517" s="11" t="str">
        <f t="shared" si="1"/>
        <v> </v>
      </c>
      <c r="E517" s="11" t="str">
        <f t="shared" si="2"/>
        <v> </v>
      </c>
    </row>
    <row r="518" ht="15.75" customHeight="1">
      <c r="A518" s="11">
        <v>10452.0</v>
      </c>
      <c r="B518" s="11" t="s">
        <v>550</v>
      </c>
      <c r="C518" s="12">
        <v>10601.0</v>
      </c>
      <c r="D518" s="11" t="str">
        <f t="shared" si="1"/>
        <v> </v>
      </c>
      <c r="E518" s="11" t="str">
        <f t="shared" si="2"/>
        <v> </v>
      </c>
    </row>
    <row r="519" ht="15.75" customHeight="1">
      <c r="A519" s="11">
        <v>10453.0</v>
      </c>
      <c r="B519" s="11" t="s">
        <v>551</v>
      </c>
      <c r="C519" s="12">
        <v>28207.0</v>
      </c>
      <c r="D519" s="11" t="str">
        <f t="shared" si="1"/>
        <v> </v>
      </c>
      <c r="E519" s="11" t="str">
        <f t="shared" si="2"/>
        <v> </v>
      </c>
    </row>
    <row r="520" ht="15.75" customHeight="1">
      <c r="A520" s="11">
        <v>10460.0</v>
      </c>
      <c r="B520" s="11" t="s">
        <v>552</v>
      </c>
      <c r="C520" s="12">
        <v>28667.0</v>
      </c>
      <c r="D520" s="11" t="str">
        <f t="shared" si="1"/>
        <v>Repeat</v>
      </c>
      <c r="E520" s="11" t="str">
        <f t="shared" si="2"/>
        <v> </v>
      </c>
    </row>
    <row r="521" ht="15.75" customHeight="1">
      <c r="A521" s="11">
        <v>10462.0</v>
      </c>
      <c r="B521" s="11" t="s">
        <v>553</v>
      </c>
      <c r="C521" s="12">
        <v>22119.0</v>
      </c>
      <c r="D521" s="11" t="str">
        <f t="shared" si="1"/>
        <v>Repeat</v>
      </c>
      <c r="E521" s="11" t="str">
        <f t="shared" si="2"/>
        <v> </v>
      </c>
    </row>
    <row r="522" ht="15.75" customHeight="1">
      <c r="A522" s="11">
        <v>10464.0</v>
      </c>
      <c r="B522" s="11" t="s">
        <v>554</v>
      </c>
      <c r="C522" s="12">
        <v>21820.0</v>
      </c>
      <c r="D522" s="11" t="str">
        <f t="shared" si="1"/>
        <v> </v>
      </c>
      <c r="E522" s="11" t="str">
        <f t="shared" si="2"/>
        <v> </v>
      </c>
    </row>
    <row r="523" ht="15.75" customHeight="1">
      <c r="A523" s="11">
        <v>10465.0</v>
      </c>
      <c r="B523" s="11" t="s">
        <v>555</v>
      </c>
      <c r="C523" s="12">
        <v>32325.0</v>
      </c>
      <c r="D523" s="11" t="str">
        <f t="shared" si="1"/>
        <v> </v>
      </c>
      <c r="E523" s="11" t="str">
        <f t="shared" si="2"/>
        <v> </v>
      </c>
    </row>
    <row r="524" ht="15.75" customHeight="1">
      <c r="A524" s="11">
        <v>10466.0</v>
      </c>
      <c r="B524" s="11" t="s">
        <v>556</v>
      </c>
      <c r="C524" s="12">
        <v>20330.0</v>
      </c>
      <c r="D524" s="11" t="str">
        <f t="shared" si="1"/>
        <v> </v>
      </c>
      <c r="E524" s="11" t="str">
        <f t="shared" si="2"/>
        <v> </v>
      </c>
    </row>
    <row r="525" ht="15.75" customHeight="1">
      <c r="A525" s="11">
        <v>10467.0</v>
      </c>
      <c r="B525" s="11" t="s">
        <v>557</v>
      </c>
      <c r="C525" s="12">
        <v>18038.0</v>
      </c>
      <c r="D525" s="11" t="str">
        <f t="shared" si="1"/>
        <v> </v>
      </c>
      <c r="E525" s="11" t="str">
        <f t="shared" si="2"/>
        <v> </v>
      </c>
    </row>
    <row r="526" ht="15.75" customHeight="1">
      <c r="A526" s="11">
        <v>10474.0</v>
      </c>
      <c r="B526" s="11" t="s">
        <v>558</v>
      </c>
      <c r="C526" s="12">
        <v>20952.0</v>
      </c>
      <c r="D526" s="11" t="str">
        <f t="shared" si="1"/>
        <v> </v>
      </c>
      <c r="E526" s="11" t="str">
        <f t="shared" si="2"/>
        <v> </v>
      </c>
    </row>
    <row r="527" ht="15.75" customHeight="1">
      <c r="A527" s="11">
        <v>10477.0</v>
      </c>
      <c r="B527" s="11" t="s">
        <v>559</v>
      </c>
      <c r="C527" s="12">
        <v>20553.0</v>
      </c>
      <c r="D527" s="11" t="str">
        <f t="shared" si="1"/>
        <v> </v>
      </c>
      <c r="E527" s="11" t="str">
        <f t="shared" si="2"/>
        <v> </v>
      </c>
    </row>
    <row r="528" ht="15.75" customHeight="1">
      <c r="A528" s="11">
        <v>10478.0</v>
      </c>
      <c r="B528" s="11" t="s">
        <v>560</v>
      </c>
      <c r="C528" s="12">
        <v>21138.0</v>
      </c>
      <c r="D528" s="11" t="str">
        <f t="shared" si="1"/>
        <v> </v>
      </c>
      <c r="E528" s="11" t="str">
        <f t="shared" si="2"/>
        <v> </v>
      </c>
    </row>
    <row r="529" ht="15.75" customHeight="1">
      <c r="A529" s="11">
        <v>10479.0</v>
      </c>
      <c r="B529" s="11" t="s">
        <v>561</v>
      </c>
      <c r="C529" s="12">
        <v>19822.0</v>
      </c>
      <c r="D529" s="11" t="str">
        <f t="shared" si="1"/>
        <v> </v>
      </c>
      <c r="E529" s="11" t="str">
        <f t="shared" si="2"/>
        <v> </v>
      </c>
    </row>
    <row r="530" ht="15.75" customHeight="1">
      <c r="A530" s="11">
        <v>10480.0</v>
      </c>
      <c r="B530" s="11" t="s">
        <v>562</v>
      </c>
      <c r="C530" s="12">
        <v>19352.0</v>
      </c>
      <c r="D530" s="11" t="str">
        <f t="shared" si="1"/>
        <v>Repeat</v>
      </c>
      <c r="E530" s="11" t="str">
        <f t="shared" si="2"/>
        <v> </v>
      </c>
    </row>
    <row r="531" ht="15.75" customHeight="1">
      <c r="A531" s="11">
        <v>10481.0</v>
      </c>
      <c r="B531" s="11" t="s">
        <v>563</v>
      </c>
      <c r="C531" s="12">
        <v>22006.0</v>
      </c>
      <c r="D531" s="11" t="str">
        <f t="shared" si="1"/>
        <v> </v>
      </c>
      <c r="E531" s="11" t="str">
        <f t="shared" si="2"/>
        <v> </v>
      </c>
    </row>
    <row r="532" ht="15.75" customHeight="1">
      <c r="A532" s="11">
        <v>10482.0</v>
      </c>
      <c r="B532" s="11" t="s">
        <v>564</v>
      </c>
      <c r="C532" s="12">
        <v>34497.0</v>
      </c>
      <c r="D532" s="11" t="str">
        <f t="shared" si="1"/>
        <v> </v>
      </c>
      <c r="E532" s="11" t="str">
        <f t="shared" si="2"/>
        <v> </v>
      </c>
    </row>
    <row r="533" ht="15.75" customHeight="1">
      <c r="A533" s="11">
        <v>10484.0</v>
      </c>
      <c r="B533" s="11" t="s">
        <v>565</v>
      </c>
      <c r="C533" s="12">
        <v>13142.0</v>
      </c>
      <c r="D533" s="11" t="str">
        <f t="shared" si="1"/>
        <v> </v>
      </c>
      <c r="E533" s="11" t="str">
        <f t="shared" si="2"/>
        <v> </v>
      </c>
    </row>
    <row r="534" ht="15.75" customHeight="1">
      <c r="A534" s="11">
        <v>10485.0</v>
      </c>
      <c r="B534" s="11" t="s">
        <v>566</v>
      </c>
      <c r="C534" s="12">
        <v>19730.0</v>
      </c>
      <c r="D534" s="11" t="str">
        <f t="shared" si="1"/>
        <v> </v>
      </c>
      <c r="E534" s="11" t="str">
        <f t="shared" si="2"/>
        <v> </v>
      </c>
    </row>
    <row r="535" ht="15.75" customHeight="1">
      <c r="A535" s="11">
        <v>10489.0</v>
      </c>
      <c r="B535" s="11" t="s">
        <v>567</v>
      </c>
      <c r="C535" s="12">
        <v>19453.0</v>
      </c>
      <c r="D535" s="11" t="str">
        <f t="shared" si="1"/>
        <v> </v>
      </c>
      <c r="E535" s="11" t="str">
        <f t="shared" si="2"/>
        <v> </v>
      </c>
    </row>
    <row r="536" ht="15.75" customHeight="1">
      <c r="A536" s="11">
        <v>10490.0</v>
      </c>
      <c r="B536" s="11" t="s">
        <v>568</v>
      </c>
      <c r="C536" s="12">
        <v>11565.0</v>
      </c>
      <c r="D536" s="11" t="str">
        <f t="shared" si="1"/>
        <v> </v>
      </c>
      <c r="E536" s="11" t="str">
        <f t="shared" si="2"/>
        <v> </v>
      </c>
    </row>
    <row r="537" ht="15.75" customHeight="1">
      <c r="A537" s="11">
        <v>10495.0</v>
      </c>
      <c r="B537" s="11" t="s">
        <v>569</v>
      </c>
      <c r="C537" s="12">
        <v>25088.0</v>
      </c>
      <c r="D537" s="11" t="str">
        <f t="shared" si="1"/>
        <v> </v>
      </c>
      <c r="E537" s="11" t="str">
        <f t="shared" si="2"/>
        <v> </v>
      </c>
    </row>
    <row r="538" ht="15.75" customHeight="1">
      <c r="A538" s="11">
        <v>10496.0</v>
      </c>
      <c r="B538" s="11" t="s">
        <v>570</v>
      </c>
      <c r="C538" s="12">
        <v>11480.0</v>
      </c>
      <c r="D538" s="11" t="str">
        <f t="shared" si="1"/>
        <v> </v>
      </c>
      <c r="E538" s="11" t="str">
        <f t="shared" si="2"/>
        <v> </v>
      </c>
    </row>
    <row r="539" ht="15.75" customHeight="1">
      <c r="A539" s="11">
        <v>10497.0</v>
      </c>
      <c r="B539" s="11" t="s">
        <v>571</v>
      </c>
      <c r="C539" s="12">
        <v>13368.0</v>
      </c>
      <c r="D539" s="11" t="str">
        <f t="shared" si="1"/>
        <v> </v>
      </c>
      <c r="E539" s="11" t="str">
        <f t="shared" si="2"/>
        <v> </v>
      </c>
    </row>
    <row r="540" ht="15.75" customHeight="1">
      <c r="A540" s="11">
        <v>10498.0</v>
      </c>
      <c r="B540" s="11" t="s">
        <v>572</v>
      </c>
      <c r="C540" s="12">
        <v>28308.0</v>
      </c>
      <c r="D540" s="11" t="str">
        <f t="shared" si="1"/>
        <v> </v>
      </c>
      <c r="E540" s="11" t="str">
        <f t="shared" si="2"/>
        <v> </v>
      </c>
    </row>
    <row r="541" ht="15.75" customHeight="1">
      <c r="A541" s="11">
        <v>10500.0</v>
      </c>
      <c r="B541" s="11" t="s">
        <v>573</v>
      </c>
      <c r="C541" s="12">
        <v>23302.0</v>
      </c>
      <c r="D541" s="11" t="str">
        <f t="shared" si="1"/>
        <v> </v>
      </c>
      <c r="E541" s="11" t="str">
        <f t="shared" si="2"/>
        <v> </v>
      </c>
    </row>
    <row r="542" ht="15.75" customHeight="1">
      <c r="A542" s="11">
        <v>10506.0</v>
      </c>
      <c r="B542" s="11" t="s">
        <v>574</v>
      </c>
      <c r="C542" s="12">
        <v>11263.0</v>
      </c>
      <c r="D542" s="11" t="str">
        <f t="shared" si="1"/>
        <v> </v>
      </c>
      <c r="E542" s="11" t="str">
        <f t="shared" si="2"/>
        <v> </v>
      </c>
    </row>
    <row r="543" ht="15.75" customHeight="1">
      <c r="A543" s="11">
        <v>10507.0</v>
      </c>
      <c r="B543" s="11" t="s">
        <v>575</v>
      </c>
      <c r="C543" s="12">
        <v>27218.0</v>
      </c>
      <c r="D543" s="11" t="str">
        <f t="shared" si="1"/>
        <v> </v>
      </c>
      <c r="E543" s="11" t="str">
        <f t="shared" si="2"/>
        <v> </v>
      </c>
    </row>
    <row r="544" ht="15.75" customHeight="1">
      <c r="A544" s="11">
        <v>10509.0</v>
      </c>
      <c r="B544" s="11" t="s">
        <v>576</v>
      </c>
      <c r="C544" s="12">
        <v>20407.0</v>
      </c>
      <c r="D544" s="11" t="str">
        <f t="shared" si="1"/>
        <v> </v>
      </c>
      <c r="E544" s="11" t="str">
        <f t="shared" si="2"/>
        <v> </v>
      </c>
    </row>
    <row r="545" ht="15.75" customHeight="1">
      <c r="A545" s="11">
        <v>10516.0</v>
      </c>
      <c r="B545" s="11" t="s">
        <v>577</v>
      </c>
      <c r="C545" s="12">
        <v>25305.0</v>
      </c>
      <c r="D545" s="11" t="str">
        <f t="shared" si="1"/>
        <v> </v>
      </c>
      <c r="E545" s="11" t="str">
        <f t="shared" si="2"/>
        <v> </v>
      </c>
    </row>
    <row r="546" ht="15.75" customHeight="1">
      <c r="A546" s="11">
        <v>10517.0</v>
      </c>
      <c r="B546" s="11" t="s">
        <v>578</v>
      </c>
      <c r="C546" s="12">
        <v>26866.0</v>
      </c>
      <c r="D546" s="11" t="str">
        <f t="shared" si="1"/>
        <v> </v>
      </c>
      <c r="E546" s="11" t="str">
        <f t="shared" si="2"/>
        <v> </v>
      </c>
    </row>
    <row r="547" ht="15.75" customHeight="1">
      <c r="A547" s="11">
        <v>10520.0</v>
      </c>
      <c r="B547" s="11" t="s">
        <v>579</v>
      </c>
      <c r="C547" s="12">
        <v>24501.0</v>
      </c>
      <c r="D547" s="11" t="str">
        <f t="shared" si="1"/>
        <v> </v>
      </c>
      <c r="E547" s="11" t="str">
        <f t="shared" si="2"/>
        <v> </v>
      </c>
    </row>
    <row r="548" ht="15.75" customHeight="1">
      <c r="A548" s="11">
        <v>10521.0</v>
      </c>
      <c r="B548" s="11" t="s">
        <v>580</v>
      </c>
      <c r="C548" s="12">
        <v>22660.0</v>
      </c>
      <c r="D548" s="11" t="str">
        <f t="shared" si="1"/>
        <v> </v>
      </c>
      <c r="E548" s="11" t="str">
        <f t="shared" si="2"/>
        <v> </v>
      </c>
    </row>
    <row r="549" ht="15.75" customHeight="1">
      <c r="A549" s="11">
        <v>10522.0</v>
      </c>
      <c r="B549" s="11" t="s">
        <v>581</v>
      </c>
      <c r="C549" s="12">
        <v>30079.0</v>
      </c>
      <c r="D549" s="11" t="str">
        <f t="shared" si="1"/>
        <v> </v>
      </c>
      <c r="E549" s="11" t="str">
        <f t="shared" si="2"/>
        <v> </v>
      </c>
    </row>
    <row r="550" ht="15.75" customHeight="1">
      <c r="A550" s="11">
        <v>10523.0</v>
      </c>
      <c r="B550" s="11" t="s">
        <v>582</v>
      </c>
      <c r="C550" s="12">
        <v>16599.0</v>
      </c>
      <c r="D550" s="11" t="str">
        <f t="shared" si="1"/>
        <v> </v>
      </c>
      <c r="E550" s="11" t="str">
        <f t="shared" si="2"/>
        <v> </v>
      </c>
    </row>
    <row r="551" ht="15.75" customHeight="1">
      <c r="A551" s="11">
        <v>10524.0</v>
      </c>
      <c r="B551" s="11" t="s">
        <v>583</v>
      </c>
      <c r="C551" s="12">
        <v>27107.0</v>
      </c>
      <c r="D551" s="11" t="str">
        <f t="shared" si="1"/>
        <v> </v>
      </c>
      <c r="E551" s="11" t="str">
        <f t="shared" si="2"/>
        <v> </v>
      </c>
    </row>
    <row r="552" ht="15.75" customHeight="1">
      <c r="A552" s="11">
        <v>10525.0</v>
      </c>
      <c r="B552" s="11" t="s">
        <v>584</v>
      </c>
      <c r="C552" s="12">
        <v>21713.0</v>
      </c>
      <c r="D552" s="11" t="str">
        <f t="shared" si="1"/>
        <v> </v>
      </c>
      <c r="E552" s="11" t="str">
        <f t="shared" si="2"/>
        <v> </v>
      </c>
    </row>
    <row r="553" ht="15.75" customHeight="1">
      <c r="A553" s="11">
        <v>10530.0</v>
      </c>
      <c r="B553" s="11" t="s">
        <v>585</v>
      </c>
      <c r="C553" s="12">
        <v>20700.0</v>
      </c>
      <c r="D553" s="11" t="str">
        <f t="shared" si="1"/>
        <v> </v>
      </c>
      <c r="E553" s="11" t="str">
        <f t="shared" si="2"/>
        <v> </v>
      </c>
    </row>
    <row r="554" ht="15.75" customHeight="1">
      <c r="A554" s="11">
        <v>10532.0</v>
      </c>
      <c r="B554" s="11" t="s">
        <v>586</v>
      </c>
      <c r="C554" s="12">
        <v>17047.0</v>
      </c>
      <c r="D554" s="11" t="str">
        <f t="shared" si="1"/>
        <v> </v>
      </c>
      <c r="E554" s="11" t="str">
        <f t="shared" si="2"/>
        <v> </v>
      </c>
    </row>
    <row r="555" ht="15.75" customHeight="1">
      <c r="A555" s="11">
        <v>10571.0</v>
      </c>
      <c r="B555" s="11" t="s">
        <v>587</v>
      </c>
      <c r="C555" s="12">
        <v>21775.0</v>
      </c>
      <c r="D555" s="11" t="str">
        <f t="shared" si="1"/>
        <v> </v>
      </c>
      <c r="E555" s="11" t="str">
        <f t="shared" si="2"/>
        <v> </v>
      </c>
    </row>
    <row r="556" ht="15.75" customHeight="1">
      <c r="A556" s="11">
        <v>10573.0</v>
      </c>
      <c r="B556" s="11" t="s">
        <v>588</v>
      </c>
      <c r="C556" s="12">
        <v>23562.0</v>
      </c>
      <c r="D556" s="11" t="str">
        <f t="shared" si="1"/>
        <v> </v>
      </c>
      <c r="E556" s="11" t="str">
        <f t="shared" si="2"/>
        <v> </v>
      </c>
    </row>
    <row r="557" ht="15.75" customHeight="1">
      <c r="A557" s="11">
        <v>10582.0</v>
      </c>
      <c r="B557" s="11" t="s">
        <v>589</v>
      </c>
      <c r="C557" s="12">
        <v>26796.0</v>
      </c>
      <c r="D557" s="11" t="str">
        <f t="shared" si="1"/>
        <v> </v>
      </c>
      <c r="E557" s="11" t="str">
        <f t="shared" si="2"/>
        <v> </v>
      </c>
    </row>
    <row r="558" ht="15.75" customHeight="1">
      <c r="A558" s="11">
        <v>10583.0</v>
      </c>
      <c r="B558" s="11" t="s">
        <v>590</v>
      </c>
      <c r="C558" s="12">
        <v>24764.0</v>
      </c>
      <c r="D558" s="11" t="str">
        <f t="shared" si="1"/>
        <v> </v>
      </c>
      <c r="E558" s="11" t="str">
        <f t="shared" si="2"/>
        <v> </v>
      </c>
    </row>
    <row r="559" ht="15.75" customHeight="1">
      <c r="A559" s="11">
        <v>10589.0</v>
      </c>
      <c r="B559" s="11" t="s">
        <v>591</v>
      </c>
      <c r="C559" s="12">
        <v>16098.0</v>
      </c>
      <c r="D559" s="11" t="str">
        <f t="shared" si="1"/>
        <v>Repeat</v>
      </c>
      <c r="E559" s="11" t="str">
        <f t="shared" si="2"/>
        <v> </v>
      </c>
    </row>
    <row r="560" ht="15.75" customHeight="1">
      <c r="A560" s="11">
        <v>10590.0</v>
      </c>
      <c r="B560" s="11" t="s">
        <v>592</v>
      </c>
      <c r="C560" s="12">
        <v>26442.0</v>
      </c>
      <c r="D560" s="11" t="str">
        <f t="shared" si="1"/>
        <v> </v>
      </c>
      <c r="E560" s="11" t="str">
        <f t="shared" si="2"/>
        <v> </v>
      </c>
    </row>
    <row r="561" ht="15.75" customHeight="1">
      <c r="A561" s="11">
        <v>10591.0</v>
      </c>
      <c r="B561" s="11" t="s">
        <v>593</v>
      </c>
      <c r="C561" s="12">
        <v>24297.0</v>
      </c>
      <c r="D561" s="11" t="str">
        <f t="shared" si="1"/>
        <v> </v>
      </c>
      <c r="E561" s="11" t="str">
        <f t="shared" si="2"/>
        <v> </v>
      </c>
    </row>
    <row r="562" ht="15.75" customHeight="1">
      <c r="A562" s="11">
        <v>10592.0</v>
      </c>
      <c r="B562" s="11" t="s">
        <v>594</v>
      </c>
      <c r="C562" s="12">
        <v>17302.0</v>
      </c>
      <c r="D562" s="11" t="str">
        <f t="shared" si="1"/>
        <v> </v>
      </c>
      <c r="E562" s="11" t="str">
        <f t="shared" si="2"/>
        <v> </v>
      </c>
    </row>
    <row r="563" ht="15.75" customHeight="1">
      <c r="A563" s="11">
        <v>10593.0</v>
      </c>
      <c r="B563" s="11" t="s">
        <v>595</v>
      </c>
      <c r="C563" s="12">
        <v>31265.0</v>
      </c>
      <c r="D563" s="11" t="str">
        <f t="shared" si="1"/>
        <v> </v>
      </c>
      <c r="E563" s="11" t="str">
        <f t="shared" si="2"/>
        <v> </v>
      </c>
    </row>
    <row r="564" ht="15.75" customHeight="1">
      <c r="A564" s="11">
        <v>10594.0</v>
      </c>
      <c r="B564" s="11" t="s">
        <v>596</v>
      </c>
      <c r="C564" s="12">
        <v>19186.0</v>
      </c>
      <c r="D564" s="11" t="str">
        <f t="shared" si="1"/>
        <v> </v>
      </c>
      <c r="E564" s="11" t="str">
        <f t="shared" si="2"/>
        <v> </v>
      </c>
    </row>
    <row r="565" ht="15.75" customHeight="1">
      <c r="A565" s="11">
        <v>10596.0</v>
      </c>
      <c r="B565" s="11" t="s">
        <v>597</v>
      </c>
      <c r="C565" s="12">
        <v>21504.0</v>
      </c>
      <c r="D565" s="11" t="str">
        <f t="shared" si="1"/>
        <v> </v>
      </c>
      <c r="E565" s="11" t="str">
        <f t="shared" si="2"/>
        <v> </v>
      </c>
    </row>
    <row r="566" ht="15.75" customHeight="1">
      <c r="A566" s="11">
        <v>10598.0</v>
      </c>
      <c r="B566" s="11" t="s">
        <v>598</v>
      </c>
      <c r="C566" s="12">
        <v>31266.0</v>
      </c>
      <c r="D566" s="11" t="str">
        <f t="shared" si="1"/>
        <v> </v>
      </c>
      <c r="E566" s="11" t="str">
        <f t="shared" si="2"/>
        <v> </v>
      </c>
    </row>
    <row r="567" ht="15.75" customHeight="1">
      <c r="A567" s="11">
        <v>10602.0</v>
      </c>
      <c r="B567" s="11" t="s">
        <v>599</v>
      </c>
      <c r="C567" s="12">
        <v>21230.0</v>
      </c>
      <c r="D567" s="11" t="str">
        <f t="shared" si="1"/>
        <v> </v>
      </c>
      <c r="E567" s="11" t="str">
        <f t="shared" si="2"/>
        <v> </v>
      </c>
    </row>
    <row r="568" ht="15.75" customHeight="1">
      <c r="A568" s="11">
        <v>10603.0</v>
      </c>
      <c r="B568" s="11" t="s">
        <v>600</v>
      </c>
      <c r="C568" s="12">
        <v>24825.0</v>
      </c>
      <c r="D568" s="11" t="str">
        <f t="shared" si="1"/>
        <v> </v>
      </c>
      <c r="E568" s="11" t="str">
        <f t="shared" si="2"/>
        <v> </v>
      </c>
    </row>
    <row r="569" ht="15.75" customHeight="1">
      <c r="A569" s="11">
        <v>10604.0</v>
      </c>
      <c r="B569" s="11" t="s">
        <v>601</v>
      </c>
      <c r="C569" s="12">
        <v>30878.0</v>
      </c>
      <c r="D569" s="11" t="str">
        <f t="shared" si="1"/>
        <v> </v>
      </c>
      <c r="E569" s="11" t="str">
        <f t="shared" si="2"/>
        <v> </v>
      </c>
    </row>
    <row r="570" ht="15.75" customHeight="1">
      <c r="A570" s="11">
        <v>10606.0</v>
      </c>
      <c r="B570" s="11" t="s">
        <v>602</v>
      </c>
      <c r="C570" s="12">
        <v>22291.0</v>
      </c>
      <c r="D570" s="11" t="str">
        <f t="shared" si="1"/>
        <v> </v>
      </c>
      <c r="E570" s="11" t="str">
        <f t="shared" si="2"/>
        <v> </v>
      </c>
    </row>
    <row r="571" ht="15.75" customHeight="1">
      <c r="A571" s="11">
        <v>10607.0</v>
      </c>
      <c r="B571" s="11" t="s">
        <v>603</v>
      </c>
      <c r="C571" s="12">
        <v>18965.0</v>
      </c>
      <c r="D571" s="11" t="str">
        <f t="shared" si="1"/>
        <v> </v>
      </c>
      <c r="E571" s="11" t="str">
        <f t="shared" si="2"/>
        <v> </v>
      </c>
    </row>
    <row r="572" ht="15.75" customHeight="1">
      <c r="A572" s="11">
        <v>10611.0</v>
      </c>
      <c r="B572" s="11" t="s">
        <v>604</v>
      </c>
      <c r="C572" s="12">
        <v>17772.0</v>
      </c>
      <c r="D572" s="11" t="str">
        <f t="shared" si="1"/>
        <v> </v>
      </c>
      <c r="E572" s="11" t="str">
        <f t="shared" si="2"/>
        <v> </v>
      </c>
    </row>
    <row r="573" ht="15.75" customHeight="1">
      <c r="A573" s="11">
        <v>10612.0</v>
      </c>
      <c r="B573" s="11" t="s">
        <v>605</v>
      </c>
      <c r="C573" s="12">
        <v>28002.0</v>
      </c>
      <c r="D573" s="11" t="str">
        <f t="shared" si="1"/>
        <v> </v>
      </c>
      <c r="E573" s="11" t="str">
        <f t="shared" si="2"/>
        <v> </v>
      </c>
    </row>
    <row r="574" ht="15.75" customHeight="1">
      <c r="A574" s="11">
        <v>10613.0</v>
      </c>
      <c r="B574" s="11" t="s">
        <v>606</v>
      </c>
      <c r="C574" s="12">
        <v>22017.0</v>
      </c>
      <c r="D574" s="11" t="str">
        <f t="shared" si="1"/>
        <v> </v>
      </c>
      <c r="E574" s="11" t="str">
        <f t="shared" si="2"/>
        <v> </v>
      </c>
    </row>
    <row r="575" ht="15.75" customHeight="1">
      <c r="A575" s="11">
        <v>10614.0</v>
      </c>
      <c r="B575" s="11" t="s">
        <v>607</v>
      </c>
      <c r="C575" s="12">
        <v>19605.0</v>
      </c>
      <c r="D575" s="11" t="str">
        <f t="shared" si="1"/>
        <v> </v>
      </c>
      <c r="E575" s="11" t="str">
        <f t="shared" si="2"/>
        <v> </v>
      </c>
    </row>
    <row r="576" ht="15.75" customHeight="1">
      <c r="A576" s="11">
        <v>10615.0</v>
      </c>
      <c r="B576" s="11" t="s">
        <v>608</v>
      </c>
      <c r="C576" s="12">
        <v>18263.0</v>
      </c>
      <c r="D576" s="11" t="str">
        <f t="shared" si="1"/>
        <v> </v>
      </c>
      <c r="E576" s="11" t="str">
        <f t="shared" si="2"/>
        <v> </v>
      </c>
    </row>
    <row r="577" ht="15.75" customHeight="1">
      <c r="A577" s="11">
        <v>10618.0</v>
      </c>
      <c r="B577" s="11" t="s">
        <v>609</v>
      </c>
      <c r="C577" s="12">
        <v>27520.0</v>
      </c>
      <c r="D577" s="11" t="str">
        <f t="shared" si="1"/>
        <v> </v>
      </c>
      <c r="E577" s="11" t="str">
        <f t="shared" si="2"/>
        <v> </v>
      </c>
    </row>
    <row r="578" ht="15.75" customHeight="1">
      <c r="A578" s="11">
        <v>10620.0</v>
      </c>
      <c r="B578" s="11" t="s">
        <v>610</v>
      </c>
      <c r="C578" s="12">
        <v>12152.0</v>
      </c>
      <c r="D578" s="11" t="str">
        <f t="shared" si="1"/>
        <v> </v>
      </c>
      <c r="E578" s="11" t="str">
        <f t="shared" si="2"/>
        <v> </v>
      </c>
    </row>
    <row r="579" ht="15.75" customHeight="1">
      <c r="A579" s="11">
        <v>10622.0</v>
      </c>
      <c r="B579" s="11" t="s">
        <v>611</v>
      </c>
      <c r="C579" s="12">
        <v>11172.0</v>
      </c>
      <c r="D579" s="11" t="str">
        <f t="shared" si="1"/>
        <v> </v>
      </c>
      <c r="E579" s="11" t="str">
        <f t="shared" si="2"/>
        <v> </v>
      </c>
    </row>
    <row r="580" ht="15.75" customHeight="1">
      <c r="A580" s="11">
        <v>10623.0</v>
      </c>
      <c r="B580" s="11" t="s">
        <v>591</v>
      </c>
      <c r="C580" s="12">
        <v>21882.0</v>
      </c>
      <c r="D580" s="11" t="str">
        <f t="shared" si="1"/>
        <v>Repeat</v>
      </c>
      <c r="E580" s="11" t="str">
        <f t="shared" si="2"/>
        <v> </v>
      </c>
    </row>
    <row r="581" ht="15.75" customHeight="1">
      <c r="A581" s="11">
        <v>10626.0</v>
      </c>
      <c r="B581" s="11" t="s">
        <v>612</v>
      </c>
      <c r="C581" s="12">
        <v>18426.0</v>
      </c>
      <c r="D581" s="11" t="str">
        <f t="shared" si="1"/>
        <v> </v>
      </c>
      <c r="E581" s="11" t="str">
        <f t="shared" si="2"/>
        <v> </v>
      </c>
    </row>
    <row r="582" ht="15.75" customHeight="1">
      <c r="A582" s="11">
        <v>10629.0</v>
      </c>
      <c r="B582" s="11" t="s">
        <v>613</v>
      </c>
      <c r="C582" s="12">
        <v>23738.0</v>
      </c>
      <c r="D582" s="11" t="str">
        <f t="shared" si="1"/>
        <v> </v>
      </c>
      <c r="E582" s="11" t="str">
        <f t="shared" si="2"/>
        <v> </v>
      </c>
    </row>
    <row r="583" ht="15.75" customHeight="1">
      <c r="A583" s="11">
        <v>10632.0</v>
      </c>
      <c r="B583" s="11" t="s">
        <v>614</v>
      </c>
      <c r="C583" s="12">
        <v>22528.0</v>
      </c>
      <c r="D583" s="11" t="str">
        <f t="shared" si="1"/>
        <v> </v>
      </c>
      <c r="E583" s="11" t="str">
        <f t="shared" si="2"/>
        <v> </v>
      </c>
    </row>
    <row r="584" ht="15.75" customHeight="1">
      <c r="A584" s="11">
        <v>10633.0</v>
      </c>
      <c r="B584" s="11" t="s">
        <v>615</v>
      </c>
      <c r="C584" s="12">
        <v>22816.0</v>
      </c>
      <c r="D584" s="11" t="str">
        <f t="shared" si="1"/>
        <v> </v>
      </c>
      <c r="E584" s="11" t="str">
        <f t="shared" si="2"/>
        <v> </v>
      </c>
    </row>
    <row r="585" ht="15.75" customHeight="1">
      <c r="A585" s="11">
        <v>10634.0</v>
      </c>
      <c r="B585" s="11" t="s">
        <v>616</v>
      </c>
      <c r="C585" s="12">
        <v>14961.0</v>
      </c>
      <c r="D585" s="11" t="str">
        <f t="shared" si="1"/>
        <v> </v>
      </c>
      <c r="E585" s="11" t="str">
        <f t="shared" si="2"/>
        <v> </v>
      </c>
    </row>
    <row r="586" ht="15.75" customHeight="1">
      <c r="A586" s="11">
        <v>10640.0</v>
      </c>
      <c r="B586" s="11" t="s">
        <v>617</v>
      </c>
      <c r="C586" s="12">
        <v>35338.0</v>
      </c>
      <c r="D586" s="11" t="str">
        <f t="shared" si="1"/>
        <v> </v>
      </c>
      <c r="E586" s="11" t="str">
        <f t="shared" si="2"/>
        <v> </v>
      </c>
    </row>
    <row r="587" ht="15.75" customHeight="1">
      <c r="A587" s="11">
        <v>10644.0</v>
      </c>
      <c r="B587" s="11" t="s">
        <v>618</v>
      </c>
      <c r="C587" s="12">
        <v>12805.0</v>
      </c>
      <c r="D587" s="11" t="str">
        <f t="shared" si="1"/>
        <v> </v>
      </c>
      <c r="E587" s="11" t="str">
        <f t="shared" si="2"/>
        <v> </v>
      </c>
    </row>
    <row r="588" ht="15.75" customHeight="1">
      <c r="A588" s="11">
        <v>10646.0</v>
      </c>
      <c r="B588" s="11" t="s">
        <v>619</v>
      </c>
      <c r="C588" s="12">
        <v>12791.0</v>
      </c>
      <c r="D588" s="11" t="str">
        <f t="shared" si="1"/>
        <v> </v>
      </c>
      <c r="E588" s="11" t="str">
        <f t="shared" si="2"/>
        <v> </v>
      </c>
    </row>
    <row r="589" ht="15.75" customHeight="1">
      <c r="A589" s="11">
        <v>10649.0</v>
      </c>
      <c r="B589" s="11" t="s">
        <v>620</v>
      </c>
      <c r="C589" s="12">
        <v>21647.0</v>
      </c>
      <c r="D589" s="11" t="str">
        <f t="shared" si="1"/>
        <v> </v>
      </c>
      <c r="E589" s="11" t="str">
        <f t="shared" si="2"/>
        <v> </v>
      </c>
    </row>
    <row r="590" ht="15.75" customHeight="1">
      <c r="A590" s="11">
        <v>10651.0</v>
      </c>
      <c r="B590" s="11" t="s">
        <v>621</v>
      </c>
      <c r="C590" s="12">
        <v>15532.0</v>
      </c>
      <c r="D590" s="11" t="str">
        <f t="shared" si="1"/>
        <v> </v>
      </c>
      <c r="E590" s="11" t="str">
        <f t="shared" si="2"/>
        <v> </v>
      </c>
    </row>
    <row r="591" ht="15.75" customHeight="1">
      <c r="A591" s="11">
        <v>10652.0</v>
      </c>
      <c r="B591" s="11" t="s">
        <v>622</v>
      </c>
      <c r="C591" s="12">
        <v>14094.0</v>
      </c>
      <c r="D591" s="11" t="str">
        <f t="shared" si="1"/>
        <v> </v>
      </c>
      <c r="E591" s="11" t="str">
        <f t="shared" si="2"/>
        <v> </v>
      </c>
    </row>
    <row r="592" ht="15.75" customHeight="1">
      <c r="A592" s="11">
        <v>10654.0</v>
      </c>
      <c r="B592" s="11" t="s">
        <v>623</v>
      </c>
      <c r="C592" s="12">
        <v>18995.0</v>
      </c>
      <c r="D592" s="11" t="str">
        <f t="shared" si="1"/>
        <v> </v>
      </c>
      <c r="E592" s="11" t="str">
        <f t="shared" si="2"/>
        <v> </v>
      </c>
    </row>
    <row r="593" ht="15.75" customHeight="1">
      <c r="A593" s="11">
        <v>10655.0</v>
      </c>
      <c r="B593" s="11" t="s">
        <v>624</v>
      </c>
      <c r="C593" s="12">
        <v>19336.0</v>
      </c>
      <c r="D593" s="11" t="str">
        <f t="shared" si="1"/>
        <v> </v>
      </c>
      <c r="E593" s="11" t="str">
        <f t="shared" si="2"/>
        <v> </v>
      </c>
    </row>
    <row r="594" ht="15.75" customHeight="1">
      <c r="A594" s="11">
        <v>10657.0</v>
      </c>
      <c r="B594" s="11" t="s">
        <v>625</v>
      </c>
      <c r="C594" s="12">
        <v>22384.0</v>
      </c>
      <c r="D594" s="11" t="str">
        <f t="shared" si="1"/>
        <v> </v>
      </c>
      <c r="E594" s="11" t="str">
        <f t="shared" si="2"/>
        <v> </v>
      </c>
    </row>
    <row r="595" ht="15.75" customHeight="1">
      <c r="A595" s="11">
        <v>10658.0</v>
      </c>
      <c r="B595" s="11" t="s">
        <v>626</v>
      </c>
      <c r="C595" s="12">
        <v>22736.0</v>
      </c>
      <c r="D595" s="11" t="str">
        <f t="shared" si="1"/>
        <v> </v>
      </c>
      <c r="E595" s="11" t="str">
        <f t="shared" si="2"/>
        <v> </v>
      </c>
    </row>
    <row r="596" ht="15.75" customHeight="1">
      <c r="A596" s="11">
        <v>10660.0</v>
      </c>
      <c r="B596" s="11" t="s">
        <v>627</v>
      </c>
      <c r="C596" s="12">
        <v>14833.0</v>
      </c>
      <c r="D596" s="11" t="str">
        <f t="shared" si="1"/>
        <v> </v>
      </c>
      <c r="E596" s="11" t="str">
        <f t="shared" si="2"/>
        <v> </v>
      </c>
    </row>
    <row r="597" ht="15.75" customHeight="1">
      <c r="A597" s="11">
        <v>10662.0</v>
      </c>
      <c r="B597" s="11" t="s">
        <v>628</v>
      </c>
      <c r="C597" s="12">
        <v>18416.0</v>
      </c>
      <c r="D597" s="11" t="str">
        <f t="shared" si="1"/>
        <v> </v>
      </c>
      <c r="E597" s="11" t="str">
        <f t="shared" si="2"/>
        <v> </v>
      </c>
    </row>
    <row r="598" ht="15.75" customHeight="1">
      <c r="A598" s="11">
        <v>10663.0</v>
      </c>
      <c r="B598" s="11" t="s">
        <v>629</v>
      </c>
      <c r="C598" s="12">
        <v>22852.0</v>
      </c>
      <c r="D598" s="11" t="str">
        <f t="shared" si="1"/>
        <v> </v>
      </c>
      <c r="E598" s="11" t="str">
        <f t="shared" si="2"/>
        <v> </v>
      </c>
    </row>
    <row r="599" ht="15.75" customHeight="1">
      <c r="A599" s="11">
        <v>10664.0</v>
      </c>
      <c r="B599" s="11" t="s">
        <v>630</v>
      </c>
      <c r="C599" s="12">
        <v>13525.0</v>
      </c>
      <c r="D599" s="11" t="str">
        <f t="shared" si="1"/>
        <v> </v>
      </c>
      <c r="E599" s="11" t="str">
        <f t="shared" si="2"/>
        <v> </v>
      </c>
    </row>
    <row r="600" ht="15.75" customHeight="1">
      <c r="A600" s="11">
        <v>10669.0</v>
      </c>
      <c r="B600" s="11" t="s">
        <v>631</v>
      </c>
      <c r="C600" s="12">
        <v>26193.0</v>
      </c>
      <c r="D600" s="11" t="str">
        <f t="shared" si="1"/>
        <v> </v>
      </c>
      <c r="E600" s="11" t="str">
        <f t="shared" si="2"/>
        <v> </v>
      </c>
    </row>
    <row r="601" ht="15.75" customHeight="1">
      <c r="A601" s="11">
        <v>10671.0</v>
      </c>
      <c r="B601" s="11" t="s">
        <v>632</v>
      </c>
      <c r="C601" s="12">
        <v>26835.0</v>
      </c>
      <c r="D601" s="11" t="str">
        <f t="shared" si="1"/>
        <v> </v>
      </c>
      <c r="E601" s="11" t="str">
        <f t="shared" si="2"/>
        <v> </v>
      </c>
    </row>
    <row r="602" ht="15.75" customHeight="1">
      <c r="A602" s="11">
        <v>10672.0</v>
      </c>
      <c r="B602" s="11" t="s">
        <v>633</v>
      </c>
      <c r="C602" s="12">
        <v>8525.0</v>
      </c>
      <c r="D602" s="11" t="str">
        <f t="shared" si="1"/>
        <v> </v>
      </c>
      <c r="E602" s="11" t="str">
        <f t="shared" si="2"/>
        <v> </v>
      </c>
    </row>
    <row r="603" ht="15.75" customHeight="1">
      <c r="A603" s="11">
        <v>10673.0</v>
      </c>
      <c r="B603" s="11" t="s">
        <v>634</v>
      </c>
      <c r="C603" s="12">
        <v>21995.0</v>
      </c>
      <c r="D603" s="11" t="str">
        <f t="shared" si="1"/>
        <v> </v>
      </c>
      <c r="E603" s="11" t="str">
        <f t="shared" si="2"/>
        <v> </v>
      </c>
    </row>
    <row r="604" ht="15.75" customHeight="1">
      <c r="A604" s="11">
        <v>10677.0</v>
      </c>
      <c r="B604" s="11" t="s">
        <v>635</v>
      </c>
      <c r="C604" s="12">
        <v>19067.0</v>
      </c>
      <c r="D604" s="11" t="str">
        <f t="shared" si="1"/>
        <v> </v>
      </c>
      <c r="E604" s="11" t="str">
        <f t="shared" si="2"/>
        <v> </v>
      </c>
    </row>
    <row r="605" ht="15.75" customHeight="1">
      <c r="A605" s="11">
        <v>10681.0</v>
      </c>
      <c r="B605" s="11" t="s">
        <v>636</v>
      </c>
      <c r="C605" s="12">
        <v>24407.0</v>
      </c>
      <c r="D605" s="11" t="str">
        <f t="shared" si="1"/>
        <v> </v>
      </c>
      <c r="E605" s="11" t="str">
        <f t="shared" si="2"/>
        <v> </v>
      </c>
    </row>
    <row r="606" ht="15.75" customHeight="1">
      <c r="A606" s="11">
        <v>10685.0</v>
      </c>
      <c r="B606" s="11" t="s">
        <v>637</v>
      </c>
      <c r="C606" s="12">
        <v>18624.0</v>
      </c>
      <c r="D606" s="11" t="str">
        <f t="shared" si="1"/>
        <v> </v>
      </c>
      <c r="E606" s="11" t="str">
        <f t="shared" si="2"/>
        <v> </v>
      </c>
    </row>
    <row r="607" ht="15.75" customHeight="1">
      <c r="A607" s="11">
        <v>10693.0</v>
      </c>
      <c r="B607" s="11" t="s">
        <v>638</v>
      </c>
      <c r="C607" s="12">
        <v>27131.0</v>
      </c>
      <c r="D607" s="11" t="str">
        <f t="shared" si="1"/>
        <v> </v>
      </c>
      <c r="E607" s="11" t="str">
        <f t="shared" si="2"/>
        <v> </v>
      </c>
    </row>
    <row r="608" ht="15.75" customHeight="1">
      <c r="A608" s="11">
        <v>10695.0</v>
      </c>
      <c r="B608" s="11" t="s">
        <v>639</v>
      </c>
      <c r="C608" s="12">
        <v>30678.0</v>
      </c>
      <c r="D608" s="11" t="str">
        <f t="shared" si="1"/>
        <v> </v>
      </c>
      <c r="E608" s="11" t="str">
        <f t="shared" si="2"/>
        <v> </v>
      </c>
    </row>
    <row r="609" ht="15.75" customHeight="1">
      <c r="A609" s="11">
        <v>10696.0</v>
      </c>
      <c r="B609" s="11" t="s">
        <v>640</v>
      </c>
      <c r="C609" s="12">
        <v>11720.0</v>
      </c>
      <c r="D609" s="11" t="str">
        <f t="shared" si="1"/>
        <v> </v>
      </c>
      <c r="E609" s="11" t="str">
        <f t="shared" si="2"/>
        <v> </v>
      </c>
    </row>
    <row r="610" ht="15.75" customHeight="1">
      <c r="A610" s="11">
        <v>10697.0</v>
      </c>
      <c r="B610" s="11" t="s">
        <v>641</v>
      </c>
      <c r="C610" s="12">
        <v>27612.0</v>
      </c>
      <c r="D610" s="11" t="str">
        <f t="shared" si="1"/>
        <v> </v>
      </c>
      <c r="E610" s="11" t="str">
        <f t="shared" si="2"/>
        <v> </v>
      </c>
    </row>
    <row r="611" ht="15.75" customHeight="1">
      <c r="A611" s="11">
        <v>10698.0</v>
      </c>
      <c r="B611" s="11" t="s">
        <v>642</v>
      </c>
      <c r="C611" s="12">
        <v>15959.0</v>
      </c>
      <c r="D611" s="11" t="str">
        <f t="shared" si="1"/>
        <v> </v>
      </c>
      <c r="E611" s="11" t="str">
        <f t="shared" si="2"/>
        <v> </v>
      </c>
    </row>
    <row r="612" ht="15.75" customHeight="1">
      <c r="A612" s="11">
        <v>10702.0</v>
      </c>
      <c r="B612" s="11" t="s">
        <v>643</v>
      </c>
      <c r="C612" s="12">
        <v>18579.0</v>
      </c>
      <c r="D612" s="11" t="str">
        <f t="shared" si="1"/>
        <v> </v>
      </c>
      <c r="E612" s="11" t="str">
        <f t="shared" si="2"/>
        <v> </v>
      </c>
    </row>
    <row r="613" ht="15.75" customHeight="1">
      <c r="A613" s="11">
        <v>10703.0</v>
      </c>
      <c r="B613" s="11" t="s">
        <v>644</v>
      </c>
      <c r="C613" s="12">
        <v>25487.0</v>
      </c>
      <c r="D613" s="11" t="str">
        <f t="shared" si="1"/>
        <v> </v>
      </c>
      <c r="E613" s="11" t="str">
        <f t="shared" si="2"/>
        <v> </v>
      </c>
    </row>
    <row r="614" ht="15.75" customHeight="1">
      <c r="A614" s="11">
        <v>10705.0</v>
      </c>
      <c r="B614" s="11" t="s">
        <v>645</v>
      </c>
      <c r="C614" s="12">
        <v>18978.0</v>
      </c>
      <c r="D614" s="11" t="str">
        <f t="shared" si="1"/>
        <v> </v>
      </c>
      <c r="E614" s="11" t="str">
        <f t="shared" si="2"/>
        <v> </v>
      </c>
    </row>
    <row r="615" ht="15.75" customHeight="1">
      <c r="A615" s="11">
        <v>10707.0</v>
      </c>
      <c r="B615" s="11" t="s">
        <v>646</v>
      </c>
      <c r="C615" s="12">
        <v>25625.0</v>
      </c>
      <c r="D615" s="11" t="str">
        <f t="shared" si="1"/>
        <v> </v>
      </c>
      <c r="E615" s="11" t="str">
        <f t="shared" si="2"/>
        <v> </v>
      </c>
    </row>
    <row r="616" ht="15.75" customHeight="1">
      <c r="A616" s="11">
        <v>10708.0</v>
      </c>
      <c r="B616" s="11" t="s">
        <v>647</v>
      </c>
      <c r="C616" s="12">
        <v>22434.0</v>
      </c>
      <c r="D616" s="11" t="str">
        <f t="shared" si="1"/>
        <v> </v>
      </c>
      <c r="E616" s="11" t="str">
        <f t="shared" si="2"/>
        <v> </v>
      </c>
    </row>
    <row r="617" ht="15.75" customHeight="1">
      <c r="A617" s="11">
        <v>10714.0</v>
      </c>
      <c r="B617" s="11" t="s">
        <v>648</v>
      </c>
      <c r="C617" s="12">
        <v>23016.0</v>
      </c>
      <c r="D617" s="11" t="str">
        <f t="shared" si="1"/>
        <v>Repeat</v>
      </c>
      <c r="E617" s="11" t="str">
        <f t="shared" si="2"/>
        <v> </v>
      </c>
    </row>
    <row r="618" ht="15.75" customHeight="1">
      <c r="A618" s="11">
        <v>10715.0</v>
      </c>
      <c r="B618" s="11" t="s">
        <v>649</v>
      </c>
      <c r="C618" s="12">
        <v>14967.0</v>
      </c>
      <c r="D618" s="11" t="str">
        <f t="shared" si="1"/>
        <v> </v>
      </c>
      <c r="E618" s="11" t="str">
        <f t="shared" si="2"/>
        <v> </v>
      </c>
    </row>
    <row r="619" ht="15.75" customHeight="1">
      <c r="A619" s="11">
        <v>10716.0</v>
      </c>
      <c r="B619" s="11" t="s">
        <v>650</v>
      </c>
      <c r="C619" s="12">
        <v>29982.0</v>
      </c>
      <c r="D619" s="11" t="str">
        <f t="shared" si="1"/>
        <v> </v>
      </c>
      <c r="E619" s="11" t="str">
        <f t="shared" si="2"/>
        <v> </v>
      </c>
    </row>
    <row r="620" ht="15.75" customHeight="1">
      <c r="A620" s="11">
        <v>10718.0</v>
      </c>
      <c r="B620" s="11" t="s">
        <v>651</v>
      </c>
      <c r="C620" s="12">
        <v>25173.0</v>
      </c>
      <c r="D620" s="11" t="str">
        <f t="shared" si="1"/>
        <v> </v>
      </c>
      <c r="E620" s="11" t="str">
        <f t="shared" si="2"/>
        <v> </v>
      </c>
    </row>
    <row r="621" ht="15.75" customHeight="1">
      <c r="A621" s="11">
        <v>10719.0</v>
      </c>
      <c r="B621" s="11" t="s">
        <v>652</v>
      </c>
      <c r="C621" s="12">
        <v>25074.0</v>
      </c>
      <c r="D621" s="11" t="str">
        <f t="shared" si="1"/>
        <v> </v>
      </c>
      <c r="E621" s="11" t="str">
        <f t="shared" si="2"/>
        <v> </v>
      </c>
    </row>
    <row r="622" ht="15.75" customHeight="1">
      <c r="A622" s="11">
        <v>10721.0</v>
      </c>
      <c r="B622" s="11" t="s">
        <v>653</v>
      </c>
      <c r="C622" s="12">
        <v>31722.0</v>
      </c>
      <c r="D622" s="11" t="str">
        <f t="shared" si="1"/>
        <v> </v>
      </c>
      <c r="E622" s="11" t="str">
        <f t="shared" si="2"/>
        <v> </v>
      </c>
    </row>
    <row r="623" ht="15.75" customHeight="1">
      <c r="A623" s="11">
        <v>10723.0</v>
      </c>
      <c r="B623" s="11" t="s">
        <v>204</v>
      </c>
      <c r="C623" s="12">
        <v>13729.0</v>
      </c>
      <c r="D623" s="11" t="str">
        <f t="shared" si="1"/>
        <v>Repeat</v>
      </c>
      <c r="E623" s="11" t="str">
        <f t="shared" si="2"/>
        <v> </v>
      </c>
    </row>
    <row r="624" ht="15.75" customHeight="1">
      <c r="A624" s="11">
        <v>10724.0</v>
      </c>
      <c r="B624" s="11" t="s">
        <v>654</v>
      </c>
      <c r="C624" s="12">
        <v>18713.0</v>
      </c>
      <c r="D624" s="11" t="str">
        <f t="shared" si="1"/>
        <v> </v>
      </c>
      <c r="E624" s="11" t="str">
        <f t="shared" si="2"/>
        <v> </v>
      </c>
    </row>
    <row r="625" ht="15.75" customHeight="1">
      <c r="A625" s="11">
        <v>10728.0</v>
      </c>
      <c r="B625" s="11" t="s">
        <v>655</v>
      </c>
      <c r="C625" s="12">
        <v>19307.0</v>
      </c>
      <c r="D625" s="11" t="str">
        <f t="shared" si="1"/>
        <v> </v>
      </c>
      <c r="E625" s="11" t="str">
        <f t="shared" si="2"/>
        <v> </v>
      </c>
    </row>
    <row r="626" ht="15.75" customHeight="1">
      <c r="A626" s="11">
        <v>10729.0</v>
      </c>
      <c r="B626" s="11" t="s">
        <v>656</v>
      </c>
      <c r="C626" s="12">
        <v>19854.0</v>
      </c>
      <c r="D626" s="11" t="str">
        <f t="shared" si="1"/>
        <v> </v>
      </c>
      <c r="E626" s="11" t="str">
        <f t="shared" si="2"/>
        <v> </v>
      </c>
    </row>
    <row r="627" ht="15.75" customHeight="1">
      <c r="A627" s="11">
        <v>10731.0</v>
      </c>
      <c r="B627" s="11" t="s">
        <v>657</v>
      </c>
      <c r="C627" s="12">
        <v>15521.0</v>
      </c>
      <c r="D627" s="11" t="str">
        <f t="shared" si="1"/>
        <v> </v>
      </c>
      <c r="E627" s="11" t="str">
        <f t="shared" si="2"/>
        <v> </v>
      </c>
    </row>
    <row r="628" ht="15.75" customHeight="1">
      <c r="A628" s="11">
        <v>10732.0</v>
      </c>
      <c r="B628" s="11" t="s">
        <v>658</v>
      </c>
      <c r="C628" s="12">
        <v>22198.0</v>
      </c>
      <c r="D628" s="11" t="str">
        <f t="shared" si="1"/>
        <v> </v>
      </c>
      <c r="E628" s="11" t="str">
        <f t="shared" si="2"/>
        <v> </v>
      </c>
    </row>
    <row r="629" ht="15.75" customHeight="1">
      <c r="A629" s="11">
        <v>10733.0</v>
      </c>
      <c r="B629" s="11" t="s">
        <v>659</v>
      </c>
      <c r="C629" s="12">
        <v>15168.0</v>
      </c>
      <c r="D629" s="11" t="str">
        <f t="shared" si="1"/>
        <v> </v>
      </c>
      <c r="E629" s="11" t="str">
        <f t="shared" si="2"/>
        <v> </v>
      </c>
    </row>
    <row r="630" ht="15.75" customHeight="1">
      <c r="A630" s="11">
        <v>10738.0</v>
      </c>
      <c r="B630" s="11" t="s">
        <v>660</v>
      </c>
      <c r="C630" s="12">
        <v>32749.0</v>
      </c>
      <c r="D630" s="11" t="str">
        <f t="shared" si="1"/>
        <v> </v>
      </c>
      <c r="E630" s="11" t="str">
        <f t="shared" si="2"/>
        <v> </v>
      </c>
    </row>
    <row r="631" ht="15.75" customHeight="1">
      <c r="A631" s="11">
        <v>10741.0</v>
      </c>
      <c r="B631" s="11" t="s">
        <v>661</v>
      </c>
      <c r="C631" s="12">
        <v>18129.0</v>
      </c>
      <c r="D631" s="11" t="str">
        <f t="shared" si="1"/>
        <v> </v>
      </c>
      <c r="E631" s="11" t="str">
        <f t="shared" si="2"/>
        <v> </v>
      </c>
    </row>
    <row r="632" ht="15.75" customHeight="1">
      <c r="A632" s="11">
        <v>10744.0</v>
      </c>
      <c r="B632" s="11" t="s">
        <v>662</v>
      </c>
      <c r="C632" s="12">
        <v>22652.0</v>
      </c>
      <c r="D632" s="11" t="str">
        <f t="shared" si="1"/>
        <v> </v>
      </c>
      <c r="E632" s="11" t="str">
        <f t="shared" si="2"/>
        <v> </v>
      </c>
    </row>
    <row r="633" ht="15.75" customHeight="1">
      <c r="A633" s="11">
        <v>10745.0</v>
      </c>
      <c r="B633" s="11" t="s">
        <v>663</v>
      </c>
      <c r="C633" s="12">
        <v>15129.0</v>
      </c>
      <c r="D633" s="11" t="str">
        <f t="shared" si="1"/>
        <v> </v>
      </c>
      <c r="E633" s="11" t="str">
        <f t="shared" si="2"/>
        <v> </v>
      </c>
    </row>
    <row r="634" ht="15.75" customHeight="1">
      <c r="A634" s="11">
        <v>10746.0</v>
      </c>
      <c r="B634" s="11" t="s">
        <v>664</v>
      </c>
      <c r="C634" s="12">
        <v>20786.0</v>
      </c>
      <c r="D634" s="11" t="str">
        <f t="shared" si="1"/>
        <v> </v>
      </c>
      <c r="E634" s="11" t="str">
        <f t="shared" si="2"/>
        <v> </v>
      </c>
    </row>
    <row r="635" ht="15.75" customHeight="1">
      <c r="A635" s="11">
        <v>10747.0</v>
      </c>
      <c r="B635" s="11" t="s">
        <v>665</v>
      </c>
      <c r="C635" s="12">
        <v>26406.0</v>
      </c>
      <c r="D635" s="11" t="str">
        <f t="shared" si="1"/>
        <v> </v>
      </c>
      <c r="E635" s="11" t="str">
        <f t="shared" si="2"/>
        <v> </v>
      </c>
    </row>
    <row r="636" ht="15.75" customHeight="1">
      <c r="A636" s="11">
        <v>10753.0</v>
      </c>
      <c r="B636" s="11" t="s">
        <v>666</v>
      </c>
      <c r="C636" s="12">
        <v>19695.0</v>
      </c>
      <c r="D636" s="11" t="str">
        <f t="shared" si="1"/>
        <v> </v>
      </c>
      <c r="E636" s="11" t="str">
        <f t="shared" si="2"/>
        <v> </v>
      </c>
    </row>
    <row r="637" ht="15.75" customHeight="1">
      <c r="A637" s="11">
        <v>10754.0</v>
      </c>
      <c r="B637" s="11" t="s">
        <v>667</v>
      </c>
      <c r="C637" s="12">
        <v>31027.0</v>
      </c>
      <c r="D637" s="11" t="str">
        <f t="shared" si="1"/>
        <v> </v>
      </c>
      <c r="E637" s="11" t="str">
        <f t="shared" si="2"/>
        <v> </v>
      </c>
    </row>
    <row r="638" ht="15.75" customHeight="1">
      <c r="A638" s="11">
        <v>10755.0</v>
      </c>
      <c r="B638" s="11" t="s">
        <v>668</v>
      </c>
      <c r="C638" s="12">
        <v>26842.0</v>
      </c>
      <c r="D638" s="11" t="str">
        <f t="shared" si="1"/>
        <v> </v>
      </c>
      <c r="E638" s="11" t="str">
        <f t="shared" si="2"/>
        <v> </v>
      </c>
    </row>
    <row r="639" ht="15.75" customHeight="1">
      <c r="A639" s="11">
        <v>10758.0</v>
      </c>
      <c r="B639" s="11" t="s">
        <v>669</v>
      </c>
      <c r="C639" s="12">
        <v>32923.0</v>
      </c>
      <c r="D639" s="11" t="str">
        <f t="shared" si="1"/>
        <v> </v>
      </c>
      <c r="E639" s="11" t="str">
        <f t="shared" si="2"/>
        <v> </v>
      </c>
    </row>
    <row r="640" ht="15.75" customHeight="1">
      <c r="A640" s="11">
        <v>10759.0</v>
      </c>
      <c r="B640" s="11" t="s">
        <v>670</v>
      </c>
      <c r="C640" s="12">
        <v>27174.0</v>
      </c>
      <c r="D640" s="11" t="str">
        <f t="shared" si="1"/>
        <v> </v>
      </c>
      <c r="E640" s="11" t="str">
        <f t="shared" si="2"/>
        <v> </v>
      </c>
    </row>
    <row r="641" ht="15.75" customHeight="1">
      <c r="A641" s="11">
        <v>10761.0</v>
      </c>
      <c r="B641" s="11" t="s">
        <v>671</v>
      </c>
      <c r="C641" s="12">
        <v>25774.0</v>
      </c>
      <c r="D641" s="11" t="str">
        <f t="shared" si="1"/>
        <v> </v>
      </c>
      <c r="E641" s="11" t="str">
        <f t="shared" si="2"/>
        <v> </v>
      </c>
    </row>
    <row r="642" ht="15.75" customHeight="1">
      <c r="A642" s="11">
        <v>10762.0</v>
      </c>
      <c r="B642" s="11" t="s">
        <v>672</v>
      </c>
      <c r="C642" s="12">
        <v>28401.0</v>
      </c>
      <c r="D642" s="11" t="str">
        <f t="shared" si="1"/>
        <v> </v>
      </c>
      <c r="E642" s="11" t="str">
        <f t="shared" si="2"/>
        <v> </v>
      </c>
    </row>
    <row r="643" ht="15.75" customHeight="1">
      <c r="A643" s="11">
        <v>10763.0</v>
      </c>
      <c r="B643" s="11" t="s">
        <v>673</v>
      </c>
      <c r="C643" s="12">
        <v>25157.0</v>
      </c>
      <c r="D643" s="11" t="str">
        <f t="shared" si="1"/>
        <v> </v>
      </c>
      <c r="E643" s="11" t="str">
        <f t="shared" si="2"/>
        <v> </v>
      </c>
    </row>
    <row r="644" ht="15.75" customHeight="1">
      <c r="A644" s="11">
        <v>10764.0</v>
      </c>
      <c r="B644" s="11" t="s">
        <v>674</v>
      </c>
      <c r="C644" s="12">
        <v>19468.0</v>
      </c>
      <c r="D644" s="11" t="str">
        <f t="shared" si="1"/>
        <v> </v>
      </c>
      <c r="E644" s="11" t="str">
        <f t="shared" si="2"/>
        <v> </v>
      </c>
    </row>
    <row r="645" ht="15.75" customHeight="1">
      <c r="A645" s="11">
        <v>10765.0</v>
      </c>
      <c r="B645" s="11" t="s">
        <v>675</v>
      </c>
      <c r="C645" s="12">
        <v>21913.0</v>
      </c>
      <c r="D645" s="11" t="str">
        <f t="shared" si="1"/>
        <v> </v>
      </c>
      <c r="E645" s="11" t="str">
        <f t="shared" si="2"/>
        <v> </v>
      </c>
    </row>
    <row r="646" ht="15.75" customHeight="1">
      <c r="A646" s="11">
        <v>10766.0</v>
      </c>
      <c r="B646" s="11" t="s">
        <v>676</v>
      </c>
      <c r="C646" s="12">
        <v>27154.0</v>
      </c>
      <c r="D646" s="11" t="str">
        <f t="shared" si="1"/>
        <v> </v>
      </c>
      <c r="E646" s="11" t="str">
        <f t="shared" si="2"/>
        <v> </v>
      </c>
    </row>
    <row r="647" ht="15.75" customHeight="1">
      <c r="A647" s="11">
        <v>10768.0</v>
      </c>
      <c r="B647" s="11" t="s">
        <v>677</v>
      </c>
      <c r="C647" s="12">
        <v>19517.0</v>
      </c>
      <c r="D647" s="11" t="str">
        <f t="shared" si="1"/>
        <v> </v>
      </c>
      <c r="E647" s="11" t="str">
        <f t="shared" si="2"/>
        <v> </v>
      </c>
    </row>
    <row r="648" ht="15.75" customHeight="1">
      <c r="A648" s="11">
        <v>10772.0</v>
      </c>
      <c r="B648" s="11" t="s">
        <v>678</v>
      </c>
      <c r="C648" s="12">
        <v>20763.0</v>
      </c>
      <c r="D648" s="11" t="str">
        <f t="shared" si="1"/>
        <v> </v>
      </c>
      <c r="E648" s="11" t="str">
        <f t="shared" si="2"/>
        <v> </v>
      </c>
    </row>
    <row r="649" ht="15.75" customHeight="1">
      <c r="A649" s="11">
        <v>10774.0</v>
      </c>
      <c r="B649" s="11" t="s">
        <v>679</v>
      </c>
      <c r="C649" s="12">
        <v>18572.0</v>
      </c>
      <c r="D649" s="11" t="str">
        <f t="shared" si="1"/>
        <v> </v>
      </c>
      <c r="E649" s="11" t="str">
        <f t="shared" si="2"/>
        <v> </v>
      </c>
    </row>
    <row r="650" ht="15.75" customHeight="1">
      <c r="A650" s="11">
        <v>10778.0</v>
      </c>
      <c r="B650" s="11" t="s">
        <v>680</v>
      </c>
      <c r="C650" s="12">
        <v>15799.0</v>
      </c>
      <c r="D650" s="11" t="str">
        <f t="shared" si="1"/>
        <v> </v>
      </c>
      <c r="E650" s="11" t="str">
        <f t="shared" si="2"/>
        <v> </v>
      </c>
    </row>
    <row r="651" ht="15.75" customHeight="1">
      <c r="A651" s="11">
        <v>10780.0</v>
      </c>
      <c r="B651" s="11" t="s">
        <v>681</v>
      </c>
      <c r="C651" s="12">
        <v>17668.0</v>
      </c>
      <c r="D651" s="11" t="str">
        <f t="shared" si="1"/>
        <v> </v>
      </c>
      <c r="E651" s="11" t="str">
        <f t="shared" si="2"/>
        <v> </v>
      </c>
    </row>
    <row r="652" ht="15.75" customHeight="1">
      <c r="A652" s="11">
        <v>10782.0</v>
      </c>
      <c r="B652" s="11" t="s">
        <v>682</v>
      </c>
      <c r="C652" s="12">
        <v>20515.0</v>
      </c>
      <c r="D652" s="11" t="str">
        <f t="shared" si="1"/>
        <v> </v>
      </c>
      <c r="E652" s="11" t="str">
        <f t="shared" si="2"/>
        <v> </v>
      </c>
    </row>
    <row r="653" ht="15.75" customHeight="1">
      <c r="A653" s="11">
        <v>10787.0</v>
      </c>
      <c r="B653" s="11" t="s">
        <v>683</v>
      </c>
      <c r="C653" s="12">
        <v>30701.0</v>
      </c>
      <c r="D653" s="11" t="str">
        <f t="shared" si="1"/>
        <v> </v>
      </c>
      <c r="E653" s="11" t="str">
        <f t="shared" si="2"/>
        <v> </v>
      </c>
    </row>
    <row r="654" ht="15.75" customHeight="1">
      <c r="A654" s="11">
        <v>10790.0</v>
      </c>
      <c r="B654" s="11" t="s">
        <v>684</v>
      </c>
      <c r="C654" s="12">
        <v>16517.0</v>
      </c>
      <c r="D654" s="11" t="str">
        <f t="shared" si="1"/>
        <v> </v>
      </c>
      <c r="E654" s="11" t="str">
        <f t="shared" si="2"/>
        <v> </v>
      </c>
    </row>
    <row r="655" ht="15.75" customHeight="1">
      <c r="A655" s="11">
        <v>10791.0</v>
      </c>
      <c r="B655" s="11" t="s">
        <v>685</v>
      </c>
      <c r="C655" s="12">
        <v>25010.0</v>
      </c>
      <c r="D655" s="11" t="str">
        <f t="shared" si="1"/>
        <v> </v>
      </c>
      <c r="E655" s="11" t="str">
        <f t="shared" si="2"/>
        <v> </v>
      </c>
    </row>
    <row r="656" ht="15.75" customHeight="1">
      <c r="A656" s="11">
        <v>10793.0</v>
      </c>
      <c r="B656" s="11" t="s">
        <v>686</v>
      </c>
      <c r="C656" s="12">
        <v>15785.0</v>
      </c>
      <c r="D656" s="11" t="str">
        <f t="shared" si="1"/>
        <v> </v>
      </c>
      <c r="E656" s="11" t="str">
        <f t="shared" si="2"/>
        <v> </v>
      </c>
    </row>
    <row r="657" ht="15.75" customHeight="1">
      <c r="A657" s="11">
        <v>10796.0</v>
      </c>
      <c r="B657" s="11" t="s">
        <v>687</v>
      </c>
      <c r="C657" s="12">
        <v>19515.0</v>
      </c>
      <c r="D657" s="11" t="str">
        <f t="shared" si="1"/>
        <v> </v>
      </c>
      <c r="E657" s="11" t="str">
        <f t="shared" si="2"/>
        <v> </v>
      </c>
    </row>
    <row r="658" ht="15.75" customHeight="1">
      <c r="A658" s="11">
        <v>10797.0</v>
      </c>
      <c r="B658" s="11" t="s">
        <v>688</v>
      </c>
      <c r="C658" s="12">
        <v>22095.0</v>
      </c>
      <c r="D658" s="11" t="str">
        <f t="shared" si="1"/>
        <v> </v>
      </c>
      <c r="E658" s="11" t="str">
        <f t="shared" si="2"/>
        <v> </v>
      </c>
    </row>
    <row r="659" ht="15.75" customHeight="1">
      <c r="A659" s="11">
        <v>10799.0</v>
      </c>
      <c r="B659" s="11" t="s">
        <v>689</v>
      </c>
      <c r="C659" s="12">
        <v>21944.0</v>
      </c>
      <c r="D659" s="11" t="str">
        <f t="shared" si="1"/>
        <v> </v>
      </c>
      <c r="E659" s="11" t="str">
        <f t="shared" si="2"/>
        <v> </v>
      </c>
    </row>
    <row r="660" ht="15.75" customHeight="1">
      <c r="A660" s="11">
        <v>10801.0</v>
      </c>
      <c r="B660" s="11" t="s">
        <v>690</v>
      </c>
      <c r="C660" s="12">
        <v>28794.0</v>
      </c>
      <c r="D660" s="11" t="str">
        <f t="shared" si="1"/>
        <v> </v>
      </c>
      <c r="E660" s="11" t="str">
        <f t="shared" si="2"/>
        <v> </v>
      </c>
    </row>
    <row r="661" ht="15.75" customHeight="1">
      <c r="A661" s="11">
        <v>10807.0</v>
      </c>
      <c r="B661" s="11" t="s">
        <v>691</v>
      </c>
      <c r="C661" s="12">
        <v>17116.0</v>
      </c>
      <c r="D661" s="11" t="str">
        <f t="shared" si="1"/>
        <v>Repeat</v>
      </c>
      <c r="E661" s="11" t="str">
        <f t="shared" si="2"/>
        <v> </v>
      </c>
    </row>
    <row r="662" ht="15.75" customHeight="1">
      <c r="A662" s="11">
        <v>10809.0</v>
      </c>
      <c r="B662" s="11" t="s">
        <v>692</v>
      </c>
      <c r="C662" s="12">
        <v>21687.0</v>
      </c>
      <c r="D662" s="11" t="str">
        <f t="shared" si="1"/>
        <v> </v>
      </c>
      <c r="E662" s="11" t="str">
        <f t="shared" si="2"/>
        <v> </v>
      </c>
    </row>
    <row r="663" ht="15.75" customHeight="1">
      <c r="A663" s="11">
        <v>10810.0</v>
      </c>
      <c r="B663" s="11" t="s">
        <v>693</v>
      </c>
      <c r="C663" s="12">
        <v>22860.0</v>
      </c>
      <c r="D663" s="11" t="str">
        <f t="shared" si="1"/>
        <v> </v>
      </c>
      <c r="E663" s="11" t="str">
        <f t="shared" si="2"/>
        <v> </v>
      </c>
    </row>
    <row r="664" ht="15.75" customHeight="1">
      <c r="A664" s="11">
        <v>10813.0</v>
      </c>
      <c r="B664" s="11" t="s">
        <v>694</v>
      </c>
      <c r="C664" s="12">
        <v>13035.0</v>
      </c>
      <c r="D664" s="11" t="str">
        <f t="shared" si="1"/>
        <v> </v>
      </c>
      <c r="E664" s="11" t="str">
        <f t="shared" si="2"/>
        <v> </v>
      </c>
    </row>
    <row r="665" ht="15.75" customHeight="1">
      <c r="A665" s="11">
        <v>10817.0</v>
      </c>
      <c r="B665" s="11" t="s">
        <v>695</v>
      </c>
      <c r="C665" s="12">
        <v>22099.0</v>
      </c>
      <c r="D665" s="11" t="str">
        <f t="shared" si="1"/>
        <v> </v>
      </c>
      <c r="E665" s="11" t="str">
        <f t="shared" si="2"/>
        <v> </v>
      </c>
    </row>
    <row r="666" ht="15.75" customHeight="1">
      <c r="A666" s="11">
        <v>10819.0</v>
      </c>
      <c r="B666" s="11" t="s">
        <v>696</v>
      </c>
      <c r="C666" s="12">
        <v>33525.0</v>
      </c>
      <c r="D666" s="11" t="str">
        <f t="shared" si="1"/>
        <v> </v>
      </c>
      <c r="E666" s="11" t="str">
        <f t="shared" si="2"/>
        <v> </v>
      </c>
    </row>
    <row r="667" ht="15.75" customHeight="1">
      <c r="A667" s="11">
        <v>10827.0</v>
      </c>
      <c r="B667" s="11" t="s">
        <v>697</v>
      </c>
      <c r="C667" s="12">
        <v>21695.0</v>
      </c>
      <c r="D667" s="11" t="str">
        <f t="shared" si="1"/>
        <v> </v>
      </c>
      <c r="E667" s="11" t="str">
        <f t="shared" si="2"/>
        <v> </v>
      </c>
    </row>
    <row r="668" ht="15.75" customHeight="1">
      <c r="A668" s="11">
        <v>10829.0</v>
      </c>
      <c r="B668" s="11" t="s">
        <v>698</v>
      </c>
      <c r="C668" s="12">
        <v>26535.0</v>
      </c>
      <c r="D668" s="11" t="str">
        <f t="shared" si="1"/>
        <v> </v>
      </c>
      <c r="E668" s="11" t="str">
        <f t="shared" si="2"/>
        <v> </v>
      </c>
    </row>
    <row r="669" ht="15.75" customHeight="1">
      <c r="A669" s="11">
        <v>10832.0</v>
      </c>
      <c r="B669" s="11" t="s">
        <v>699</v>
      </c>
      <c r="C669" s="12">
        <v>16704.0</v>
      </c>
      <c r="D669" s="11" t="str">
        <f t="shared" si="1"/>
        <v> </v>
      </c>
      <c r="E669" s="11" t="str">
        <f t="shared" si="2"/>
        <v> </v>
      </c>
    </row>
    <row r="670" ht="15.75" customHeight="1">
      <c r="A670" s="11">
        <v>10854.0</v>
      </c>
      <c r="B670" s="11" t="s">
        <v>700</v>
      </c>
      <c r="C670" s="12">
        <v>26580.0</v>
      </c>
      <c r="D670" s="11" t="str">
        <f t="shared" si="1"/>
        <v> </v>
      </c>
      <c r="E670" s="11" t="str">
        <f t="shared" si="2"/>
        <v> </v>
      </c>
    </row>
    <row r="671" ht="15.75" customHeight="1">
      <c r="A671" s="11">
        <v>10858.0</v>
      </c>
      <c r="B671" s="11" t="s">
        <v>701</v>
      </c>
      <c r="C671" s="12">
        <v>18816.0</v>
      </c>
      <c r="D671" s="11" t="str">
        <f t="shared" si="1"/>
        <v> </v>
      </c>
      <c r="E671" s="11" t="str">
        <f t="shared" si="2"/>
        <v> </v>
      </c>
    </row>
    <row r="672" ht="15.75" customHeight="1">
      <c r="A672" s="11">
        <v>10859.0</v>
      </c>
      <c r="B672" s="11" t="s">
        <v>702</v>
      </c>
      <c r="C672" s="12">
        <v>22593.0</v>
      </c>
      <c r="D672" s="11" t="str">
        <f t="shared" si="1"/>
        <v> </v>
      </c>
      <c r="E672" s="11" t="str">
        <f t="shared" si="2"/>
        <v> </v>
      </c>
    </row>
    <row r="673" ht="15.75" customHeight="1">
      <c r="A673" s="11">
        <v>10861.0</v>
      </c>
      <c r="B673" s="11" t="s">
        <v>703</v>
      </c>
      <c r="C673" s="12">
        <v>17929.0</v>
      </c>
      <c r="D673" s="11" t="str">
        <f t="shared" si="1"/>
        <v> </v>
      </c>
      <c r="E673" s="11" t="str">
        <f t="shared" si="2"/>
        <v> </v>
      </c>
    </row>
    <row r="674" ht="15.75" customHeight="1">
      <c r="A674" s="11">
        <v>10864.0</v>
      </c>
      <c r="B674" s="11" t="s">
        <v>704</v>
      </c>
      <c r="C674" s="12">
        <v>18480.0</v>
      </c>
      <c r="D674" s="11" t="str">
        <f t="shared" si="1"/>
        <v> </v>
      </c>
      <c r="E674" s="11" t="str">
        <f t="shared" si="2"/>
        <v> </v>
      </c>
    </row>
    <row r="675" ht="15.75" customHeight="1">
      <c r="A675" s="11">
        <v>10865.0</v>
      </c>
      <c r="B675" s="11" t="s">
        <v>705</v>
      </c>
      <c r="C675" s="12">
        <v>21536.0</v>
      </c>
      <c r="D675" s="11" t="str">
        <f t="shared" si="1"/>
        <v> </v>
      </c>
      <c r="E675" s="11" t="str">
        <f t="shared" si="2"/>
        <v> </v>
      </c>
    </row>
    <row r="676" ht="15.75" customHeight="1">
      <c r="A676" s="11">
        <v>10869.0</v>
      </c>
      <c r="B676" s="11" t="s">
        <v>706</v>
      </c>
      <c r="C676" s="12">
        <v>11671.0</v>
      </c>
      <c r="D676" s="11" t="str">
        <f t="shared" si="1"/>
        <v> </v>
      </c>
      <c r="E676" s="11" t="str">
        <f t="shared" si="2"/>
        <v> </v>
      </c>
    </row>
    <row r="677" ht="15.75" customHeight="1">
      <c r="A677" s="11">
        <v>10873.0</v>
      </c>
      <c r="B677" s="11" t="s">
        <v>707</v>
      </c>
      <c r="C677" s="12">
        <v>8953.0</v>
      </c>
      <c r="D677" s="11" t="str">
        <f t="shared" si="1"/>
        <v>Repeat</v>
      </c>
      <c r="E677" s="11" t="str">
        <f t="shared" si="2"/>
        <v>Repeat</v>
      </c>
    </row>
    <row r="678" ht="15.75" customHeight="1">
      <c r="A678" s="11">
        <v>10875.0</v>
      </c>
      <c r="B678" s="11" t="s">
        <v>708</v>
      </c>
      <c r="C678" s="12">
        <v>19553.0</v>
      </c>
      <c r="D678" s="11" t="str">
        <f t="shared" si="1"/>
        <v> </v>
      </c>
      <c r="E678" s="11" t="str">
        <f t="shared" si="2"/>
        <v> </v>
      </c>
    </row>
    <row r="679" ht="15.75" customHeight="1">
      <c r="A679" s="11">
        <v>10878.0</v>
      </c>
      <c r="B679" s="11" t="s">
        <v>709</v>
      </c>
      <c r="C679" s="12">
        <v>25475.0</v>
      </c>
      <c r="D679" s="11" t="str">
        <f t="shared" si="1"/>
        <v> </v>
      </c>
      <c r="E679" s="11" t="str">
        <f t="shared" si="2"/>
        <v> </v>
      </c>
    </row>
    <row r="680" ht="15.75" customHeight="1">
      <c r="A680" s="11">
        <v>10880.0</v>
      </c>
      <c r="B680" s="11" t="s">
        <v>710</v>
      </c>
      <c r="C680" s="12">
        <v>21427.0</v>
      </c>
      <c r="D680" s="11" t="str">
        <f t="shared" si="1"/>
        <v> </v>
      </c>
      <c r="E680" s="11" t="str">
        <f t="shared" si="2"/>
        <v> </v>
      </c>
    </row>
    <row r="681" ht="15.75" customHeight="1">
      <c r="A681" s="11">
        <v>10882.0</v>
      </c>
      <c r="B681" s="11" t="s">
        <v>711</v>
      </c>
      <c r="C681" s="12">
        <v>25037.0</v>
      </c>
      <c r="D681" s="11" t="str">
        <f t="shared" si="1"/>
        <v> </v>
      </c>
      <c r="E681" s="11" t="str">
        <f t="shared" si="2"/>
        <v> </v>
      </c>
    </row>
    <row r="682" ht="15.75" customHeight="1">
      <c r="A682" s="11">
        <v>10885.0</v>
      </c>
      <c r="B682" s="11" t="s">
        <v>712</v>
      </c>
      <c r="C682" s="12">
        <v>17213.0</v>
      </c>
      <c r="D682" s="11" t="str">
        <f t="shared" si="1"/>
        <v> </v>
      </c>
      <c r="E682" s="11" t="str">
        <f t="shared" si="2"/>
        <v> </v>
      </c>
    </row>
    <row r="683" ht="15.75" customHeight="1">
      <c r="A683" s="11">
        <v>10895.0</v>
      </c>
      <c r="B683" s="11" t="s">
        <v>713</v>
      </c>
      <c r="C683" s="12">
        <v>17145.0</v>
      </c>
      <c r="D683" s="11" t="str">
        <f t="shared" si="1"/>
        <v> </v>
      </c>
      <c r="E683" s="11" t="str">
        <f t="shared" si="2"/>
        <v> </v>
      </c>
    </row>
    <row r="684" ht="15.75" customHeight="1">
      <c r="A684" s="11">
        <v>10898.0</v>
      </c>
      <c r="B684" s="11" t="s">
        <v>714</v>
      </c>
      <c r="C684" s="12">
        <v>21418.0</v>
      </c>
      <c r="D684" s="11" t="str">
        <f t="shared" si="1"/>
        <v> </v>
      </c>
      <c r="E684" s="11" t="str">
        <f t="shared" si="2"/>
        <v> </v>
      </c>
    </row>
    <row r="685" ht="15.75" customHeight="1">
      <c r="A685" s="11">
        <v>10903.0</v>
      </c>
      <c r="B685" s="11" t="s">
        <v>715</v>
      </c>
      <c r="C685" s="12">
        <v>22992.0</v>
      </c>
      <c r="D685" s="11" t="str">
        <f t="shared" si="1"/>
        <v>Repeat</v>
      </c>
      <c r="E685" s="11" t="str">
        <f t="shared" si="2"/>
        <v> </v>
      </c>
    </row>
    <row r="686" ht="15.75" customHeight="1">
      <c r="A686" s="11">
        <v>10904.0</v>
      </c>
      <c r="B686" s="11" t="s">
        <v>716</v>
      </c>
      <c r="C686" s="12">
        <v>26484.0</v>
      </c>
      <c r="D686" s="11" t="str">
        <f t="shared" si="1"/>
        <v> </v>
      </c>
      <c r="E686" s="11" t="str">
        <f t="shared" si="2"/>
        <v> </v>
      </c>
    </row>
    <row r="687" ht="15.75" customHeight="1">
      <c r="A687" s="11">
        <v>10905.0</v>
      </c>
      <c r="B687" s="11" t="s">
        <v>717</v>
      </c>
      <c r="C687" s="12">
        <v>20654.0</v>
      </c>
      <c r="D687" s="11" t="str">
        <f t="shared" si="1"/>
        <v>Repeat</v>
      </c>
      <c r="E687" s="11" t="str">
        <f t="shared" si="2"/>
        <v> </v>
      </c>
    </row>
    <row r="688" ht="15.75" customHeight="1">
      <c r="A688" s="11">
        <v>10906.0</v>
      </c>
      <c r="B688" s="11" t="s">
        <v>718</v>
      </c>
      <c r="C688" s="12">
        <v>30712.0</v>
      </c>
      <c r="D688" s="11" t="str">
        <f t="shared" si="1"/>
        <v> </v>
      </c>
      <c r="E688" s="11" t="str">
        <f t="shared" si="2"/>
        <v> </v>
      </c>
    </row>
    <row r="689" ht="15.75" customHeight="1">
      <c r="A689" s="11">
        <v>10908.0</v>
      </c>
      <c r="B689" s="11" t="s">
        <v>719</v>
      </c>
      <c r="C689" s="12">
        <v>21424.0</v>
      </c>
      <c r="D689" s="11" t="str">
        <f t="shared" si="1"/>
        <v> </v>
      </c>
      <c r="E689" s="11" t="str">
        <f t="shared" si="2"/>
        <v> </v>
      </c>
    </row>
    <row r="690" ht="15.75" customHeight="1">
      <c r="A690" s="11">
        <v>10909.0</v>
      </c>
      <c r="B690" s="11" t="s">
        <v>720</v>
      </c>
      <c r="C690" s="12">
        <v>15417.0</v>
      </c>
      <c r="D690" s="11" t="str">
        <f t="shared" si="1"/>
        <v> </v>
      </c>
      <c r="E690" s="11" t="str">
        <f t="shared" si="2"/>
        <v> </v>
      </c>
    </row>
    <row r="691" ht="15.75" customHeight="1">
      <c r="A691" s="11">
        <v>10911.0</v>
      </c>
      <c r="B691" s="11" t="s">
        <v>721</v>
      </c>
      <c r="C691" s="12">
        <v>12187.0</v>
      </c>
      <c r="D691" s="11" t="str">
        <f t="shared" si="1"/>
        <v> </v>
      </c>
      <c r="E691" s="11" t="str">
        <f t="shared" si="2"/>
        <v> </v>
      </c>
    </row>
    <row r="692" ht="15.75" customHeight="1">
      <c r="A692" s="11">
        <v>10912.0</v>
      </c>
      <c r="B692" s="11" t="s">
        <v>722</v>
      </c>
      <c r="C692" s="12">
        <v>29380.0</v>
      </c>
      <c r="D692" s="11" t="str">
        <f t="shared" si="1"/>
        <v> </v>
      </c>
      <c r="E692" s="11" t="str">
        <f t="shared" si="2"/>
        <v> </v>
      </c>
    </row>
    <row r="693" ht="15.75" customHeight="1">
      <c r="A693" s="11">
        <v>10914.0</v>
      </c>
      <c r="B693" s="11" t="s">
        <v>723</v>
      </c>
      <c r="C693" s="12">
        <v>30874.0</v>
      </c>
      <c r="D693" s="11" t="str">
        <f t="shared" si="1"/>
        <v> </v>
      </c>
      <c r="E693" s="11" t="str">
        <f t="shared" si="2"/>
        <v> </v>
      </c>
    </row>
    <row r="694" ht="15.75" customHeight="1">
      <c r="A694" s="11">
        <v>10919.0</v>
      </c>
      <c r="B694" s="11" t="s">
        <v>724</v>
      </c>
      <c r="C694" s="12">
        <v>22257.0</v>
      </c>
      <c r="D694" s="11" t="str">
        <f t="shared" si="1"/>
        <v> </v>
      </c>
      <c r="E694" s="11" t="str">
        <f t="shared" si="2"/>
        <v> </v>
      </c>
    </row>
    <row r="695" ht="15.75" customHeight="1">
      <c r="A695" s="11">
        <v>10921.0</v>
      </c>
      <c r="B695" s="11" t="s">
        <v>725</v>
      </c>
      <c r="C695" s="12">
        <v>23899.0</v>
      </c>
      <c r="D695" s="11" t="str">
        <f t="shared" si="1"/>
        <v> </v>
      </c>
      <c r="E695" s="11" t="str">
        <f t="shared" si="2"/>
        <v> </v>
      </c>
    </row>
    <row r="696" ht="15.75" customHeight="1">
      <c r="A696" s="11">
        <v>10924.0</v>
      </c>
      <c r="B696" s="11" t="s">
        <v>726</v>
      </c>
      <c r="C696" s="12">
        <v>19463.0</v>
      </c>
      <c r="D696" s="11" t="str">
        <f t="shared" si="1"/>
        <v> </v>
      </c>
      <c r="E696" s="11" t="str">
        <f t="shared" si="2"/>
        <v> </v>
      </c>
    </row>
    <row r="697" ht="15.75" customHeight="1">
      <c r="A697" s="11">
        <v>10927.0</v>
      </c>
      <c r="B697" s="11" t="s">
        <v>727</v>
      </c>
      <c r="C697" s="12">
        <v>29570.0</v>
      </c>
      <c r="D697" s="11" t="str">
        <f t="shared" si="1"/>
        <v> </v>
      </c>
      <c r="E697" s="11" t="str">
        <f t="shared" si="2"/>
        <v> </v>
      </c>
    </row>
    <row r="698" ht="15.75" customHeight="1">
      <c r="A698" s="11">
        <v>10928.0</v>
      </c>
      <c r="B698" s="11" t="s">
        <v>728</v>
      </c>
      <c r="C698" s="12">
        <v>20619.0</v>
      </c>
      <c r="D698" s="11" t="str">
        <f t="shared" si="1"/>
        <v> </v>
      </c>
      <c r="E698" s="11" t="str">
        <f t="shared" si="2"/>
        <v> </v>
      </c>
    </row>
    <row r="699" ht="15.75" customHeight="1">
      <c r="A699" s="11">
        <v>10929.0</v>
      </c>
      <c r="B699" s="11" t="s">
        <v>729</v>
      </c>
      <c r="C699" s="12">
        <v>30288.0</v>
      </c>
      <c r="D699" s="11" t="str">
        <f t="shared" si="1"/>
        <v> </v>
      </c>
      <c r="E699" s="11" t="str">
        <f t="shared" si="2"/>
        <v> </v>
      </c>
    </row>
    <row r="700" ht="15.75" customHeight="1">
      <c r="A700" s="11">
        <v>10933.0</v>
      </c>
      <c r="B700" s="11" t="s">
        <v>730</v>
      </c>
      <c r="C700" s="12">
        <v>23029.0</v>
      </c>
      <c r="D700" s="11" t="str">
        <f t="shared" si="1"/>
        <v> </v>
      </c>
      <c r="E700" s="11" t="str">
        <f t="shared" si="2"/>
        <v> </v>
      </c>
    </row>
    <row r="701" ht="15.75" customHeight="1">
      <c r="A701" s="11">
        <v>10936.0</v>
      </c>
      <c r="B701" s="11" t="s">
        <v>731</v>
      </c>
      <c r="C701" s="12">
        <v>34514.0</v>
      </c>
      <c r="D701" s="11" t="str">
        <f t="shared" si="1"/>
        <v> </v>
      </c>
      <c r="E701" s="11" t="str">
        <f t="shared" si="2"/>
        <v> </v>
      </c>
    </row>
    <row r="702" ht="15.75" customHeight="1">
      <c r="A702" s="11">
        <v>10937.0</v>
      </c>
      <c r="B702" s="11" t="s">
        <v>732</v>
      </c>
      <c r="C702" s="12">
        <v>25398.0</v>
      </c>
      <c r="D702" s="11" t="str">
        <f t="shared" si="1"/>
        <v> </v>
      </c>
      <c r="E702" s="11" t="str">
        <f t="shared" si="2"/>
        <v> </v>
      </c>
    </row>
    <row r="703" ht="15.75" customHeight="1">
      <c r="A703" s="11">
        <v>10939.0</v>
      </c>
      <c r="B703" s="11" t="s">
        <v>733</v>
      </c>
      <c r="C703" s="12">
        <v>28418.0</v>
      </c>
      <c r="D703" s="11" t="str">
        <f t="shared" si="1"/>
        <v> </v>
      </c>
      <c r="E703" s="11" t="str">
        <f t="shared" si="2"/>
        <v> </v>
      </c>
    </row>
    <row r="704" ht="15.75" customHeight="1">
      <c r="A704" s="11">
        <v>10941.0</v>
      </c>
      <c r="B704" s="11" t="s">
        <v>734</v>
      </c>
      <c r="C704" s="12">
        <v>20525.0</v>
      </c>
      <c r="D704" s="11" t="str">
        <f t="shared" si="1"/>
        <v> </v>
      </c>
      <c r="E704" s="11" t="str">
        <f t="shared" si="2"/>
        <v> </v>
      </c>
    </row>
    <row r="705" ht="15.75" customHeight="1">
      <c r="A705" s="11">
        <v>10942.0</v>
      </c>
      <c r="B705" s="11" t="s">
        <v>735</v>
      </c>
      <c r="C705" s="12">
        <v>32534.0</v>
      </c>
      <c r="D705" s="11" t="str">
        <f t="shared" si="1"/>
        <v> </v>
      </c>
      <c r="E705" s="11" t="str">
        <f t="shared" si="2"/>
        <v> </v>
      </c>
    </row>
    <row r="706" ht="15.75" customHeight="1">
      <c r="A706" s="11">
        <v>10943.0</v>
      </c>
      <c r="B706" s="11" t="s">
        <v>736</v>
      </c>
      <c r="C706" s="12">
        <v>29169.0</v>
      </c>
      <c r="D706" s="11" t="str">
        <f t="shared" si="1"/>
        <v> </v>
      </c>
      <c r="E706" s="11" t="str">
        <f t="shared" si="2"/>
        <v> </v>
      </c>
    </row>
    <row r="707" ht="15.75" customHeight="1">
      <c r="A707" s="11">
        <v>10945.0</v>
      </c>
      <c r="B707" s="11" t="s">
        <v>737</v>
      </c>
      <c r="C707" s="12">
        <v>19552.0</v>
      </c>
      <c r="D707" s="11" t="str">
        <f t="shared" si="1"/>
        <v> </v>
      </c>
      <c r="E707" s="11" t="str">
        <f t="shared" si="2"/>
        <v> </v>
      </c>
    </row>
    <row r="708" ht="15.75" customHeight="1">
      <c r="A708" s="11">
        <v>10948.0</v>
      </c>
      <c r="B708" s="11" t="s">
        <v>738</v>
      </c>
      <c r="C708" s="12">
        <v>23648.0</v>
      </c>
      <c r="D708" s="11" t="str">
        <f t="shared" si="1"/>
        <v> </v>
      </c>
      <c r="E708" s="11" t="str">
        <f t="shared" si="2"/>
        <v> </v>
      </c>
    </row>
    <row r="709" ht="15.75" customHeight="1">
      <c r="A709" s="11">
        <v>10952.0</v>
      </c>
      <c r="B709" s="11" t="s">
        <v>739</v>
      </c>
      <c r="C709" s="12">
        <v>28571.0</v>
      </c>
      <c r="D709" s="11" t="str">
        <f t="shared" si="1"/>
        <v> </v>
      </c>
      <c r="E709" s="11" t="str">
        <f t="shared" si="2"/>
        <v> </v>
      </c>
    </row>
    <row r="710" ht="15.75" customHeight="1">
      <c r="A710" s="11">
        <v>10954.0</v>
      </c>
      <c r="B710" s="11" t="s">
        <v>740</v>
      </c>
      <c r="C710" s="12">
        <v>17103.0</v>
      </c>
      <c r="D710" s="11" t="str">
        <f t="shared" si="1"/>
        <v>Repeat</v>
      </c>
      <c r="E710" s="11" t="str">
        <f t="shared" si="2"/>
        <v> </v>
      </c>
    </row>
    <row r="711" ht="15.75" customHeight="1">
      <c r="A711" s="11">
        <v>10955.0</v>
      </c>
      <c r="B711" s="11" t="s">
        <v>741</v>
      </c>
      <c r="C711" s="12">
        <v>26255.0</v>
      </c>
      <c r="D711" s="11" t="str">
        <f t="shared" si="1"/>
        <v> </v>
      </c>
      <c r="E711" s="11" t="str">
        <f t="shared" si="2"/>
        <v> </v>
      </c>
    </row>
    <row r="712" ht="15.75" customHeight="1">
      <c r="A712" s="11">
        <v>10958.0</v>
      </c>
      <c r="B712" s="11" t="s">
        <v>742</v>
      </c>
      <c r="C712" s="12">
        <v>30302.0</v>
      </c>
      <c r="D712" s="11" t="str">
        <f t="shared" si="1"/>
        <v> </v>
      </c>
      <c r="E712" s="11" t="str">
        <f t="shared" si="2"/>
        <v> </v>
      </c>
    </row>
    <row r="713" ht="15.75" customHeight="1">
      <c r="A713" s="11">
        <v>10959.0</v>
      </c>
      <c r="B713" s="11" t="s">
        <v>743</v>
      </c>
      <c r="C713" s="12">
        <v>20829.0</v>
      </c>
      <c r="D713" s="11" t="str">
        <f t="shared" si="1"/>
        <v> </v>
      </c>
      <c r="E713" s="11" t="str">
        <f t="shared" si="2"/>
        <v> </v>
      </c>
    </row>
    <row r="714" ht="15.75" customHeight="1">
      <c r="A714" s="11">
        <v>10961.0</v>
      </c>
      <c r="B714" s="11" t="s">
        <v>744</v>
      </c>
      <c r="C714" s="12">
        <v>19237.0</v>
      </c>
      <c r="D714" s="11" t="str">
        <f t="shared" si="1"/>
        <v> </v>
      </c>
      <c r="E714" s="11" t="str">
        <f t="shared" si="2"/>
        <v> </v>
      </c>
    </row>
    <row r="715" ht="15.75" customHeight="1">
      <c r="A715" s="11">
        <v>10965.0</v>
      </c>
      <c r="B715" s="11" t="s">
        <v>745</v>
      </c>
      <c r="C715" s="12">
        <v>26004.0</v>
      </c>
      <c r="D715" s="11" t="str">
        <f t="shared" si="1"/>
        <v> </v>
      </c>
      <c r="E715" s="11" t="str">
        <f t="shared" si="2"/>
        <v> </v>
      </c>
    </row>
    <row r="716" ht="15.75" customHeight="1">
      <c r="A716" s="11">
        <v>10966.0</v>
      </c>
      <c r="B716" s="11" t="s">
        <v>746</v>
      </c>
      <c r="C716" s="12">
        <v>26677.0</v>
      </c>
      <c r="D716" s="11" t="str">
        <f t="shared" si="1"/>
        <v> </v>
      </c>
      <c r="E716" s="11" t="str">
        <f t="shared" si="2"/>
        <v> </v>
      </c>
    </row>
    <row r="717" ht="15.75" customHeight="1">
      <c r="A717" s="11">
        <v>10973.0</v>
      </c>
      <c r="B717" s="11" t="s">
        <v>747</v>
      </c>
      <c r="C717" s="12">
        <v>18722.0</v>
      </c>
      <c r="D717" s="11" t="str">
        <f t="shared" si="1"/>
        <v>Repeat</v>
      </c>
      <c r="E717" s="11" t="str">
        <f t="shared" si="2"/>
        <v> </v>
      </c>
    </row>
    <row r="718" ht="15.75" customHeight="1">
      <c r="A718" s="11">
        <v>10978.0</v>
      </c>
      <c r="B718" s="11" t="s">
        <v>748</v>
      </c>
      <c r="C718" s="12">
        <v>19806.0</v>
      </c>
      <c r="D718" s="11" t="str">
        <f t="shared" si="1"/>
        <v>Repeat</v>
      </c>
      <c r="E718" s="11" t="str">
        <f t="shared" si="2"/>
        <v> </v>
      </c>
    </row>
    <row r="719" ht="15.75" customHeight="1">
      <c r="A719" s="11">
        <v>10980.0</v>
      </c>
      <c r="B719" s="11" t="s">
        <v>749</v>
      </c>
      <c r="C719" s="12">
        <v>30572.0</v>
      </c>
      <c r="D719" s="11" t="str">
        <f t="shared" si="1"/>
        <v> </v>
      </c>
      <c r="E719" s="11" t="str">
        <f t="shared" si="2"/>
        <v> </v>
      </c>
    </row>
    <row r="720" ht="15.75" customHeight="1">
      <c r="A720" s="11">
        <v>10984.0</v>
      </c>
      <c r="B720" s="11" t="s">
        <v>750</v>
      </c>
      <c r="C720" s="12">
        <v>23057.0</v>
      </c>
      <c r="D720" s="11" t="str">
        <f t="shared" si="1"/>
        <v> </v>
      </c>
      <c r="E720" s="11" t="str">
        <f t="shared" si="2"/>
        <v> </v>
      </c>
    </row>
    <row r="721" ht="15.75" customHeight="1">
      <c r="A721" s="11">
        <v>10988.0</v>
      </c>
      <c r="B721" s="11" t="s">
        <v>751</v>
      </c>
      <c r="C721" s="12">
        <v>25831.0</v>
      </c>
      <c r="D721" s="11" t="str">
        <f t="shared" si="1"/>
        <v> </v>
      </c>
      <c r="E721" s="11" t="str">
        <f t="shared" si="2"/>
        <v> </v>
      </c>
    </row>
    <row r="722" ht="15.75" customHeight="1">
      <c r="A722" s="11">
        <v>10989.0</v>
      </c>
      <c r="B722" s="11" t="s">
        <v>752</v>
      </c>
      <c r="C722" s="12">
        <v>17993.0</v>
      </c>
      <c r="D722" s="11" t="str">
        <f t="shared" si="1"/>
        <v> </v>
      </c>
      <c r="E722" s="11" t="str">
        <f t="shared" si="2"/>
        <v> </v>
      </c>
    </row>
    <row r="723" ht="15.75" customHeight="1">
      <c r="A723" s="11">
        <v>10990.0</v>
      </c>
      <c r="B723" s="11" t="s">
        <v>753</v>
      </c>
      <c r="C723" s="12">
        <v>19471.0</v>
      </c>
      <c r="D723" s="11" t="str">
        <f t="shared" si="1"/>
        <v> </v>
      </c>
      <c r="E723" s="11" t="str">
        <f t="shared" si="2"/>
        <v> </v>
      </c>
    </row>
    <row r="724" ht="15.75" customHeight="1">
      <c r="A724" s="11">
        <v>10999.0</v>
      </c>
      <c r="B724" s="11" t="s">
        <v>754</v>
      </c>
      <c r="C724" s="12">
        <v>26764.0</v>
      </c>
      <c r="D724" s="11" t="str">
        <f t="shared" si="1"/>
        <v> </v>
      </c>
      <c r="E724" s="11" t="str">
        <f t="shared" si="2"/>
        <v> </v>
      </c>
    </row>
    <row r="725" ht="15.75" customHeight="1">
      <c r="A725" s="11">
        <v>11000.0</v>
      </c>
      <c r="B725" s="11" t="s">
        <v>755</v>
      </c>
      <c r="C725" s="12">
        <v>16385.0</v>
      </c>
      <c r="D725" s="11" t="str">
        <f t="shared" si="1"/>
        <v> </v>
      </c>
      <c r="E725" s="11" t="str">
        <f t="shared" si="2"/>
        <v> </v>
      </c>
    </row>
    <row r="726" ht="15.75" customHeight="1">
      <c r="A726" s="11">
        <v>11002.0</v>
      </c>
      <c r="B726" s="11" t="s">
        <v>756</v>
      </c>
      <c r="C726" s="12">
        <v>33956.0</v>
      </c>
      <c r="D726" s="11" t="str">
        <f t="shared" si="1"/>
        <v> </v>
      </c>
      <c r="E726" s="11" t="str">
        <f t="shared" si="2"/>
        <v> </v>
      </c>
    </row>
    <row r="727" ht="15.75" customHeight="1">
      <c r="A727" s="11">
        <v>11004.0</v>
      </c>
      <c r="B727" s="11" t="s">
        <v>757</v>
      </c>
      <c r="C727" s="12">
        <v>27126.0</v>
      </c>
      <c r="D727" s="11" t="str">
        <f t="shared" si="1"/>
        <v> </v>
      </c>
      <c r="E727" s="11" t="str">
        <f t="shared" si="2"/>
        <v> </v>
      </c>
    </row>
    <row r="728" ht="15.75" customHeight="1">
      <c r="A728" s="11">
        <v>11005.0</v>
      </c>
      <c r="B728" s="11" t="s">
        <v>758</v>
      </c>
      <c r="C728" s="12">
        <v>29353.0</v>
      </c>
      <c r="D728" s="11" t="str">
        <f t="shared" si="1"/>
        <v> </v>
      </c>
      <c r="E728" s="11" t="str">
        <f t="shared" si="2"/>
        <v> </v>
      </c>
    </row>
    <row r="729" ht="15.75" customHeight="1">
      <c r="A729" s="11">
        <v>11006.0</v>
      </c>
      <c r="B729" s="11" t="s">
        <v>759</v>
      </c>
      <c r="C729" s="12">
        <v>28283.0</v>
      </c>
      <c r="D729" s="11" t="str">
        <f t="shared" si="1"/>
        <v> </v>
      </c>
      <c r="E729" s="11" t="str">
        <f t="shared" si="2"/>
        <v> </v>
      </c>
    </row>
    <row r="730" ht="15.75" customHeight="1">
      <c r="A730" s="11">
        <v>11007.0</v>
      </c>
      <c r="B730" s="11" t="s">
        <v>760</v>
      </c>
      <c r="C730" s="12">
        <v>13622.0</v>
      </c>
      <c r="D730" s="11" t="str">
        <f t="shared" si="1"/>
        <v>Repeat</v>
      </c>
      <c r="E730" s="11" t="str">
        <f t="shared" si="2"/>
        <v> </v>
      </c>
    </row>
    <row r="731" ht="15.75" customHeight="1">
      <c r="A731" s="11">
        <v>11009.0</v>
      </c>
      <c r="B731" s="11" t="s">
        <v>761</v>
      </c>
      <c r="C731" s="12">
        <v>21597.0</v>
      </c>
      <c r="D731" s="11" t="str">
        <f t="shared" si="1"/>
        <v> </v>
      </c>
      <c r="E731" s="11" t="str">
        <f t="shared" si="2"/>
        <v> </v>
      </c>
    </row>
    <row r="732" ht="15.75" customHeight="1">
      <c r="A732" s="11">
        <v>11010.0</v>
      </c>
      <c r="B732" s="11" t="s">
        <v>762</v>
      </c>
      <c r="C732" s="12">
        <v>26625.0</v>
      </c>
      <c r="D732" s="11" t="str">
        <f t="shared" si="1"/>
        <v> </v>
      </c>
      <c r="E732" s="11" t="str">
        <f t="shared" si="2"/>
        <v> </v>
      </c>
    </row>
    <row r="733" ht="15.75" customHeight="1">
      <c r="A733" s="11">
        <v>11011.0</v>
      </c>
      <c r="B733" s="11" t="s">
        <v>763</v>
      </c>
      <c r="C733" s="12">
        <v>15419.0</v>
      </c>
      <c r="D733" s="11" t="str">
        <f t="shared" si="1"/>
        <v> </v>
      </c>
      <c r="E733" s="11" t="str">
        <f t="shared" si="2"/>
        <v> </v>
      </c>
    </row>
    <row r="734" ht="15.75" customHeight="1">
      <c r="A734" s="11">
        <v>11012.0</v>
      </c>
      <c r="B734" s="11" t="s">
        <v>764</v>
      </c>
      <c r="C734" s="12">
        <v>23539.0</v>
      </c>
      <c r="D734" s="11" t="str">
        <f t="shared" si="1"/>
        <v> </v>
      </c>
      <c r="E734" s="11" t="str">
        <f t="shared" si="2"/>
        <v> </v>
      </c>
    </row>
    <row r="735" ht="15.75" customHeight="1">
      <c r="A735" s="11">
        <v>11016.0</v>
      </c>
      <c r="B735" s="11" t="s">
        <v>765</v>
      </c>
      <c r="C735" s="12">
        <v>23703.0</v>
      </c>
      <c r="D735" s="11" t="str">
        <f t="shared" si="1"/>
        <v> </v>
      </c>
      <c r="E735" s="11" t="str">
        <f t="shared" si="2"/>
        <v> </v>
      </c>
    </row>
    <row r="736" ht="15.75" customHeight="1">
      <c r="A736" s="11">
        <v>11017.0</v>
      </c>
      <c r="B736" s="11" t="s">
        <v>766</v>
      </c>
      <c r="C736" s="12">
        <v>22235.0</v>
      </c>
      <c r="D736" s="11" t="str">
        <f t="shared" si="1"/>
        <v> </v>
      </c>
      <c r="E736" s="11" t="str">
        <f t="shared" si="2"/>
        <v> </v>
      </c>
    </row>
    <row r="737" ht="15.75" customHeight="1">
      <c r="A737" s="11">
        <v>11018.0</v>
      </c>
      <c r="B737" s="11" t="s">
        <v>767</v>
      </c>
      <c r="C737" s="12">
        <v>22005.0</v>
      </c>
      <c r="D737" s="11" t="str">
        <f t="shared" si="1"/>
        <v> </v>
      </c>
      <c r="E737" s="11" t="str">
        <f t="shared" si="2"/>
        <v> </v>
      </c>
    </row>
    <row r="738" ht="15.75" customHeight="1">
      <c r="A738" s="11">
        <v>11025.0</v>
      </c>
      <c r="B738" s="11" t="s">
        <v>768</v>
      </c>
      <c r="C738" s="12">
        <v>28060.0</v>
      </c>
      <c r="D738" s="11" t="str">
        <f t="shared" si="1"/>
        <v> </v>
      </c>
      <c r="E738" s="11" t="str">
        <f t="shared" si="2"/>
        <v> </v>
      </c>
    </row>
    <row r="739" ht="15.75" customHeight="1">
      <c r="A739" s="11">
        <v>11026.0</v>
      </c>
      <c r="B739" s="11" t="s">
        <v>769</v>
      </c>
      <c r="C739" s="12">
        <v>21125.0</v>
      </c>
      <c r="D739" s="11" t="str">
        <f t="shared" si="1"/>
        <v> </v>
      </c>
      <c r="E739" s="11" t="str">
        <f t="shared" si="2"/>
        <v> </v>
      </c>
    </row>
    <row r="740" ht="15.75" customHeight="1">
      <c r="A740" s="11">
        <v>11027.0</v>
      </c>
      <c r="B740" s="11" t="s">
        <v>770</v>
      </c>
      <c r="C740" s="12">
        <v>28275.0</v>
      </c>
      <c r="D740" s="11" t="str">
        <f t="shared" si="1"/>
        <v> </v>
      </c>
      <c r="E740" s="11" t="str">
        <f t="shared" si="2"/>
        <v> </v>
      </c>
    </row>
    <row r="741" ht="15.75" customHeight="1">
      <c r="A741" s="11">
        <v>11031.0</v>
      </c>
      <c r="B741" s="11" t="s">
        <v>771</v>
      </c>
      <c r="C741" s="12">
        <v>18114.0</v>
      </c>
      <c r="D741" s="11" t="str">
        <f t="shared" si="1"/>
        <v> </v>
      </c>
      <c r="E741" s="11" t="str">
        <f t="shared" si="2"/>
        <v> </v>
      </c>
    </row>
    <row r="742" ht="15.75" customHeight="1">
      <c r="A742" s="11">
        <v>11032.0</v>
      </c>
      <c r="B742" s="11" t="s">
        <v>772</v>
      </c>
      <c r="C742" s="12">
        <v>15404.0</v>
      </c>
      <c r="D742" s="11" t="str">
        <f t="shared" si="1"/>
        <v> </v>
      </c>
      <c r="E742" s="11" t="str">
        <f t="shared" si="2"/>
        <v> </v>
      </c>
    </row>
    <row r="743" ht="15.75" customHeight="1">
      <c r="A743" s="11">
        <v>11034.0</v>
      </c>
      <c r="B743" s="11" t="s">
        <v>773</v>
      </c>
      <c r="C743" s="12">
        <v>27225.0</v>
      </c>
      <c r="D743" s="11" t="str">
        <f t="shared" si="1"/>
        <v> </v>
      </c>
      <c r="E743" s="11" t="str">
        <f t="shared" si="2"/>
        <v> </v>
      </c>
    </row>
    <row r="744" ht="15.75" customHeight="1">
      <c r="A744" s="11">
        <v>11035.0</v>
      </c>
      <c r="B744" s="11" t="s">
        <v>774</v>
      </c>
      <c r="C744" s="12">
        <v>28161.0</v>
      </c>
      <c r="D744" s="11" t="str">
        <f t="shared" si="1"/>
        <v> </v>
      </c>
      <c r="E744" s="11" t="str">
        <f t="shared" si="2"/>
        <v> </v>
      </c>
    </row>
    <row r="745" ht="15.75" customHeight="1">
      <c r="A745" s="11">
        <v>11036.0</v>
      </c>
      <c r="B745" s="11" t="s">
        <v>775</v>
      </c>
      <c r="C745" s="12">
        <v>18515.0</v>
      </c>
      <c r="D745" s="11" t="str">
        <f t="shared" si="1"/>
        <v> </v>
      </c>
      <c r="E745" s="11" t="str">
        <f t="shared" si="2"/>
        <v> </v>
      </c>
    </row>
    <row r="746" ht="15.75" customHeight="1">
      <c r="A746" s="11">
        <v>11037.0</v>
      </c>
      <c r="B746" s="11" t="s">
        <v>776</v>
      </c>
      <c r="C746" s="12">
        <v>30904.0</v>
      </c>
      <c r="D746" s="11" t="str">
        <f t="shared" si="1"/>
        <v> </v>
      </c>
      <c r="E746" s="11" t="str">
        <f t="shared" si="2"/>
        <v> </v>
      </c>
    </row>
    <row r="747" ht="15.75" customHeight="1">
      <c r="A747" s="11">
        <v>11039.0</v>
      </c>
      <c r="B747" s="11" t="s">
        <v>777</v>
      </c>
      <c r="C747" s="12">
        <v>16246.0</v>
      </c>
      <c r="D747" s="11" t="str">
        <f t="shared" si="1"/>
        <v> </v>
      </c>
      <c r="E747" s="11" t="str">
        <f t="shared" si="2"/>
        <v> </v>
      </c>
    </row>
    <row r="748" ht="15.75" customHeight="1">
      <c r="A748" s="11">
        <v>11041.0</v>
      </c>
      <c r="B748" s="11" t="s">
        <v>778</v>
      </c>
      <c r="C748" s="12">
        <v>23573.0</v>
      </c>
      <c r="D748" s="11" t="str">
        <f t="shared" si="1"/>
        <v> </v>
      </c>
      <c r="E748" s="11" t="str">
        <f t="shared" si="2"/>
        <v> </v>
      </c>
    </row>
    <row r="749" ht="15.75" customHeight="1">
      <c r="A749" s="11">
        <v>11042.0</v>
      </c>
      <c r="B749" s="11" t="s">
        <v>779</v>
      </c>
      <c r="C749" s="12">
        <v>31883.0</v>
      </c>
      <c r="D749" s="11" t="str">
        <f t="shared" si="1"/>
        <v> </v>
      </c>
      <c r="E749" s="11" t="str">
        <f t="shared" si="2"/>
        <v> </v>
      </c>
    </row>
    <row r="750" ht="15.75" customHeight="1">
      <c r="A750" s="11">
        <v>11045.0</v>
      </c>
      <c r="B750" s="11" t="s">
        <v>780</v>
      </c>
      <c r="C750" s="12">
        <v>16559.0</v>
      </c>
      <c r="D750" s="11" t="str">
        <f t="shared" si="1"/>
        <v> </v>
      </c>
      <c r="E750" s="11" t="str">
        <f t="shared" si="2"/>
        <v> </v>
      </c>
    </row>
    <row r="751" ht="15.75" customHeight="1">
      <c r="A751" s="11">
        <v>11047.0</v>
      </c>
      <c r="B751" s="11" t="s">
        <v>781</v>
      </c>
      <c r="C751" s="12">
        <v>20068.0</v>
      </c>
      <c r="D751" s="11" t="str">
        <f t="shared" si="1"/>
        <v> </v>
      </c>
      <c r="E751" s="11" t="str">
        <f t="shared" si="2"/>
        <v> </v>
      </c>
    </row>
    <row r="752" ht="15.75" customHeight="1">
      <c r="A752" s="11">
        <v>11048.0</v>
      </c>
      <c r="B752" s="11" t="s">
        <v>782</v>
      </c>
      <c r="C752" s="12">
        <v>19908.0</v>
      </c>
      <c r="D752" s="11" t="str">
        <f t="shared" si="1"/>
        <v> </v>
      </c>
      <c r="E752" s="11" t="str">
        <f t="shared" si="2"/>
        <v> </v>
      </c>
    </row>
    <row r="753" ht="15.75" customHeight="1">
      <c r="A753" s="11">
        <v>11050.0</v>
      </c>
      <c r="B753" s="11" t="s">
        <v>783</v>
      </c>
      <c r="C753" s="12">
        <v>12144.0</v>
      </c>
      <c r="D753" s="11" t="str">
        <f t="shared" si="1"/>
        <v> </v>
      </c>
      <c r="E753" s="11" t="str">
        <f t="shared" si="2"/>
        <v> </v>
      </c>
    </row>
    <row r="754" ht="15.75" customHeight="1">
      <c r="A754" s="11">
        <v>11056.0</v>
      </c>
      <c r="B754" s="11" t="s">
        <v>784</v>
      </c>
      <c r="C754" s="12">
        <v>14099.0</v>
      </c>
      <c r="D754" s="11" t="str">
        <f t="shared" si="1"/>
        <v>Repeat</v>
      </c>
      <c r="E754" s="11" t="str">
        <f t="shared" si="2"/>
        <v> </v>
      </c>
    </row>
    <row r="755" ht="15.75" customHeight="1">
      <c r="A755" s="11">
        <v>11057.0</v>
      </c>
      <c r="B755" s="11" t="s">
        <v>785</v>
      </c>
      <c r="C755" s="12">
        <v>30148.0</v>
      </c>
      <c r="D755" s="11" t="str">
        <f t="shared" si="1"/>
        <v> </v>
      </c>
      <c r="E755" s="11" t="str">
        <f t="shared" si="2"/>
        <v> </v>
      </c>
    </row>
    <row r="756" ht="15.75" customHeight="1">
      <c r="A756" s="11">
        <v>11059.0</v>
      </c>
      <c r="B756" s="11" t="s">
        <v>786</v>
      </c>
      <c r="C756" s="12">
        <v>17955.0</v>
      </c>
      <c r="D756" s="11" t="str">
        <f t="shared" si="1"/>
        <v> </v>
      </c>
      <c r="E756" s="11" t="str">
        <f t="shared" si="2"/>
        <v> </v>
      </c>
    </row>
    <row r="757" ht="15.75" customHeight="1">
      <c r="A757" s="11">
        <v>11060.0</v>
      </c>
      <c r="B757" s="11" t="s">
        <v>787</v>
      </c>
      <c r="C757" s="12">
        <v>17390.0</v>
      </c>
      <c r="D757" s="11" t="str">
        <f t="shared" si="1"/>
        <v> </v>
      </c>
      <c r="E757" s="11" t="str">
        <f t="shared" si="2"/>
        <v> </v>
      </c>
    </row>
    <row r="758" ht="15.75" customHeight="1">
      <c r="A758" s="11">
        <v>11063.0</v>
      </c>
      <c r="B758" s="11" t="s">
        <v>788</v>
      </c>
      <c r="C758" s="12">
        <v>16944.0</v>
      </c>
      <c r="D758" s="11" t="str">
        <f t="shared" si="1"/>
        <v> </v>
      </c>
      <c r="E758" s="11" t="str">
        <f t="shared" si="2"/>
        <v> </v>
      </c>
    </row>
    <row r="759" ht="15.75" customHeight="1">
      <c r="A759" s="11">
        <v>11065.0</v>
      </c>
      <c r="B759" s="11" t="s">
        <v>789</v>
      </c>
      <c r="C759" s="12">
        <v>18803.0</v>
      </c>
      <c r="D759" s="11" t="str">
        <f t="shared" si="1"/>
        <v> </v>
      </c>
      <c r="E759" s="11" t="str">
        <f t="shared" si="2"/>
        <v> </v>
      </c>
    </row>
    <row r="760" ht="15.75" customHeight="1">
      <c r="A760" s="11">
        <v>11066.0</v>
      </c>
      <c r="B760" s="11" t="s">
        <v>790</v>
      </c>
      <c r="C760" s="12">
        <v>21680.0</v>
      </c>
      <c r="D760" s="11" t="str">
        <f t="shared" si="1"/>
        <v>Repeat</v>
      </c>
      <c r="E760" s="11" t="str">
        <f t="shared" si="2"/>
        <v> </v>
      </c>
    </row>
    <row r="761" ht="15.75" customHeight="1">
      <c r="A761" s="11">
        <v>11068.0</v>
      </c>
      <c r="B761" s="11" t="s">
        <v>791</v>
      </c>
      <c r="C761" s="12">
        <v>17430.0</v>
      </c>
      <c r="D761" s="11" t="str">
        <f t="shared" si="1"/>
        <v> </v>
      </c>
      <c r="E761" s="11" t="str">
        <f t="shared" si="2"/>
        <v> </v>
      </c>
    </row>
    <row r="762" ht="15.75" customHeight="1">
      <c r="A762" s="11">
        <v>11070.0</v>
      </c>
      <c r="B762" s="11" t="s">
        <v>792</v>
      </c>
      <c r="C762" s="12">
        <v>19238.0</v>
      </c>
      <c r="D762" s="11" t="str">
        <f t="shared" si="1"/>
        <v> </v>
      </c>
      <c r="E762" s="11" t="str">
        <f t="shared" si="2"/>
        <v> </v>
      </c>
    </row>
    <row r="763" ht="15.75" customHeight="1">
      <c r="A763" s="11">
        <v>11071.0</v>
      </c>
      <c r="B763" s="11" t="s">
        <v>793</v>
      </c>
      <c r="C763" s="12">
        <v>13482.0</v>
      </c>
      <c r="D763" s="11" t="str">
        <f t="shared" si="1"/>
        <v>Repeat</v>
      </c>
      <c r="E763" s="11" t="str">
        <f t="shared" si="2"/>
        <v> </v>
      </c>
    </row>
    <row r="764" ht="15.75" customHeight="1">
      <c r="A764" s="11">
        <v>11072.0</v>
      </c>
      <c r="B764" s="11" t="s">
        <v>794</v>
      </c>
      <c r="C764" s="12">
        <v>27956.0</v>
      </c>
      <c r="D764" s="11" t="str">
        <f t="shared" si="1"/>
        <v> </v>
      </c>
      <c r="E764" s="11" t="str">
        <f t="shared" si="2"/>
        <v> </v>
      </c>
    </row>
    <row r="765" ht="15.75" customHeight="1">
      <c r="A765" s="11">
        <v>11073.0</v>
      </c>
      <c r="B765" s="11" t="s">
        <v>795</v>
      </c>
      <c r="C765" s="12">
        <v>20885.0</v>
      </c>
      <c r="D765" s="11" t="str">
        <f t="shared" si="1"/>
        <v>Repeat</v>
      </c>
      <c r="E765" s="11" t="str">
        <f t="shared" si="2"/>
        <v> </v>
      </c>
    </row>
    <row r="766" ht="15.75" customHeight="1">
      <c r="A766" s="11">
        <v>11074.0</v>
      </c>
      <c r="B766" s="11" t="s">
        <v>796</v>
      </c>
      <c r="C766" s="12">
        <v>13485.0</v>
      </c>
      <c r="D766" s="11" t="str">
        <f t="shared" si="1"/>
        <v> </v>
      </c>
      <c r="E766" s="11" t="str">
        <f t="shared" si="2"/>
        <v> </v>
      </c>
    </row>
    <row r="767" ht="15.75" customHeight="1">
      <c r="A767" s="11">
        <v>11076.0</v>
      </c>
      <c r="B767" s="11" t="s">
        <v>797</v>
      </c>
      <c r="C767" s="12">
        <v>15250.0</v>
      </c>
      <c r="D767" s="11" t="str">
        <f t="shared" si="1"/>
        <v> </v>
      </c>
      <c r="E767" s="11" t="str">
        <f t="shared" si="2"/>
        <v> </v>
      </c>
    </row>
    <row r="768" ht="15.75" customHeight="1">
      <c r="A768" s="11">
        <v>11077.0</v>
      </c>
      <c r="B768" s="11" t="s">
        <v>798</v>
      </c>
      <c r="C768" s="12">
        <v>23943.0</v>
      </c>
      <c r="D768" s="11" t="str">
        <f t="shared" si="1"/>
        <v> </v>
      </c>
      <c r="E768" s="11" t="str">
        <f t="shared" si="2"/>
        <v> </v>
      </c>
    </row>
    <row r="769" ht="15.75" customHeight="1">
      <c r="A769" s="11">
        <v>11080.0</v>
      </c>
      <c r="B769" s="11" t="s">
        <v>799</v>
      </c>
      <c r="C769" s="12">
        <v>16280.0</v>
      </c>
      <c r="D769" s="11" t="str">
        <f t="shared" si="1"/>
        <v> </v>
      </c>
      <c r="E769" s="11" t="str">
        <f t="shared" si="2"/>
        <v> </v>
      </c>
    </row>
    <row r="770" ht="15.75" customHeight="1">
      <c r="A770" s="11">
        <v>11083.0</v>
      </c>
      <c r="B770" s="11" t="s">
        <v>800</v>
      </c>
      <c r="C770" s="12">
        <v>23657.0</v>
      </c>
      <c r="D770" s="11" t="str">
        <f t="shared" si="1"/>
        <v> </v>
      </c>
      <c r="E770" s="11" t="str">
        <f t="shared" si="2"/>
        <v> </v>
      </c>
    </row>
    <row r="771" ht="15.75" customHeight="1">
      <c r="A771" s="11">
        <v>11084.0</v>
      </c>
      <c r="B771" s="11" t="s">
        <v>801</v>
      </c>
      <c r="C771" s="12">
        <v>21028.0</v>
      </c>
      <c r="D771" s="11" t="str">
        <f t="shared" si="1"/>
        <v> </v>
      </c>
      <c r="E771" s="11" t="str">
        <f t="shared" si="2"/>
        <v> </v>
      </c>
    </row>
    <row r="772" ht="15.75" customHeight="1">
      <c r="A772" s="11">
        <v>11085.0</v>
      </c>
      <c r="B772" s="11" t="s">
        <v>802</v>
      </c>
      <c r="C772" s="12">
        <v>24401.0</v>
      </c>
      <c r="D772" s="11" t="str">
        <f t="shared" si="1"/>
        <v>Repeat</v>
      </c>
      <c r="E772" s="11" t="str">
        <f t="shared" si="2"/>
        <v> </v>
      </c>
    </row>
    <row r="773" ht="15.75" customHeight="1">
      <c r="A773" s="11">
        <v>11088.0</v>
      </c>
      <c r="B773" s="11" t="s">
        <v>803</v>
      </c>
      <c r="C773" s="12">
        <v>14999.0</v>
      </c>
      <c r="D773" s="11" t="str">
        <f t="shared" si="1"/>
        <v> </v>
      </c>
      <c r="E773" s="11" t="str">
        <f t="shared" si="2"/>
        <v> </v>
      </c>
    </row>
    <row r="774" ht="15.75" customHeight="1">
      <c r="A774" s="11">
        <v>11090.0</v>
      </c>
      <c r="B774" s="11" t="s">
        <v>804</v>
      </c>
      <c r="C774" s="12">
        <v>29523.0</v>
      </c>
      <c r="D774" s="11" t="str">
        <f t="shared" si="1"/>
        <v> </v>
      </c>
      <c r="E774" s="11" t="str">
        <f t="shared" si="2"/>
        <v> </v>
      </c>
    </row>
    <row r="775" ht="15.75" customHeight="1">
      <c r="A775" s="11">
        <v>11093.0</v>
      </c>
      <c r="B775" s="11" t="s">
        <v>805</v>
      </c>
      <c r="C775" s="12">
        <v>22696.0</v>
      </c>
      <c r="D775" s="11" t="str">
        <f t="shared" si="1"/>
        <v> </v>
      </c>
      <c r="E775" s="11" t="str">
        <f t="shared" si="2"/>
        <v> </v>
      </c>
    </row>
    <row r="776" ht="15.75" customHeight="1">
      <c r="A776" s="11">
        <v>11096.0</v>
      </c>
      <c r="B776" s="11" t="s">
        <v>806</v>
      </c>
      <c r="C776" s="12">
        <v>21939.0</v>
      </c>
      <c r="D776" s="11" t="str">
        <f t="shared" si="1"/>
        <v> </v>
      </c>
      <c r="E776" s="11" t="str">
        <f t="shared" si="2"/>
        <v> </v>
      </c>
    </row>
    <row r="777" ht="15.75" customHeight="1">
      <c r="A777" s="11">
        <v>11099.0</v>
      </c>
      <c r="B777" s="11" t="s">
        <v>807</v>
      </c>
      <c r="C777" s="12">
        <v>29439.0</v>
      </c>
      <c r="D777" s="11" t="str">
        <f t="shared" si="1"/>
        <v> </v>
      </c>
      <c r="E777" s="11" t="str">
        <f t="shared" si="2"/>
        <v> </v>
      </c>
    </row>
    <row r="778" ht="15.75" customHeight="1">
      <c r="A778" s="11">
        <v>11100.0</v>
      </c>
      <c r="B778" s="11" t="s">
        <v>808</v>
      </c>
      <c r="C778" s="12">
        <v>17508.0</v>
      </c>
      <c r="D778" s="11" t="str">
        <f t="shared" si="1"/>
        <v>Repeat</v>
      </c>
      <c r="E778" s="11" t="str">
        <f t="shared" si="2"/>
        <v> </v>
      </c>
    </row>
    <row r="779" ht="15.75" customHeight="1">
      <c r="A779" s="11">
        <v>11105.0</v>
      </c>
      <c r="B779" s="11" t="s">
        <v>809</v>
      </c>
      <c r="C779" s="12">
        <v>23128.0</v>
      </c>
      <c r="D779" s="11" t="str">
        <f t="shared" si="1"/>
        <v> </v>
      </c>
      <c r="E779" s="11" t="str">
        <f t="shared" si="2"/>
        <v> </v>
      </c>
    </row>
    <row r="780" ht="15.75" customHeight="1">
      <c r="A780" s="11">
        <v>11106.0</v>
      </c>
      <c r="B780" s="11" t="s">
        <v>810</v>
      </c>
      <c r="C780" s="12">
        <v>29299.0</v>
      </c>
      <c r="D780" s="11" t="str">
        <f t="shared" si="1"/>
        <v>Repeat</v>
      </c>
      <c r="E780" s="11" t="str">
        <f t="shared" si="2"/>
        <v> </v>
      </c>
    </row>
    <row r="781" ht="15.75" customHeight="1">
      <c r="A781" s="11">
        <v>11110.0</v>
      </c>
      <c r="B781" s="11" t="s">
        <v>811</v>
      </c>
      <c r="C781" s="12">
        <v>13190.0</v>
      </c>
      <c r="D781" s="11" t="str">
        <f t="shared" si="1"/>
        <v> </v>
      </c>
      <c r="E781" s="11" t="str">
        <f t="shared" si="2"/>
        <v> </v>
      </c>
    </row>
    <row r="782" ht="15.75" customHeight="1">
      <c r="A782" s="11">
        <v>11113.0</v>
      </c>
      <c r="B782" s="11" t="s">
        <v>812</v>
      </c>
      <c r="C782" s="12">
        <v>19005.0</v>
      </c>
      <c r="D782" s="11" t="str">
        <f t="shared" si="1"/>
        <v> </v>
      </c>
      <c r="E782" s="11" t="str">
        <f t="shared" si="2"/>
        <v> </v>
      </c>
    </row>
    <row r="783" ht="15.75" customHeight="1">
      <c r="A783" s="11">
        <v>11114.0</v>
      </c>
      <c r="B783" s="11" t="s">
        <v>813</v>
      </c>
      <c r="C783" s="12">
        <v>19084.0</v>
      </c>
      <c r="D783" s="11" t="str">
        <f t="shared" si="1"/>
        <v> </v>
      </c>
      <c r="E783" s="11" t="str">
        <f t="shared" si="2"/>
        <v> </v>
      </c>
    </row>
    <row r="784" ht="15.75" customHeight="1">
      <c r="A784" s="11">
        <v>11115.0</v>
      </c>
      <c r="B784" s="11" t="s">
        <v>814</v>
      </c>
      <c r="C784" s="12">
        <v>18060.0</v>
      </c>
      <c r="D784" s="11" t="str">
        <f t="shared" si="1"/>
        <v> </v>
      </c>
      <c r="E784" s="11" t="str">
        <f t="shared" si="2"/>
        <v> </v>
      </c>
    </row>
    <row r="785" ht="15.75" customHeight="1">
      <c r="A785" s="11">
        <v>11116.0</v>
      </c>
      <c r="B785" s="11" t="s">
        <v>815</v>
      </c>
      <c r="C785" s="12">
        <v>17610.0</v>
      </c>
      <c r="D785" s="11" t="str">
        <f t="shared" si="1"/>
        <v>Repeat</v>
      </c>
      <c r="E785" s="11" t="str">
        <f t="shared" si="2"/>
        <v> </v>
      </c>
    </row>
    <row r="786" ht="15.75" customHeight="1">
      <c r="A786" s="11">
        <v>11117.0</v>
      </c>
      <c r="B786" s="11" t="s">
        <v>816</v>
      </c>
      <c r="C786" s="12">
        <v>16041.0</v>
      </c>
      <c r="D786" s="11" t="str">
        <f t="shared" si="1"/>
        <v> </v>
      </c>
      <c r="E786" s="11" t="str">
        <f t="shared" si="2"/>
        <v> </v>
      </c>
    </row>
    <row r="787" ht="15.75" customHeight="1">
      <c r="A787" s="11">
        <v>11118.0</v>
      </c>
      <c r="B787" s="11" t="s">
        <v>817</v>
      </c>
      <c r="C787" s="12">
        <v>13778.0</v>
      </c>
      <c r="D787" s="11" t="str">
        <f t="shared" si="1"/>
        <v> </v>
      </c>
      <c r="E787" s="11" t="str">
        <f t="shared" si="2"/>
        <v> </v>
      </c>
    </row>
    <row r="788" ht="15.75" customHeight="1">
      <c r="A788" s="11">
        <v>11120.0</v>
      </c>
      <c r="B788" s="11" t="s">
        <v>818</v>
      </c>
      <c r="C788" s="12">
        <v>29751.0</v>
      </c>
      <c r="D788" s="11" t="str">
        <f t="shared" si="1"/>
        <v> </v>
      </c>
      <c r="E788" s="11" t="str">
        <f t="shared" si="2"/>
        <v> </v>
      </c>
    </row>
    <row r="789" ht="15.75" customHeight="1">
      <c r="A789" s="11">
        <v>11121.0</v>
      </c>
      <c r="B789" s="11" t="s">
        <v>819</v>
      </c>
      <c r="C789" s="12">
        <v>24534.0</v>
      </c>
      <c r="D789" s="11" t="str">
        <f t="shared" si="1"/>
        <v> </v>
      </c>
      <c r="E789" s="11" t="str">
        <f t="shared" si="2"/>
        <v> </v>
      </c>
    </row>
    <row r="790" ht="15.75" customHeight="1">
      <c r="A790" s="11">
        <v>11122.0</v>
      </c>
      <c r="B790" s="11" t="s">
        <v>820</v>
      </c>
      <c r="C790" s="12">
        <v>16190.0</v>
      </c>
      <c r="D790" s="11" t="str">
        <f t="shared" si="1"/>
        <v> </v>
      </c>
      <c r="E790" s="11" t="str">
        <f t="shared" si="2"/>
        <v> </v>
      </c>
    </row>
    <row r="791" ht="15.75" customHeight="1">
      <c r="A791" s="11">
        <v>11123.0</v>
      </c>
      <c r="B791" s="11" t="s">
        <v>821</v>
      </c>
      <c r="C791" s="12">
        <v>15422.0</v>
      </c>
      <c r="D791" s="11" t="str">
        <f t="shared" si="1"/>
        <v> </v>
      </c>
      <c r="E791" s="11" t="str">
        <f t="shared" si="2"/>
        <v> </v>
      </c>
    </row>
    <row r="792" ht="15.75" customHeight="1">
      <c r="A792" s="11">
        <v>11125.0</v>
      </c>
      <c r="B792" s="11" t="s">
        <v>822</v>
      </c>
      <c r="C792" s="12">
        <v>19302.0</v>
      </c>
      <c r="D792" s="11" t="str">
        <f t="shared" si="1"/>
        <v> </v>
      </c>
      <c r="E792" s="11" t="str">
        <f t="shared" si="2"/>
        <v> </v>
      </c>
    </row>
    <row r="793" ht="15.75" customHeight="1">
      <c r="A793" s="11">
        <v>11127.0</v>
      </c>
      <c r="B793" s="11" t="s">
        <v>823</v>
      </c>
      <c r="C793" s="12">
        <v>25704.0</v>
      </c>
      <c r="D793" s="11" t="str">
        <f t="shared" si="1"/>
        <v> </v>
      </c>
      <c r="E793" s="11" t="str">
        <f t="shared" si="2"/>
        <v> </v>
      </c>
    </row>
    <row r="794" ht="15.75" customHeight="1">
      <c r="A794" s="11">
        <v>11130.0</v>
      </c>
      <c r="B794" s="11" t="s">
        <v>824</v>
      </c>
      <c r="C794" s="12">
        <v>24381.0</v>
      </c>
      <c r="D794" s="11" t="str">
        <f t="shared" si="1"/>
        <v> </v>
      </c>
      <c r="E794" s="11" t="str">
        <f t="shared" si="2"/>
        <v> </v>
      </c>
    </row>
    <row r="795" ht="15.75" customHeight="1">
      <c r="A795" s="11">
        <v>11131.0</v>
      </c>
      <c r="B795" s="11" t="s">
        <v>825</v>
      </c>
      <c r="C795" s="12">
        <v>16644.0</v>
      </c>
      <c r="D795" s="11" t="str">
        <f t="shared" si="1"/>
        <v> </v>
      </c>
      <c r="E795" s="11" t="str">
        <f t="shared" si="2"/>
        <v> </v>
      </c>
    </row>
    <row r="796" ht="15.75" customHeight="1">
      <c r="A796" s="11">
        <v>11133.0</v>
      </c>
      <c r="B796" s="11" t="s">
        <v>826</v>
      </c>
      <c r="C796" s="12">
        <v>21017.0</v>
      </c>
      <c r="D796" s="11" t="str">
        <f t="shared" si="1"/>
        <v>Repeat</v>
      </c>
      <c r="E796" s="11" t="str">
        <f t="shared" si="2"/>
        <v> </v>
      </c>
    </row>
    <row r="797" ht="15.75" customHeight="1">
      <c r="A797" s="11">
        <v>11135.0</v>
      </c>
      <c r="B797" s="11" t="s">
        <v>827</v>
      </c>
      <c r="C797" s="12">
        <v>25248.0</v>
      </c>
      <c r="D797" s="11" t="str">
        <f t="shared" si="1"/>
        <v> </v>
      </c>
      <c r="E797" s="11" t="str">
        <f t="shared" si="2"/>
        <v> </v>
      </c>
    </row>
    <row r="798" ht="15.75" customHeight="1">
      <c r="A798" s="11">
        <v>11138.0</v>
      </c>
      <c r="B798" s="11" t="s">
        <v>828</v>
      </c>
      <c r="C798" s="12">
        <v>19778.0</v>
      </c>
      <c r="D798" s="11" t="str">
        <f t="shared" si="1"/>
        <v> </v>
      </c>
      <c r="E798" s="11" t="str">
        <f t="shared" si="2"/>
        <v> </v>
      </c>
    </row>
    <row r="799" ht="15.75" customHeight="1">
      <c r="A799" s="11">
        <v>11140.0</v>
      </c>
      <c r="B799" s="11" t="s">
        <v>829</v>
      </c>
      <c r="C799" s="12">
        <v>18789.0</v>
      </c>
      <c r="D799" s="11" t="str">
        <f t="shared" si="1"/>
        <v> </v>
      </c>
      <c r="E799" s="11" t="str">
        <f t="shared" si="2"/>
        <v> </v>
      </c>
    </row>
    <row r="800" ht="15.75" customHeight="1">
      <c r="A800" s="11">
        <v>11141.0</v>
      </c>
      <c r="B800" s="11" t="s">
        <v>830</v>
      </c>
      <c r="C800" s="12">
        <v>12933.0</v>
      </c>
      <c r="D800" s="11" t="str">
        <f t="shared" si="1"/>
        <v> </v>
      </c>
      <c r="E800" s="11" t="str">
        <f t="shared" si="2"/>
        <v> </v>
      </c>
    </row>
    <row r="801" ht="15.75" customHeight="1">
      <c r="A801" s="11">
        <v>11146.0</v>
      </c>
      <c r="B801" s="11" t="s">
        <v>831</v>
      </c>
      <c r="C801" s="12">
        <v>22785.0</v>
      </c>
      <c r="D801" s="11" t="str">
        <f t="shared" si="1"/>
        <v> </v>
      </c>
      <c r="E801" s="11" t="str">
        <f t="shared" si="2"/>
        <v> </v>
      </c>
    </row>
    <row r="802" ht="15.75" customHeight="1">
      <c r="A802" s="11">
        <v>11147.0</v>
      </c>
      <c r="B802" s="11" t="s">
        <v>832</v>
      </c>
      <c r="C802" s="12">
        <v>25763.0</v>
      </c>
      <c r="D802" s="11" t="str">
        <f t="shared" si="1"/>
        <v> </v>
      </c>
      <c r="E802" s="11" t="str">
        <f t="shared" si="2"/>
        <v> </v>
      </c>
    </row>
    <row r="803" ht="15.75" customHeight="1">
      <c r="A803" s="11">
        <v>11149.0</v>
      </c>
      <c r="B803" s="11" t="s">
        <v>833</v>
      </c>
      <c r="C803" s="12">
        <v>18313.0</v>
      </c>
      <c r="D803" s="11" t="str">
        <f t="shared" si="1"/>
        <v> </v>
      </c>
      <c r="E803" s="11" t="str">
        <f t="shared" si="2"/>
        <v> </v>
      </c>
    </row>
    <row r="804" ht="15.75" customHeight="1">
      <c r="A804" s="11">
        <v>11150.0</v>
      </c>
      <c r="B804" s="11" t="s">
        <v>834</v>
      </c>
      <c r="C804" s="12">
        <v>34474.0</v>
      </c>
      <c r="D804" s="11" t="str">
        <f t="shared" si="1"/>
        <v> </v>
      </c>
      <c r="E804" s="11" t="str">
        <f t="shared" si="2"/>
        <v> </v>
      </c>
    </row>
    <row r="805" ht="15.75" customHeight="1">
      <c r="A805" s="11">
        <v>11152.0</v>
      </c>
      <c r="B805" s="11" t="s">
        <v>835</v>
      </c>
      <c r="C805" s="12">
        <v>29447.0</v>
      </c>
      <c r="D805" s="11" t="str">
        <f t="shared" si="1"/>
        <v>Repeat</v>
      </c>
      <c r="E805" s="11" t="str">
        <f t="shared" si="2"/>
        <v>Repeat</v>
      </c>
    </row>
    <row r="806" ht="15.75" customHeight="1">
      <c r="A806" s="11">
        <v>11154.0</v>
      </c>
      <c r="B806" s="11" t="s">
        <v>836</v>
      </c>
      <c r="C806" s="12">
        <v>18129.0</v>
      </c>
      <c r="D806" s="11" t="str">
        <f t="shared" si="1"/>
        <v> </v>
      </c>
      <c r="E806" s="11" t="str">
        <f t="shared" si="2"/>
        <v> </v>
      </c>
    </row>
    <row r="807" ht="15.75" customHeight="1">
      <c r="A807" s="11">
        <v>11155.0</v>
      </c>
      <c r="B807" s="11" t="s">
        <v>837</v>
      </c>
      <c r="C807" s="12">
        <v>11016.0</v>
      </c>
      <c r="D807" s="11" t="str">
        <f t="shared" si="1"/>
        <v> </v>
      </c>
      <c r="E807" s="11" t="str">
        <f t="shared" si="2"/>
        <v> </v>
      </c>
    </row>
    <row r="808" ht="15.75" customHeight="1">
      <c r="A808" s="11">
        <v>11162.0</v>
      </c>
      <c r="B808" s="11" t="s">
        <v>838</v>
      </c>
      <c r="C808" s="12">
        <v>28616.0</v>
      </c>
      <c r="D808" s="11" t="str">
        <f t="shared" si="1"/>
        <v> </v>
      </c>
      <c r="E808" s="11" t="str">
        <f t="shared" si="2"/>
        <v> </v>
      </c>
    </row>
    <row r="809" ht="15.75" customHeight="1">
      <c r="A809" s="11">
        <v>11163.0</v>
      </c>
      <c r="B809" s="11" t="s">
        <v>839</v>
      </c>
      <c r="C809" s="12">
        <v>28099.0</v>
      </c>
      <c r="D809" s="11" t="str">
        <f t="shared" si="1"/>
        <v> </v>
      </c>
      <c r="E809" s="11" t="str">
        <f t="shared" si="2"/>
        <v> </v>
      </c>
    </row>
    <row r="810" ht="15.75" customHeight="1">
      <c r="A810" s="11">
        <v>11165.0</v>
      </c>
      <c r="B810" s="11" t="s">
        <v>840</v>
      </c>
      <c r="C810" s="12">
        <v>17791.0</v>
      </c>
      <c r="D810" s="11" t="str">
        <f t="shared" si="1"/>
        <v> </v>
      </c>
      <c r="E810" s="11" t="str">
        <f t="shared" si="2"/>
        <v> </v>
      </c>
    </row>
    <row r="811" ht="15.75" customHeight="1">
      <c r="A811" s="11">
        <v>11166.0</v>
      </c>
      <c r="B811" s="11" t="s">
        <v>841</v>
      </c>
      <c r="C811" s="12">
        <v>23371.0</v>
      </c>
      <c r="D811" s="11" t="str">
        <f t="shared" si="1"/>
        <v> </v>
      </c>
      <c r="E811" s="11" t="str">
        <f t="shared" si="2"/>
        <v> </v>
      </c>
    </row>
    <row r="812" ht="15.75" customHeight="1">
      <c r="A812" s="11">
        <v>11168.0</v>
      </c>
      <c r="B812" s="11" t="s">
        <v>842</v>
      </c>
      <c r="C812" s="12">
        <v>20119.0</v>
      </c>
      <c r="D812" s="11" t="str">
        <f t="shared" si="1"/>
        <v> </v>
      </c>
      <c r="E812" s="11" t="str">
        <f t="shared" si="2"/>
        <v> </v>
      </c>
    </row>
    <row r="813" ht="15.75" customHeight="1">
      <c r="A813" s="11">
        <v>11169.0</v>
      </c>
      <c r="B813" s="11" t="s">
        <v>843</v>
      </c>
      <c r="C813" s="12">
        <v>29135.0</v>
      </c>
      <c r="D813" s="11" t="str">
        <f t="shared" si="1"/>
        <v> </v>
      </c>
      <c r="E813" s="11" t="str">
        <f t="shared" si="2"/>
        <v> </v>
      </c>
    </row>
    <row r="814" ht="15.75" customHeight="1">
      <c r="A814" s="11">
        <v>11171.0</v>
      </c>
      <c r="B814" s="11" t="s">
        <v>844</v>
      </c>
      <c r="C814" s="12">
        <v>27123.0</v>
      </c>
      <c r="D814" s="11" t="str">
        <f t="shared" si="1"/>
        <v> </v>
      </c>
      <c r="E814" s="11" t="str">
        <f t="shared" si="2"/>
        <v> </v>
      </c>
    </row>
    <row r="815" ht="15.75" customHeight="1">
      <c r="A815" s="11">
        <v>11174.0</v>
      </c>
      <c r="B815" s="11" t="s">
        <v>845</v>
      </c>
      <c r="C815" s="12">
        <v>20173.0</v>
      </c>
      <c r="D815" s="11" t="str">
        <f t="shared" si="1"/>
        <v>Repeat</v>
      </c>
      <c r="E815" s="11" t="str">
        <f t="shared" si="2"/>
        <v>Repeat</v>
      </c>
    </row>
    <row r="816" ht="15.75" customHeight="1">
      <c r="A816" s="11">
        <v>11175.0</v>
      </c>
      <c r="B816" s="11" t="s">
        <v>740</v>
      </c>
      <c r="C816" s="12">
        <v>11520.0</v>
      </c>
      <c r="D816" s="11" t="str">
        <f t="shared" si="1"/>
        <v>Repeat</v>
      </c>
      <c r="E816" s="11" t="str">
        <f t="shared" si="2"/>
        <v> </v>
      </c>
    </row>
    <row r="817" ht="15.75" customHeight="1">
      <c r="A817" s="11">
        <v>11177.0</v>
      </c>
      <c r="B817" s="11" t="s">
        <v>846</v>
      </c>
      <c r="C817" s="12">
        <v>22098.0</v>
      </c>
      <c r="D817" s="11" t="str">
        <f t="shared" si="1"/>
        <v> </v>
      </c>
      <c r="E817" s="11" t="str">
        <f t="shared" si="2"/>
        <v> </v>
      </c>
    </row>
    <row r="818" ht="15.75" customHeight="1">
      <c r="A818" s="11">
        <v>11179.0</v>
      </c>
      <c r="B818" s="11" t="s">
        <v>847</v>
      </c>
      <c r="C818" s="12">
        <v>13761.0</v>
      </c>
      <c r="D818" s="11" t="str">
        <f t="shared" si="1"/>
        <v> </v>
      </c>
      <c r="E818" s="11" t="str">
        <f t="shared" si="2"/>
        <v> </v>
      </c>
    </row>
    <row r="819" ht="15.75" customHeight="1">
      <c r="A819" s="11">
        <v>11181.0</v>
      </c>
      <c r="B819" s="11" t="s">
        <v>848</v>
      </c>
      <c r="C819" s="12">
        <v>18899.0</v>
      </c>
      <c r="D819" s="11" t="str">
        <f t="shared" si="1"/>
        <v> </v>
      </c>
      <c r="E819" s="11" t="str">
        <f t="shared" si="2"/>
        <v> </v>
      </c>
    </row>
    <row r="820" ht="15.75" customHeight="1">
      <c r="A820" s="11">
        <v>11183.0</v>
      </c>
      <c r="B820" s="11" t="s">
        <v>849</v>
      </c>
      <c r="C820" s="12">
        <v>19173.0</v>
      </c>
      <c r="D820" s="11" t="str">
        <f t="shared" si="1"/>
        <v> </v>
      </c>
      <c r="E820" s="11" t="str">
        <f t="shared" si="2"/>
        <v> </v>
      </c>
    </row>
    <row r="821" ht="15.75" customHeight="1">
      <c r="A821" s="11">
        <v>11184.0</v>
      </c>
      <c r="B821" s="11" t="s">
        <v>850</v>
      </c>
      <c r="C821" s="12">
        <v>32475.0</v>
      </c>
      <c r="D821" s="11" t="str">
        <f t="shared" si="1"/>
        <v> </v>
      </c>
      <c r="E821" s="11" t="str">
        <f t="shared" si="2"/>
        <v> </v>
      </c>
    </row>
    <row r="822" ht="15.75" customHeight="1">
      <c r="A822" s="11">
        <v>11187.0</v>
      </c>
      <c r="B822" s="11" t="s">
        <v>851</v>
      </c>
      <c r="C822" s="12">
        <v>22577.0</v>
      </c>
      <c r="D822" s="11" t="str">
        <f t="shared" si="1"/>
        <v> </v>
      </c>
      <c r="E822" s="11" t="str">
        <f t="shared" si="2"/>
        <v> </v>
      </c>
    </row>
    <row r="823" ht="15.75" customHeight="1">
      <c r="A823" s="11">
        <v>11190.0</v>
      </c>
      <c r="B823" s="11" t="s">
        <v>852</v>
      </c>
      <c r="C823" s="12">
        <v>19171.0</v>
      </c>
      <c r="D823" s="11" t="str">
        <f t="shared" si="1"/>
        <v> </v>
      </c>
      <c r="E823" s="11" t="str">
        <f t="shared" si="2"/>
        <v> </v>
      </c>
    </row>
    <row r="824" ht="15.75" customHeight="1">
      <c r="A824" s="11">
        <v>11192.0</v>
      </c>
      <c r="B824" s="11" t="s">
        <v>853</v>
      </c>
      <c r="C824" s="12">
        <v>29533.0</v>
      </c>
      <c r="D824" s="11" t="str">
        <f t="shared" si="1"/>
        <v> </v>
      </c>
      <c r="E824" s="11" t="str">
        <f t="shared" si="2"/>
        <v> </v>
      </c>
    </row>
    <row r="825" ht="15.75" customHeight="1">
      <c r="A825" s="11">
        <v>11197.0</v>
      </c>
      <c r="B825" s="11" t="s">
        <v>854</v>
      </c>
      <c r="C825" s="12">
        <v>26713.0</v>
      </c>
      <c r="D825" s="11" t="str">
        <f t="shared" si="1"/>
        <v> </v>
      </c>
      <c r="E825" s="11" t="str">
        <f t="shared" si="2"/>
        <v> </v>
      </c>
    </row>
    <row r="826" ht="15.75" customHeight="1">
      <c r="A826" s="11">
        <v>11199.0</v>
      </c>
      <c r="B826" s="11" t="s">
        <v>855</v>
      </c>
      <c r="C826" s="12">
        <v>23161.0</v>
      </c>
      <c r="D826" s="11" t="str">
        <f t="shared" si="1"/>
        <v> </v>
      </c>
      <c r="E826" s="11" t="str">
        <f t="shared" si="2"/>
        <v> </v>
      </c>
    </row>
    <row r="827" ht="15.75" customHeight="1">
      <c r="A827" s="11">
        <v>11200.0</v>
      </c>
      <c r="B827" s="11" t="s">
        <v>856</v>
      </c>
      <c r="C827" s="12">
        <v>18775.0</v>
      </c>
      <c r="D827" s="11" t="str">
        <f t="shared" si="1"/>
        <v> </v>
      </c>
      <c r="E827" s="11" t="str">
        <f t="shared" si="2"/>
        <v> </v>
      </c>
    </row>
    <row r="828" ht="15.75" customHeight="1">
      <c r="A828" s="11">
        <v>11201.0</v>
      </c>
      <c r="B828" s="11" t="s">
        <v>857</v>
      </c>
      <c r="C828" s="12">
        <v>19987.0</v>
      </c>
      <c r="D828" s="11" t="str">
        <f t="shared" si="1"/>
        <v> </v>
      </c>
      <c r="E828" s="11" t="str">
        <f t="shared" si="2"/>
        <v> </v>
      </c>
    </row>
    <row r="829" ht="15.75" customHeight="1">
      <c r="A829" s="11">
        <v>11203.0</v>
      </c>
      <c r="B829" s="11" t="s">
        <v>858</v>
      </c>
      <c r="C829" s="12">
        <v>32633.0</v>
      </c>
      <c r="D829" s="11" t="str">
        <f t="shared" si="1"/>
        <v> </v>
      </c>
      <c r="E829" s="11" t="str">
        <f t="shared" si="2"/>
        <v> </v>
      </c>
    </row>
    <row r="830" ht="15.75" customHeight="1">
      <c r="A830" s="11">
        <v>11205.0</v>
      </c>
      <c r="B830" s="11" t="s">
        <v>859</v>
      </c>
      <c r="C830" s="12">
        <v>31645.0</v>
      </c>
      <c r="D830" s="11" t="str">
        <f t="shared" si="1"/>
        <v> </v>
      </c>
      <c r="E830" s="11" t="str">
        <f t="shared" si="2"/>
        <v> </v>
      </c>
    </row>
    <row r="831" ht="15.75" customHeight="1">
      <c r="A831" s="11">
        <v>11209.0</v>
      </c>
      <c r="B831" s="11" t="s">
        <v>860</v>
      </c>
      <c r="C831" s="12">
        <v>27406.0</v>
      </c>
      <c r="D831" s="11" t="str">
        <f t="shared" si="1"/>
        <v> </v>
      </c>
      <c r="E831" s="11" t="str">
        <f t="shared" si="2"/>
        <v> </v>
      </c>
    </row>
    <row r="832" ht="15.75" customHeight="1">
      <c r="A832" s="11">
        <v>11211.0</v>
      </c>
      <c r="B832" s="11" t="s">
        <v>861</v>
      </c>
      <c r="C832" s="12">
        <v>14480.0</v>
      </c>
      <c r="D832" s="11" t="str">
        <f t="shared" si="1"/>
        <v> </v>
      </c>
      <c r="E832" s="11" t="str">
        <f t="shared" si="2"/>
        <v> </v>
      </c>
    </row>
    <row r="833" ht="15.75" customHeight="1">
      <c r="A833" s="11">
        <v>11215.0</v>
      </c>
      <c r="B833" s="11" t="s">
        <v>862</v>
      </c>
      <c r="C833" s="12">
        <v>24298.0</v>
      </c>
      <c r="D833" s="11" t="str">
        <f t="shared" si="1"/>
        <v>Repeat</v>
      </c>
      <c r="E833" s="11" t="str">
        <f t="shared" si="2"/>
        <v> </v>
      </c>
    </row>
    <row r="834" ht="15.75" customHeight="1">
      <c r="A834" s="11">
        <v>11216.0</v>
      </c>
      <c r="B834" s="11" t="s">
        <v>863</v>
      </c>
      <c r="C834" s="12">
        <v>27234.0</v>
      </c>
      <c r="D834" s="11" t="str">
        <f t="shared" si="1"/>
        <v> </v>
      </c>
      <c r="E834" s="11" t="str">
        <f t="shared" si="2"/>
        <v> </v>
      </c>
    </row>
    <row r="835" ht="15.75" customHeight="1">
      <c r="A835" s="11">
        <v>11218.0</v>
      </c>
      <c r="B835" s="11" t="s">
        <v>864</v>
      </c>
      <c r="C835" s="12">
        <v>20869.0</v>
      </c>
      <c r="D835" s="11" t="str">
        <f t="shared" si="1"/>
        <v> </v>
      </c>
      <c r="E835" s="11" t="str">
        <f t="shared" si="2"/>
        <v> </v>
      </c>
    </row>
    <row r="836" ht="15.75" customHeight="1">
      <c r="A836" s="11">
        <v>11219.0</v>
      </c>
      <c r="B836" s="11" t="s">
        <v>865</v>
      </c>
      <c r="C836" s="12">
        <v>18044.0</v>
      </c>
      <c r="D836" s="11" t="str">
        <f t="shared" si="1"/>
        <v> </v>
      </c>
      <c r="E836" s="11" t="str">
        <f t="shared" si="2"/>
        <v> </v>
      </c>
    </row>
    <row r="837" ht="15.75" customHeight="1">
      <c r="A837" s="11">
        <v>11220.0</v>
      </c>
      <c r="B837" s="11" t="s">
        <v>866</v>
      </c>
      <c r="C837" s="12">
        <v>18826.0</v>
      </c>
      <c r="D837" s="11" t="str">
        <f t="shared" si="1"/>
        <v> </v>
      </c>
      <c r="E837" s="11" t="str">
        <f t="shared" si="2"/>
        <v> </v>
      </c>
    </row>
    <row r="838" ht="15.75" customHeight="1">
      <c r="A838" s="11">
        <v>11221.0</v>
      </c>
      <c r="B838" s="11" t="s">
        <v>867</v>
      </c>
      <c r="C838" s="12">
        <v>21080.0</v>
      </c>
      <c r="D838" s="11" t="str">
        <f t="shared" si="1"/>
        <v> </v>
      </c>
      <c r="E838" s="11" t="str">
        <f t="shared" si="2"/>
        <v> </v>
      </c>
    </row>
    <row r="839" ht="15.75" customHeight="1">
      <c r="A839" s="11">
        <v>11223.0</v>
      </c>
      <c r="B839" s="11" t="s">
        <v>868</v>
      </c>
      <c r="C839" s="12">
        <v>27156.0</v>
      </c>
      <c r="D839" s="11" t="str">
        <f t="shared" si="1"/>
        <v> </v>
      </c>
      <c r="E839" s="11" t="str">
        <f t="shared" si="2"/>
        <v> </v>
      </c>
    </row>
    <row r="840" ht="15.75" customHeight="1">
      <c r="A840" s="11">
        <v>11228.0</v>
      </c>
      <c r="B840" s="11" t="s">
        <v>869</v>
      </c>
      <c r="C840" s="12">
        <v>15238.0</v>
      </c>
      <c r="D840" s="11" t="str">
        <f t="shared" si="1"/>
        <v> </v>
      </c>
      <c r="E840" s="11" t="str">
        <f t="shared" si="2"/>
        <v> </v>
      </c>
    </row>
    <row r="841" ht="15.75" customHeight="1">
      <c r="A841" s="11">
        <v>11234.0</v>
      </c>
      <c r="B841" s="11" t="s">
        <v>870</v>
      </c>
      <c r="C841" s="12">
        <v>26498.0</v>
      </c>
      <c r="D841" s="11" t="str">
        <f t="shared" si="1"/>
        <v> </v>
      </c>
      <c r="E841" s="11" t="str">
        <f t="shared" si="2"/>
        <v> </v>
      </c>
    </row>
    <row r="842" ht="15.75" customHeight="1">
      <c r="A842" s="11">
        <v>11238.0</v>
      </c>
      <c r="B842" s="11" t="s">
        <v>871</v>
      </c>
      <c r="C842" s="12">
        <v>17933.0</v>
      </c>
      <c r="D842" s="11" t="str">
        <f t="shared" si="1"/>
        <v> </v>
      </c>
      <c r="E842" s="11" t="str">
        <f t="shared" si="2"/>
        <v> </v>
      </c>
    </row>
    <row r="843" ht="15.75" customHeight="1">
      <c r="A843" s="11">
        <v>11241.0</v>
      </c>
      <c r="B843" s="11" t="s">
        <v>872</v>
      </c>
      <c r="C843" s="12">
        <v>22466.0</v>
      </c>
      <c r="D843" s="11" t="str">
        <f t="shared" si="1"/>
        <v> </v>
      </c>
      <c r="E843" s="11" t="str">
        <f t="shared" si="2"/>
        <v> </v>
      </c>
    </row>
    <row r="844" ht="15.75" customHeight="1">
      <c r="A844" s="11">
        <v>11242.0</v>
      </c>
      <c r="B844" s="11" t="s">
        <v>873</v>
      </c>
      <c r="C844" s="12">
        <v>24788.0</v>
      </c>
      <c r="D844" s="11" t="str">
        <f t="shared" si="1"/>
        <v> </v>
      </c>
      <c r="E844" s="11" t="str">
        <f t="shared" si="2"/>
        <v> </v>
      </c>
    </row>
    <row r="845" ht="15.75" customHeight="1">
      <c r="A845" s="11">
        <v>11243.0</v>
      </c>
      <c r="B845" s="11" t="s">
        <v>874</v>
      </c>
      <c r="C845" s="12">
        <v>32322.0</v>
      </c>
      <c r="D845" s="11" t="str">
        <f t="shared" si="1"/>
        <v> </v>
      </c>
      <c r="E845" s="11" t="str">
        <f t="shared" si="2"/>
        <v> </v>
      </c>
    </row>
    <row r="846" ht="15.75" customHeight="1">
      <c r="A846" s="11">
        <v>11245.0</v>
      </c>
      <c r="B846" s="11" t="s">
        <v>875</v>
      </c>
      <c r="C846" s="12">
        <v>23641.0</v>
      </c>
      <c r="D846" s="11" t="str">
        <f t="shared" si="1"/>
        <v> </v>
      </c>
      <c r="E846" s="11" t="str">
        <f t="shared" si="2"/>
        <v> </v>
      </c>
    </row>
    <row r="847" ht="15.75" customHeight="1">
      <c r="A847" s="11">
        <v>11247.0</v>
      </c>
      <c r="B847" s="11" t="s">
        <v>876</v>
      </c>
      <c r="C847" s="12">
        <v>21799.0</v>
      </c>
      <c r="D847" s="11" t="str">
        <f t="shared" si="1"/>
        <v> </v>
      </c>
      <c r="E847" s="11" t="str">
        <f t="shared" si="2"/>
        <v> </v>
      </c>
    </row>
    <row r="848" ht="15.75" customHeight="1">
      <c r="A848" s="11">
        <v>11248.0</v>
      </c>
      <c r="B848" s="11" t="s">
        <v>877</v>
      </c>
      <c r="C848" s="12">
        <v>28320.0</v>
      </c>
      <c r="D848" s="11" t="str">
        <f t="shared" si="1"/>
        <v> </v>
      </c>
      <c r="E848" s="11" t="str">
        <f t="shared" si="2"/>
        <v> </v>
      </c>
    </row>
    <row r="849" ht="15.75" customHeight="1">
      <c r="A849" s="11">
        <v>11252.0</v>
      </c>
      <c r="B849" s="11" t="s">
        <v>878</v>
      </c>
      <c r="C849" s="12">
        <v>10942.0</v>
      </c>
      <c r="D849" s="11" t="str">
        <f t="shared" si="1"/>
        <v>Repeat</v>
      </c>
      <c r="E849" s="11" t="str">
        <f t="shared" si="2"/>
        <v>Repeat</v>
      </c>
    </row>
    <row r="850" ht="15.75" customHeight="1">
      <c r="A850" s="11">
        <v>11253.0</v>
      </c>
      <c r="B850" s="11" t="s">
        <v>879</v>
      </c>
      <c r="C850" s="12">
        <v>19122.0</v>
      </c>
      <c r="D850" s="11" t="str">
        <f t="shared" si="1"/>
        <v> </v>
      </c>
      <c r="E850" s="11" t="str">
        <f t="shared" si="2"/>
        <v> </v>
      </c>
    </row>
    <row r="851" ht="15.75" customHeight="1">
      <c r="A851" s="11">
        <v>11255.0</v>
      </c>
      <c r="B851" s="11" t="s">
        <v>880</v>
      </c>
      <c r="C851" s="12">
        <v>12029.0</v>
      </c>
      <c r="D851" s="11" t="str">
        <f t="shared" si="1"/>
        <v> </v>
      </c>
      <c r="E851" s="11" t="str">
        <f t="shared" si="2"/>
        <v> </v>
      </c>
    </row>
    <row r="852" ht="15.75" customHeight="1">
      <c r="A852" s="11">
        <v>11258.0</v>
      </c>
      <c r="B852" s="11" t="s">
        <v>881</v>
      </c>
      <c r="C852" s="12">
        <v>17295.0</v>
      </c>
      <c r="D852" s="11" t="str">
        <f t="shared" si="1"/>
        <v> </v>
      </c>
      <c r="E852" s="11" t="str">
        <f t="shared" si="2"/>
        <v> </v>
      </c>
    </row>
    <row r="853" ht="15.75" customHeight="1">
      <c r="A853" s="11">
        <v>11260.0</v>
      </c>
      <c r="B853" s="11" t="s">
        <v>882</v>
      </c>
      <c r="C853" s="12">
        <v>14723.0</v>
      </c>
      <c r="D853" s="11" t="str">
        <f t="shared" si="1"/>
        <v> </v>
      </c>
      <c r="E853" s="11" t="str">
        <f t="shared" si="2"/>
        <v> </v>
      </c>
    </row>
    <row r="854" ht="15.75" customHeight="1">
      <c r="A854" s="11">
        <v>11261.0</v>
      </c>
      <c r="B854" s="11" t="s">
        <v>883</v>
      </c>
      <c r="C854" s="12">
        <v>19232.0</v>
      </c>
      <c r="D854" s="11" t="str">
        <f t="shared" si="1"/>
        <v> </v>
      </c>
      <c r="E854" s="11" t="str">
        <f t="shared" si="2"/>
        <v> </v>
      </c>
    </row>
    <row r="855" ht="15.75" customHeight="1">
      <c r="A855" s="11">
        <v>11264.0</v>
      </c>
      <c r="B855" s="11" t="s">
        <v>884</v>
      </c>
      <c r="C855" s="12">
        <v>19591.0</v>
      </c>
      <c r="D855" s="11" t="str">
        <f t="shared" si="1"/>
        <v> </v>
      </c>
      <c r="E855" s="11" t="str">
        <f t="shared" si="2"/>
        <v> </v>
      </c>
    </row>
    <row r="856" ht="15.75" customHeight="1">
      <c r="A856" s="11">
        <v>11265.0</v>
      </c>
      <c r="B856" s="11" t="s">
        <v>885</v>
      </c>
      <c r="C856" s="12">
        <v>28585.0</v>
      </c>
      <c r="D856" s="11" t="str">
        <f t="shared" si="1"/>
        <v> </v>
      </c>
      <c r="E856" s="11" t="str">
        <f t="shared" si="2"/>
        <v> </v>
      </c>
    </row>
    <row r="857" ht="15.75" customHeight="1">
      <c r="A857" s="11">
        <v>11268.0</v>
      </c>
      <c r="B857" s="11" t="s">
        <v>886</v>
      </c>
      <c r="C857" s="12">
        <v>14436.0</v>
      </c>
      <c r="D857" s="11" t="str">
        <f t="shared" si="1"/>
        <v> </v>
      </c>
      <c r="E857" s="11" t="str">
        <f t="shared" si="2"/>
        <v> </v>
      </c>
    </row>
    <row r="858" ht="15.75" customHeight="1">
      <c r="A858" s="11">
        <v>11269.0</v>
      </c>
      <c r="B858" s="11" t="s">
        <v>887</v>
      </c>
      <c r="C858" s="12">
        <v>20568.0</v>
      </c>
      <c r="D858" s="11" t="str">
        <f t="shared" si="1"/>
        <v> </v>
      </c>
      <c r="E858" s="11" t="str">
        <f t="shared" si="2"/>
        <v> </v>
      </c>
    </row>
    <row r="859" ht="15.75" customHeight="1">
      <c r="A859" s="11">
        <v>11270.0</v>
      </c>
      <c r="B859" s="11" t="s">
        <v>888</v>
      </c>
      <c r="C859" s="12">
        <v>19016.0</v>
      </c>
      <c r="D859" s="11" t="str">
        <f t="shared" si="1"/>
        <v> </v>
      </c>
      <c r="E859" s="11" t="str">
        <f t="shared" si="2"/>
        <v> </v>
      </c>
    </row>
    <row r="860" ht="15.75" customHeight="1">
      <c r="A860" s="11">
        <v>11277.0</v>
      </c>
      <c r="B860" s="11" t="s">
        <v>889</v>
      </c>
      <c r="C860" s="12">
        <v>27362.0</v>
      </c>
      <c r="D860" s="11" t="str">
        <f t="shared" si="1"/>
        <v> </v>
      </c>
      <c r="E860" s="11" t="str">
        <f t="shared" si="2"/>
        <v> </v>
      </c>
    </row>
    <row r="861" ht="15.75" customHeight="1">
      <c r="A861" s="11">
        <v>11279.0</v>
      </c>
      <c r="B861" s="11" t="s">
        <v>890</v>
      </c>
      <c r="C861" s="12">
        <v>35678.0</v>
      </c>
      <c r="D861" s="11" t="str">
        <f t="shared" si="1"/>
        <v> </v>
      </c>
      <c r="E861" s="11" t="str">
        <f t="shared" si="2"/>
        <v> </v>
      </c>
    </row>
    <row r="862" ht="15.75" customHeight="1">
      <c r="A862" s="11">
        <v>11281.0</v>
      </c>
      <c r="B862" s="11" t="s">
        <v>891</v>
      </c>
      <c r="C862" s="12">
        <v>25767.0</v>
      </c>
      <c r="D862" s="11" t="str">
        <f t="shared" si="1"/>
        <v> </v>
      </c>
      <c r="E862" s="11" t="str">
        <f t="shared" si="2"/>
        <v> </v>
      </c>
    </row>
    <row r="863" ht="15.75" customHeight="1">
      <c r="A863" s="11">
        <v>11282.0</v>
      </c>
      <c r="B863" s="11" t="s">
        <v>892</v>
      </c>
      <c r="C863" s="12">
        <v>20131.0</v>
      </c>
      <c r="D863" s="11" t="str">
        <f t="shared" si="1"/>
        <v> </v>
      </c>
      <c r="E863" s="11" t="str">
        <f t="shared" si="2"/>
        <v> </v>
      </c>
    </row>
    <row r="864" ht="15.75" customHeight="1">
      <c r="A864" s="11">
        <v>11286.0</v>
      </c>
      <c r="B864" s="11" t="s">
        <v>893</v>
      </c>
      <c r="C864" s="12">
        <v>18117.0</v>
      </c>
      <c r="D864" s="11" t="str">
        <f t="shared" si="1"/>
        <v> </v>
      </c>
      <c r="E864" s="11" t="str">
        <f t="shared" si="2"/>
        <v> </v>
      </c>
    </row>
    <row r="865" ht="15.75" customHeight="1">
      <c r="A865" s="11">
        <v>11287.0</v>
      </c>
      <c r="B865" s="11" t="s">
        <v>894</v>
      </c>
      <c r="C865" s="12">
        <v>21059.0</v>
      </c>
      <c r="D865" s="11" t="str">
        <f t="shared" si="1"/>
        <v> </v>
      </c>
      <c r="E865" s="11" t="str">
        <f t="shared" si="2"/>
        <v> </v>
      </c>
    </row>
    <row r="866" ht="15.75" customHeight="1">
      <c r="A866" s="11">
        <v>11288.0</v>
      </c>
      <c r="B866" s="11" t="s">
        <v>895</v>
      </c>
      <c r="C866" s="12">
        <v>22480.0</v>
      </c>
      <c r="D866" s="11" t="str">
        <f t="shared" si="1"/>
        <v> </v>
      </c>
      <c r="E866" s="11" t="str">
        <f t="shared" si="2"/>
        <v> </v>
      </c>
    </row>
    <row r="867" ht="15.75" customHeight="1">
      <c r="A867" s="11">
        <v>11289.0</v>
      </c>
      <c r="B867" s="11" t="s">
        <v>896</v>
      </c>
      <c r="C867" s="12">
        <v>16704.0</v>
      </c>
      <c r="D867" s="11" t="str">
        <f t="shared" si="1"/>
        <v> </v>
      </c>
      <c r="E867" s="11" t="str">
        <f t="shared" si="2"/>
        <v> </v>
      </c>
    </row>
    <row r="868" ht="15.75" customHeight="1">
      <c r="A868" s="11">
        <v>11303.0</v>
      </c>
      <c r="B868" s="11" t="s">
        <v>897</v>
      </c>
      <c r="C868" s="12">
        <v>17223.0</v>
      </c>
      <c r="D868" s="11" t="str">
        <f t="shared" si="1"/>
        <v> </v>
      </c>
      <c r="E868" s="11" t="str">
        <f t="shared" si="2"/>
        <v> </v>
      </c>
    </row>
    <row r="869" ht="15.75" customHeight="1">
      <c r="A869" s="11">
        <v>11314.0</v>
      </c>
      <c r="B869" s="11" t="s">
        <v>898</v>
      </c>
      <c r="C869" s="12">
        <v>16759.0</v>
      </c>
      <c r="D869" s="11" t="str">
        <f t="shared" si="1"/>
        <v> </v>
      </c>
      <c r="E869" s="11" t="str">
        <f t="shared" si="2"/>
        <v> </v>
      </c>
    </row>
    <row r="870" ht="15.75" customHeight="1">
      <c r="A870" s="11">
        <v>11315.0</v>
      </c>
      <c r="B870" s="11" t="s">
        <v>899</v>
      </c>
      <c r="C870" s="12">
        <v>28233.0</v>
      </c>
      <c r="D870" s="11" t="str">
        <f t="shared" si="1"/>
        <v> </v>
      </c>
      <c r="E870" s="11" t="str">
        <f t="shared" si="2"/>
        <v> </v>
      </c>
    </row>
    <row r="871" ht="15.75" customHeight="1">
      <c r="A871" s="11">
        <v>11318.0</v>
      </c>
      <c r="B871" s="11" t="s">
        <v>900</v>
      </c>
      <c r="C871" s="12">
        <v>26190.0</v>
      </c>
      <c r="D871" s="11" t="str">
        <f t="shared" si="1"/>
        <v> </v>
      </c>
      <c r="E871" s="11" t="str">
        <f t="shared" si="2"/>
        <v> </v>
      </c>
    </row>
    <row r="872" ht="15.75" customHeight="1">
      <c r="A872" s="11">
        <v>11319.0</v>
      </c>
      <c r="B872" s="11" t="s">
        <v>901</v>
      </c>
      <c r="C872" s="12">
        <v>22198.0</v>
      </c>
      <c r="D872" s="11" t="str">
        <f t="shared" si="1"/>
        <v> </v>
      </c>
      <c r="E872" s="11" t="str">
        <f t="shared" si="2"/>
        <v> </v>
      </c>
    </row>
    <row r="873" ht="15.75" customHeight="1">
      <c r="A873" s="11">
        <v>11322.0</v>
      </c>
      <c r="B873" s="11" t="s">
        <v>902</v>
      </c>
      <c r="C873" s="12">
        <v>19108.0</v>
      </c>
      <c r="D873" s="11" t="str">
        <f t="shared" si="1"/>
        <v> </v>
      </c>
      <c r="E873" s="11" t="str">
        <f t="shared" si="2"/>
        <v> </v>
      </c>
    </row>
    <row r="874" ht="15.75" customHeight="1">
      <c r="A874" s="11">
        <v>11324.0</v>
      </c>
      <c r="B874" s="11" t="s">
        <v>903</v>
      </c>
      <c r="C874" s="12">
        <v>15183.0</v>
      </c>
      <c r="D874" s="11" t="str">
        <f t="shared" si="1"/>
        <v> </v>
      </c>
      <c r="E874" s="11" t="str">
        <f t="shared" si="2"/>
        <v> </v>
      </c>
    </row>
    <row r="875" ht="15.75" customHeight="1">
      <c r="A875" s="11">
        <v>11329.0</v>
      </c>
      <c r="B875" s="11" t="s">
        <v>904</v>
      </c>
      <c r="C875" s="12">
        <v>14577.0</v>
      </c>
      <c r="D875" s="11" t="str">
        <f t="shared" si="1"/>
        <v> </v>
      </c>
      <c r="E875" s="11" t="str">
        <f t="shared" si="2"/>
        <v> </v>
      </c>
    </row>
    <row r="876" ht="15.75" customHeight="1">
      <c r="A876" s="11">
        <v>11330.0</v>
      </c>
      <c r="B876" s="11" t="s">
        <v>905</v>
      </c>
      <c r="C876" s="12">
        <v>20840.0</v>
      </c>
      <c r="D876" s="11" t="str">
        <f t="shared" si="1"/>
        <v> </v>
      </c>
      <c r="E876" s="11" t="str">
        <f t="shared" si="2"/>
        <v> </v>
      </c>
    </row>
    <row r="877" ht="15.75" customHeight="1">
      <c r="A877" s="11">
        <v>11339.0</v>
      </c>
      <c r="B877" s="11" t="s">
        <v>906</v>
      </c>
      <c r="C877" s="12">
        <v>14799.0</v>
      </c>
      <c r="D877" s="11" t="str">
        <f t="shared" si="1"/>
        <v> </v>
      </c>
      <c r="E877" s="11" t="str">
        <f t="shared" si="2"/>
        <v> </v>
      </c>
    </row>
    <row r="878" ht="15.75" customHeight="1">
      <c r="A878" s="11">
        <v>11340.0</v>
      </c>
      <c r="B878" s="11" t="s">
        <v>907</v>
      </c>
      <c r="C878" s="12">
        <v>19369.0</v>
      </c>
      <c r="D878" s="11" t="str">
        <f t="shared" si="1"/>
        <v> </v>
      </c>
      <c r="E878" s="11" t="str">
        <f t="shared" si="2"/>
        <v> </v>
      </c>
    </row>
    <row r="879" ht="15.75" customHeight="1">
      <c r="A879" s="11">
        <v>11341.0</v>
      </c>
      <c r="B879" s="11" t="s">
        <v>908</v>
      </c>
      <c r="C879" s="12">
        <v>24551.0</v>
      </c>
      <c r="D879" s="11" t="str">
        <f t="shared" si="1"/>
        <v>Repeat</v>
      </c>
      <c r="E879" s="11" t="str">
        <f t="shared" si="2"/>
        <v> </v>
      </c>
    </row>
    <row r="880" ht="15.75" customHeight="1">
      <c r="A880" s="11">
        <v>11342.0</v>
      </c>
      <c r="B880" s="11" t="s">
        <v>909</v>
      </c>
      <c r="C880" s="12">
        <v>23571.0</v>
      </c>
      <c r="D880" s="11" t="str">
        <f t="shared" si="1"/>
        <v> </v>
      </c>
      <c r="E880" s="11" t="str">
        <f t="shared" si="2"/>
        <v> </v>
      </c>
    </row>
    <row r="881" ht="15.75" customHeight="1">
      <c r="A881" s="11">
        <v>11345.0</v>
      </c>
      <c r="B881" s="11" t="s">
        <v>910</v>
      </c>
      <c r="C881" s="12">
        <v>23642.0</v>
      </c>
      <c r="D881" s="11" t="str">
        <f t="shared" si="1"/>
        <v> </v>
      </c>
      <c r="E881" s="11" t="str">
        <f t="shared" si="2"/>
        <v> </v>
      </c>
    </row>
    <row r="882" ht="15.75" customHeight="1">
      <c r="A882" s="11">
        <v>11348.0</v>
      </c>
      <c r="B882" s="11" t="s">
        <v>911</v>
      </c>
      <c r="C882" s="12">
        <v>18296.0</v>
      </c>
      <c r="D882" s="11" t="str">
        <f t="shared" si="1"/>
        <v> </v>
      </c>
      <c r="E882" s="11" t="str">
        <f t="shared" si="2"/>
        <v> </v>
      </c>
    </row>
    <row r="883" ht="15.75" customHeight="1">
      <c r="A883" s="11">
        <v>11349.0</v>
      </c>
      <c r="B883" s="11" t="s">
        <v>912</v>
      </c>
      <c r="C883" s="12">
        <v>27198.0</v>
      </c>
      <c r="D883" s="11" t="str">
        <f t="shared" si="1"/>
        <v> </v>
      </c>
      <c r="E883" s="11" t="str">
        <f t="shared" si="2"/>
        <v> </v>
      </c>
    </row>
    <row r="884" ht="15.75" customHeight="1">
      <c r="A884" s="11">
        <v>11351.0</v>
      </c>
      <c r="B884" s="11" t="s">
        <v>913</v>
      </c>
      <c r="C884" s="12">
        <v>24725.0</v>
      </c>
      <c r="D884" s="11" t="str">
        <f t="shared" si="1"/>
        <v> </v>
      </c>
      <c r="E884" s="11" t="str">
        <f t="shared" si="2"/>
        <v> </v>
      </c>
    </row>
    <row r="885" ht="15.75" customHeight="1">
      <c r="A885" s="11">
        <v>11355.0</v>
      </c>
      <c r="B885" s="11" t="s">
        <v>914</v>
      </c>
      <c r="C885" s="12">
        <v>21117.0</v>
      </c>
      <c r="D885" s="11" t="str">
        <f t="shared" si="1"/>
        <v> </v>
      </c>
      <c r="E885" s="11" t="str">
        <f t="shared" si="2"/>
        <v> </v>
      </c>
    </row>
    <row r="886" ht="15.75" customHeight="1">
      <c r="A886" s="11">
        <v>11356.0</v>
      </c>
      <c r="B886" s="11" t="s">
        <v>915</v>
      </c>
      <c r="C886" s="12">
        <v>22260.0</v>
      </c>
      <c r="D886" s="11" t="str">
        <f t="shared" si="1"/>
        <v> </v>
      </c>
      <c r="E886" s="11" t="str">
        <f t="shared" si="2"/>
        <v> </v>
      </c>
    </row>
    <row r="887" ht="15.75" customHeight="1">
      <c r="A887" s="11">
        <v>11357.0</v>
      </c>
      <c r="B887" s="11" t="s">
        <v>916</v>
      </c>
      <c r="C887" s="12">
        <v>14592.0</v>
      </c>
      <c r="D887" s="11" t="str">
        <f t="shared" si="1"/>
        <v> </v>
      </c>
      <c r="E887" s="11" t="str">
        <f t="shared" si="2"/>
        <v> </v>
      </c>
    </row>
    <row r="888" ht="15.75" customHeight="1">
      <c r="A888" s="11">
        <v>11358.0</v>
      </c>
      <c r="B888" s="11" t="s">
        <v>917</v>
      </c>
      <c r="C888" s="12">
        <v>22139.0</v>
      </c>
      <c r="D888" s="11" t="str">
        <f t="shared" si="1"/>
        <v> </v>
      </c>
      <c r="E888" s="11" t="str">
        <f t="shared" si="2"/>
        <v> </v>
      </c>
    </row>
    <row r="889" ht="15.75" customHeight="1">
      <c r="A889" s="11">
        <v>11359.0</v>
      </c>
      <c r="B889" s="11" t="s">
        <v>918</v>
      </c>
      <c r="C889" s="12">
        <v>30460.0</v>
      </c>
      <c r="D889" s="11" t="str">
        <f t="shared" si="1"/>
        <v> </v>
      </c>
      <c r="E889" s="11" t="str">
        <f t="shared" si="2"/>
        <v> </v>
      </c>
    </row>
    <row r="890" ht="15.75" customHeight="1">
      <c r="A890" s="11">
        <v>11361.0</v>
      </c>
      <c r="B890" s="11" t="s">
        <v>919</v>
      </c>
      <c r="C890" s="12">
        <v>12842.0</v>
      </c>
      <c r="D890" s="11" t="str">
        <f t="shared" si="1"/>
        <v> </v>
      </c>
      <c r="E890" s="11" t="str">
        <f t="shared" si="2"/>
        <v> </v>
      </c>
    </row>
    <row r="891" ht="15.75" customHeight="1">
      <c r="A891" s="11">
        <v>11363.0</v>
      </c>
      <c r="B891" s="11" t="s">
        <v>920</v>
      </c>
      <c r="C891" s="12">
        <v>23246.0</v>
      </c>
      <c r="D891" s="11" t="str">
        <f t="shared" si="1"/>
        <v> </v>
      </c>
      <c r="E891" s="11" t="str">
        <f t="shared" si="2"/>
        <v> </v>
      </c>
    </row>
    <row r="892" ht="15.75" customHeight="1">
      <c r="A892" s="11">
        <v>11364.0</v>
      </c>
      <c r="B892" s="11" t="s">
        <v>921</v>
      </c>
      <c r="C892" s="12">
        <v>15666.0</v>
      </c>
      <c r="D892" s="11" t="str">
        <f t="shared" si="1"/>
        <v> </v>
      </c>
      <c r="E892" s="11" t="str">
        <f t="shared" si="2"/>
        <v> </v>
      </c>
    </row>
    <row r="893" ht="15.75" customHeight="1">
      <c r="A893" s="11">
        <v>11365.0</v>
      </c>
      <c r="B893" s="11" t="s">
        <v>922</v>
      </c>
      <c r="C893" s="12">
        <v>26273.0</v>
      </c>
      <c r="D893" s="11" t="str">
        <f t="shared" si="1"/>
        <v> </v>
      </c>
      <c r="E893" s="11" t="str">
        <f t="shared" si="2"/>
        <v> </v>
      </c>
    </row>
    <row r="894" ht="15.75" customHeight="1">
      <c r="A894" s="11">
        <v>11366.0</v>
      </c>
      <c r="B894" s="11" t="s">
        <v>923</v>
      </c>
      <c r="C894" s="12">
        <v>16659.0</v>
      </c>
      <c r="D894" s="11" t="str">
        <f t="shared" si="1"/>
        <v> </v>
      </c>
      <c r="E894" s="11" t="str">
        <f t="shared" si="2"/>
        <v> </v>
      </c>
    </row>
    <row r="895" ht="15.75" customHeight="1">
      <c r="A895" s="11">
        <v>11367.0</v>
      </c>
      <c r="B895" s="11" t="s">
        <v>924</v>
      </c>
      <c r="C895" s="12">
        <v>16830.0</v>
      </c>
      <c r="D895" s="11" t="str">
        <f t="shared" si="1"/>
        <v> </v>
      </c>
      <c r="E895" s="11" t="str">
        <f t="shared" si="2"/>
        <v> </v>
      </c>
    </row>
    <row r="896" ht="15.75" customHeight="1">
      <c r="A896" s="11">
        <v>11368.0</v>
      </c>
      <c r="B896" s="11" t="s">
        <v>925</v>
      </c>
      <c r="C896" s="12">
        <v>28827.0</v>
      </c>
      <c r="D896" s="11" t="str">
        <f t="shared" si="1"/>
        <v> </v>
      </c>
      <c r="E896" s="11" t="str">
        <f t="shared" si="2"/>
        <v> </v>
      </c>
    </row>
    <row r="897" ht="15.75" customHeight="1">
      <c r="A897" s="11">
        <v>11371.0</v>
      </c>
      <c r="B897" s="11" t="s">
        <v>926</v>
      </c>
      <c r="C897" s="12">
        <v>26353.0</v>
      </c>
      <c r="D897" s="11" t="str">
        <f t="shared" si="1"/>
        <v> </v>
      </c>
      <c r="E897" s="11" t="str">
        <f t="shared" si="2"/>
        <v> </v>
      </c>
    </row>
    <row r="898" ht="15.75" customHeight="1">
      <c r="A898" s="11">
        <v>11376.0</v>
      </c>
      <c r="B898" s="11" t="s">
        <v>927</v>
      </c>
      <c r="C898" s="12">
        <v>12739.0</v>
      </c>
      <c r="D898" s="11" t="str">
        <f t="shared" si="1"/>
        <v> </v>
      </c>
      <c r="E898" s="11" t="str">
        <f t="shared" si="2"/>
        <v> </v>
      </c>
    </row>
    <row r="899" ht="15.75" customHeight="1">
      <c r="A899" s="11">
        <v>11378.0</v>
      </c>
      <c r="B899" s="11" t="s">
        <v>928</v>
      </c>
      <c r="C899" s="12">
        <v>15724.0</v>
      </c>
      <c r="D899" s="11" t="str">
        <f t="shared" si="1"/>
        <v> </v>
      </c>
      <c r="E899" s="11" t="str">
        <f t="shared" si="2"/>
        <v> </v>
      </c>
    </row>
    <row r="900" ht="15.75" customHeight="1">
      <c r="A900" s="11">
        <v>11379.0</v>
      </c>
      <c r="B900" s="11" t="s">
        <v>929</v>
      </c>
      <c r="C900" s="12">
        <v>22922.0</v>
      </c>
      <c r="D900" s="11" t="str">
        <f t="shared" si="1"/>
        <v> </v>
      </c>
      <c r="E900" s="11" t="str">
        <f t="shared" si="2"/>
        <v> </v>
      </c>
    </row>
    <row r="901" ht="15.75" customHeight="1">
      <c r="A901" s="11">
        <v>11380.0</v>
      </c>
      <c r="B901" s="11" t="s">
        <v>930</v>
      </c>
      <c r="C901" s="12">
        <v>32314.0</v>
      </c>
      <c r="D901" s="11" t="str">
        <f t="shared" si="1"/>
        <v> </v>
      </c>
      <c r="E901" s="11" t="str">
        <f t="shared" si="2"/>
        <v> </v>
      </c>
    </row>
    <row r="902" ht="15.75" customHeight="1">
      <c r="A902" s="11">
        <v>11387.0</v>
      </c>
      <c r="B902" s="11" t="s">
        <v>931</v>
      </c>
      <c r="C902" s="12">
        <v>21062.0</v>
      </c>
      <c r="D902" s="11" t="str">
        <f t="shared" si="1"/>
        <v> </v>
      </c>
      <c r="E902" s="11" t="str">
        <f t="shared" si="2"/>
        <v> </v>
      </c>
    </row>
    <row r="903" ht="15.75" customHeight="1">
      <c r="A903" s="11">
        <v>11389.0</v>
      </c>
      <c r="B903" s="11" t="s">
        <v>932</v>
      </c>
      <c r="C903" s="12">
        <v>26165.0</v>
      </c>
      <c r="D903" s="11" t="str">
        <f t="shared" si="1"/>
        <v> </v>
      </c>
      <c r="E903" s="11" t="str">
        <f t="shared" si="2"/>
        <v> </v>
      </c>
    </row>
    <row r="904" ht="15.75" customHeight="1">
      <c r="A904" s="11">
        <v>11391.0</v>
      </c>
      <c r="B904" s="11" t="s">
        <v>933</v>
      </c>
      <c r="C904" s="12">
        <v>21293.0</v>
      </c>
      <c r="D904" s="11" t="str">
        <f t="shared" si="1"/>
        <v> </v>
      </c>
      <c r="E904" s="11" t="str">
        <f t="shared" si="2"/>
        <v> </v>
      </c>
    </row>
    <row r="905" ht="15.75" customHeight="1">
      <c r="A905" s="11">
        <v>11393.0</v>
      </c>
      <c r="B905" s="11" t="s">
        <v>934</v>
      </c>
      <c r="C905" s="12">
        <v>20624.0</v>
      </c>
      <c r="D905" s="11" t="str">
        <f t="shared" si="1"/>
        <v> </v>
      </c>
      <c r="E905" s="11" t="str">
        <f t="shared" si="2"/>
        <v> </v>
      </c>
    </row>
    <row r="906" ht="15.75" customHeight="1">
      <c r="A906" s="11">
        <v>11394.0</v>
      </c>
      <c r="B906" s="11" t="s">
        <v>935</v>
      </c>
      <c r="C906" s="12">
        <v>21653.0</v>
      </c>
      <c r="D906" s="11" t="str">
        <f t="shared" si="1"/>
        <v> </v>
      </c>
      <c r="E906" s="11" t="str">
        <f t="shared" si="2"/>
        <v> </v>
      </c>
    </row>
    <row r="907" ht="15.75" customHeight="1">
      <c r="A907" s="11">
        <v>11399.0</v>
      </c>
      <c r="B907" s="11" t="s">
        <v>936</v>
      </c>
      <c r="C907" s="12">
        <v>14119.0</v>
      </c>
      <c r="D907" s="11" t="str">
        <f t="shared" si="1"/>
        <v> </v>
      </c>
      <c r="E907" s="11" t="str">
        <f t="shared" si="2"/>
        <v> </v>
      </c>
    </row>
    <row r="908" ht="15.75" customHeight="1">
      <c r="A908" s="11">
        <v>11403.0</v>
      </c>
      <c r="B908" s="11" t="s">
        <v>937</v>
      </c>
      <c r="C908" s="12">
        <v>26190.0</v>
      </c>
      <c r="D908" s="11" t="str">
        <f t="shared" si="1"/>
        <v> </v>
      </c>
      <c r="E908" s="11" t="str">
        <f t="shared" si="2"/>
        <v> </v>
      </c>
    </row>
    <row r="909" ht="15.75" customHeight="1">
      <c r="A909" s="11">
        <v>11405.0</v>
      </c>
      <c r="B909" s="11" t="s">
        <v>938</v>
      </c>
      <c r="C909" s="12">
        <v>22772.0</v>
      </c>
      <c r="D909" s="11" t="str">
        <f t="shared" si="1"/>
        <v> </v>
      </c>
      <c r="E909" s="11" t="str">
        <f t="shared" si="2"/>
        <v> </v>
      </c>
    </row>
    <row r="910" ht="15.75" customHeight="1">
      <c r="A910" s="11">
        <v>11408.0</v>
      </c>
      <c r="B910" s="11" t="s">
        <v>939</v>
      </c>
      <c r="C910" s="12">
        <v>24934.0</v>
      </c>
      <c r="D910" s="11" t="str">
        <f t="shared" si="1"/>
        <v> </v>
      </c>
      <c r="E910" s="11" t="str">
        <f t="shared" si="2"/>
        <v> </v>
      </c>
    </row>
    <row r="911" ht="15.75" customHeight="1">
      <c r="A911" s="11">
        <v>11411.0</v>
      </c>
      <c r="B911" s="11" t="s">
        <v>940</v>
      </c>
      <c r="C911" s="12">
        <v>26573.0</v>
      </c>
      <c r="D911" s="11" t="str">
        <f t="shared" si="1"/>
        <v> </v>
      </c>
      <c r="E911" s="11" t="str">
        <f t="shared" si="2"/>
        <v> </v>
      </c>
    </row>
    <row r="912" ht="15.75" customHeight="1">
      <c r="A912" s="11">
        <v>11413.0</v>
      </c>
      <c r="B912" s="11" t="s">
        <v>941</v>
      </c>
      <c r="C912" s="12">
        <v>20322.0</v>
      </c>
      <c r="D912" s="11" t="str">
        <f t="shared" si="1"/>
        <v> </v>
      </c>
      <c r="E912" s="11" t="str">
        <f t="shared" si="2"/>
        <v> </v>
      </c>
    </row>
    <row r="913" ht="15.75" customHeight="1">
      <c r="A913" s="11">
        <v>11415.0</v>
      </c>
      <c r="B913" s="11" t="s">
        <v>942</v>
      </c>
      <c r="C913" s="12">
        <v>16315.0</v>
      </c>
      <c r="D913" s="11" t="str">
        <f t="shared" si="1"/>
        <v> </v>
      </c>
      <c r="E913" s="11" t="str">
        <f t="shared" si="2"/>
        <v> </v>
      </c>
    </row>
    <row r="914" ht="15.75" customHeight="1">
      <c r="A914" s="11">
        <v>11416.0</v>
      </c>
      <c r="B914" s="11" t="s">
        <v>943</v>
      </c>
      <c r="C914" s="12">
        <v>16937.0</v>
      </c>
      <c r="D914" s="11" t="str">
        <f t="shared" si="1"/>
        <v> </v>
      </c>
      <c r="E914" s="11" t="str">
        <f t="shared" si="2"/>
        <v> </v>
      </c>
    </row>
    <row r="915" ht="15.75" customHeight="1">
      <c r="A915" s="11">
        <v>11421.0</v>
      </c>
      <c r="B915" s="11" t="s">
        <v>944</v>
      </c>
      <c r="C915" s="12">
        <v>14043.0</v>
      </c>
      <c r="D915" s="11" t="str">
        <f t="shared" si="1"/>
        <v> </v>
      </c>
      <c r="E915" s="11" t="str">
        <f t="shared" si="2"/>
        <v> </v>
      </c>
    </row>
    <row r="916" ht="15.75" customHeight="1">
      <c r="A916" s="11">
        <v>11425.0</v>
      </c>
      <c r="B916" s="11" t="s">
        <v>945</v>
      </c>
      <c r="C916" s="12">
        <v>17926.0</v>
      </c>
      <c r="D916" s="11" t="str">
        <f t="shared" si="1"/>
        <v> </v>
      </c>
      <c r="E916" s="11" t="str">
        <f t="shared" si="2"/>
        <v> </v>
      </c>
    </row>
    <row r="917" ht="15.75" customHeight="1">
      <c r="A917" s="11">
        <v>11426.0</v>
      </c>
      <c r="B917" s="11" t="s">
        <v>946</v>
      </c>
      <c r="C917" s="12">
        <v>26483.0</v>
      </c>
      <c r="D917" s="11" t="str">
        <f t="shared" si="1"/>
        <v> </v>
      </c>
      <c r="E917" s="11" t="str">
        <f t="shared" si="2"/>
        <v> </v>
      </c>
    </row>
    <row r="918" ht="15.75" customHeight="1">
      <c r="A918" s="11">
        <v>11427.0</v>
      </c>
      <c r="B918" s="11" t="s">
        <v>947</v>
      </c>
      <c r="C918" s="12">
        <v>24282.0</v>
      </c>
      <c r="D918" s="11" t="str">
        <f t="shared" si="1"/>
        <v> </v>
      </c>
      <c r="E918" s="11" t="str">
        <f t="shared" si="2"/>
        <v> </v>
      </c>
    </row>
    <row r="919" ht="15.75" customHeight="1">
      <c r="A919" s="11">
        <v>11428.0</v>
      </c>
      <c r="B919" s="11" t="s">
        <v>948</v>
      </c>
      <c r="C919" s="12">
        <v>16107.0</v>
      </c>
      <c r="D919" s="11" t="str">
        <f t="shared" si="1"/>
        <v> </v>
      </c>
      <c r="E919" s="11" t="str">
        <f t="shared" si="2"/>
        <v> </v>
      </c>
    </row>
    <row r="920" ht="15.75" customHeight="1">
      <c r="A920" s="11">
        <v>11430.0</v>
      </c>
      <c r="B920" s="11" t="s">
        <v>949</v>
      </c>
      <c r="C920" s="12">
        <v>23939.0</v>
      </c>
      <c r="D920" s="11" t="str">
        <f t="shared" si="1"/>
        <v> </v>
      </c>
      <c r="E920" s="11" t="str">
        <f t="shared" si="2"/>
        <v> </v>
      </c>
    </row>
    <row r="921" ht="15.75" customHeight="1">
      <c r="A921" s="11">
        <v>11432.0</v>
      </c>
      <c r="B921" s="11" t="s">
        <v>950</v>
      </c>
      <c r="C921" s="12">
        <v>22454.0</v>
      </c>
      <c r="D921" s="11" t="str">
        <f t="shared" si="1"/>
        <v> </v>
      </c>
      <c r="E921" s="11" t="str">
        <f t="shared" si="2"/>
        <v> </v>
      </c>
    </row>
    <row r="922" ht="15.75" customHeight="1">
      <c r="A922" s="11">
        <v>11433.0</v>
      </c>
      <c r="B922" s="11" t="s">
        <v>951</v>
      </c>
      <c r="C922" s="12">
        <v>22604.0</v>
      </c>
      <c r="D922" s="11" t="str">
        <f t="shared" si="1"/>
        <v> </v>
      </c>
      <c r="E922" s="11" t="str">
        <f t="shared" si="2"/>
        <v> </v>
      </c>
    </row>
    <row r="923" ht="15.75" customHeight="1">
      <c r="A923" s="11">
        <v>11435.0</v>
      </c>
      <c r="B923" s="11" t="s">
        <v>952</v>
      </c>
      <c r="C923" s="12">
        <v>30486.0</v>
      </c>
      <c r="D923" s="11" t="str">
        <f t="shared" si="1"/>
        <v> </v>
      </c>
      <c r="E923" s="11" t="str">
        <f t="shared" si="2"/>
        <v> </v>
      </c>
    </row>
    <row r="924" ht="15.75" customHeight="1">
      <c r="A924" s="11">
        <v>11436.0</v>
      </c>
      <c r="B924" s="11" t="s">
        <v>953</v>
      </c>
      <c r="C924" s="12">
        <v>20541.0</v>
      </c>
      <c r="D924" s="11" t="str">
        <f t="shared" si="1"/>
        <v> </v>
      </c>
      <c r="E924" s="11" t="str">
        <f t="shared" si="2"/>
        <v> </v>
      </c>
    </row>
    <row r="925" ht="15.75" customHeight="1">
      <c r="A925" s="11">
        <v>11440.0</v>
      </c>
      <c r="B925" s="11" t="s">
        <v>954</v>
      </c>
      <c r="C925" s="12">
        <v>12751.0</v>
      </c>
      <c r="D925" s="11" t="str">
        <f t="shared" si="1"/>
        <v> </v>
      </c>
      <c r="E925" s="11" t="str">
        <f t="shared" si="2"/>
        <v> </v>
      </c>
    </row>
    <row r="926" ht="15.75" customHeight="1">
      <c r="A926" s="11">
        <v>11441.0</v>
      </c>
      <c r="B926" s="11" t="s">
        <v>955</v>
      </c>
      <c r="C926" s="12">
        <v>32670.0</v>
      </c>
      <c r="D926" s="11" t="str">
        <f t="shared" si="1"/>
        <v> </v>
      </c>
      <c r="E926" s="11" t="str">
        <f t="shared" si="2"/>
        <v> </v>
      </c>
    </row>
    <row r="927" ht="15.75" customHeight="1">
      <c r="A927" s="11">
        <v>11445.0</v>
      </c>
      <c r="B927" s="11" t="s">
        <v>956</v>
      </c>
      <c r="C927" s="12">
        <v>21338.0</v>
      </c>
      <c r="D927" s="11" t="str">
        <f t="shared" si="1"/>
        <v> </v>
      </c>
      <c r="E927" s="11" t="str">
        <f t="shared" si="2"/>
        <v> </v>
      </c>
    </row>
    <row r="928" ht="15.75" customHeight="1">
      <c r="A928" s="11">
        <v>11446.0</v>
      </c>
      <c r="B928" s="11" t="s">
        <v>957</v>
      </c>
      <c r="C928" s="12">
        <v>26192.0</v>
      </c>
      <c r="D928" s="11" t="str">
        <f t="shared" si="1"/>
        <v> </v>
      </c>
      <c r="E928" s="11" t="str">
        <f t="shared" si="2"/>
        <v> </v>
      </c>
    </row>
    <row r="929" ht="15.75" customHeight="1">
      <c r="A929" s="11">
        <v>11447.0</v>
      </c>
      <c r="B929" s="11" t="s">
        <v>958</v>
      </c>
      <c r="C929" s="12">
        <v>25776.0</v>
      </c>
      <c r="D929" s="11" t="str">
        <f t="shared" si="1"/>
        <v> </v>
      </c>
      <c r="E929" s="11" t="str">
        <f t="shared" si="2"/>
        <v> </v>
      </c>
    </row>
    <row r="930" ht="15.75" customHeight="1">
      <c r="A930" s="11">
        <v>11449.0</v>
      </c>
      <c r="B930" s="11" t="s">
        <v>959</v>
      </c>
      <c r="C930" s="12">
        <v>20978.0</v>
      </c>
      <c r="D930" s="11" t="str">
        <f t="shared" si="1"/>
        <v> </v>
      </c>
      <c r="E930" s="11" t="str">
        <f t="shared" si="2"/>
        <v> </v>
      </c>
    </row>
    <row r="931" ht="15.75" customHeight="1">
      <c r="A931" s="11">
        <v>11452.0</v>
      </c>
      <c r="B931" s="11" t="s">
        <v>960</v>
      </c>
      <c r="C931" s="12">
        <v>28273.0</v>
      </c>
      <c r="D931" s="11" t="str">
        <f t="shared" si="1"/>
        <v> </v>
      </c>
      <c r="E931" s="11" t="str">
        <f t="shared" si="2"/>
        <v> </v>
      </c>
    </row>
    <row r="932" ht="15.75" customHeight="1">
      <c r="A932" s="11">
        <v>11456.0</v>
      </c>
      <c r="B932" s="11" t="s">
        <v>961</v>
      </c>
      <c r="C932" s="12">
        <v>12909.0</v>
      </c>
      <c r="D932" s="11" t="str">
        <f t="shared" si="1"/>
        <v> </v>
      </c>
      <c r="E932" s="11" t="str">
        <f t="shared" si="2"/>
        <v> </v>
      </c>
    </row>
    <row r="933" ht="15.75" customHeight="1">
      <c r="A933" s="11">
        <v>11458.0</v>
      </c>
      <c r="B933" s="11" t="s">
        <v>962</v>
      </c>
      <c r="C933" s="12">
        <v>10836.0</v>
      </c>
      <c r="D933" s="11" t="str">
        <f t="shared" si="1"/>
        <v> </v>
      </c>
      <c r="E933" s="11" t="str">
        <f t="shared" si="2"/>
        <v> </v>
      </c>
    </row>
    <row r="934" ht="15.75" customHeight="1">
      <c r="A934" s="11">
        <v>11461.0</v>
      </c>
      <c r="B934" s="11" t="s">
        <v>963</v>
      </c>
      <c r="C934" s="12">
        <v>22048.0</v>
      </c>
      <c r="D934" s="11" t="str">
        <f t="shared" si="1"/>
        <v> </v>
      </c>
      <c r="E934" s="11" t="str">
        <f t="shared" si="2"/>
        <v> </v>
      </c>
    </row>
    <row r="935" ht="15.75" customHeight="1">
      <c r="A935" s="11">
        <v>11465.0</v>
      </c>
      <c r="B935" s="11" t="s">
        <v>964</v>
      </c>
      <c r="C935" s="12">
        <v>25751.0</v>
      </c>
      <c r="D935" s="11" t="str">
        <f t="shared" si="1"/>
        <v> </v>
      </c>
      <c r="E935" s="11" t="str">
        <f t="shared" si="2"/>
        <v> </v>
      </c>
    </row>
    <row r="936" ht="15.75" customHeight="1">
      <c r="A936" s="11">
        <v>11471.0</v>
      </c>
      <c r="B936" s="11" t="s">
        <v>965</v>
      </c>
      <c r="C936" s="12">
        <v>21963.0</v>
      </c>
      <c r="D936" s="11" t="str">
        <f t="shared" si="1"/>
        <v> </v>
      </c>
      <c r="E936" s="11" t="str">
        <f t="shared" si="2"/>
        <v> </v>
      </c>
    </row>
    <row r="937" ht="15.75" customHeight="1">
      <c r="A937" s="11">
        <v>11472.0</v>
      </c>
      <c r="B937" s="11" t="s">
        <v>966</v>
      </c>
      <c r="C937" s="12">
        <v>16712.0</v>
      </c>
      <c r="D937" s="11" t="str">
        <f t="shared" si="1"/>
        <v> </v>
      </c>
      <c r="E937" s="11" t="str">
        <f t="shared" si="2"/>
        <v> </v>
      </c>
    </row>
    <row r="938" ht="15.75" customHeight="1">
      <c r="A938" s="11">
        <v>11476.0</v>
      </c>
      <c r="B938" s="11" t="s">
        <v>967</v>
      </c>
      <c r="C938" s="12">
        <v>29766.0</v>
      </c>
      <c r="D938" s="11" t="str">
        <f t="shared" si="1"/>
        <v> </v>
      </c>
      <c r="E938" s="11" t="str">
        <f t="shared" si="2"/>
        <v> </v>
      </c>
    </row>
    <row r="939" ht="15.75" customHeight="1">
      <c r="A939" s="11">
        <v>11478.0</v>
      </c>
      <c r="B939" s="11" t="s">
        <v>968</v>
      </c>
      <c r="C939" s="12">
        <v>22542.0</v>
      </c>
      <c r="D939" s="11" t="str">
        <f t="shared" si="1"/>
        <v> </v>
      </c>
      <c r="E939" s="11" t="str">
        <f t="shared" si="2"/>
        <v> </v>
      </c>
    </row>
    <row r="940" ht="15.75" customHeight="1">
      <c r="A940" s="11">
        <v>11479.0</v>
      </c>
      <c r="B940" s="11" t="s">
        <v>969</v>
      </c>
      <c r="C940" s="12">
        <v>30186.0</v>
      </c>
      <c r="D940" s="11" t="str">
        <f t="shared" si="1"/>
        <v> </v>
      </c>
      <c r="E940" s="11" t="str">
        <f t="shared" si="2"/>
        <v> </v>
      </c>
    </row>
    <row r="941" ht="15.75" customHeight="1">
      <c r="A941" s="11">
        <v>11481.0</v>
      </c>
      <c r="B941" s="11" t="s">
        <v>970</v>
      </c>
      <c r="C941" s="12">
        <v>26787.0</v>
      </c>
      <c r="D941" s="11" t="str">
        <f t="shared" si="1"/>
        <v> </v>
      </c>
      <c r="E941" s="11" t="str">
        <f t="shared" si="2"/>
        <v> </v>
      </c>
    </row>
    <row r="942" ht="15.75" customHeight="1">
      <c r="A942" s="11">
        <v>11482.0</v>
      </c>
      <c r="B942" s="11" t="s">
        <v>971</v>
      </c>
      <c r="C942" s="12">
        <v>28102.0</v>
      </c>
      <c r="D942" s="11" t="str">
        <f t="shared" si="1"/>
        <v> </v>
      </c>
      <c r="E942" s="11" t="str">
        <f t="shared" si="2"/>
        <v> </v>
      </c>
    </row>
    <row r="943" ht="15.75" customHeight="1">
      <c r="A943" s="11">
        <v>11486.0</v>
      </c>
      <c r="B943" s="11" t="s">
        <v>972</v>
      </c>
      <c r="C943" s="12">
        <v>25284.0</v>
      </c>
      <c r="D943" s="11" t="str">
        <f t="shared" si="1"/>
        <v> </v>
      </c>
      <c r="E943" s="11" t="str">
        <f t="shared" si="2"/>
        <v> </v>
      </c>
    </row>
    <row r="944" ht="15.75" customHeight="1">
      <c r="A944" s="11">
        <v>11487.0</v>
      </c>
      <c r="B944" s="11" t="s">
        <v>973</v>
      </c>
      <c r="C944" s="12">
        <v>19302.0</v>
      </c>
      <c r="D944" s="11" t="str">
        <f t="shared" si="1"/>
        <v> </v>
      </c>
      <c r="E944" s="11" t="str">
        <f t="shared" si="2"/>
        <v> </v>
      </c>
    </row>
    <row r="945" ht="15.75" customHeight="1">
      <c r="A945" s="11">
        <v>11488.0</v>
      </c>
      <c r="B945" s="11" t="s">
        <v>974</v>
      </c>
      <c r="C945" s="12">
        <v>15700.0</v>
      </c>
      <c r="D945" s="11" t="str">
        <f t="shared" si="1"/>
        <v> </v>
      </c>
      <c r="E945" s="11" t="str">
        <f t="shared" si="2"/>
        <v> </v>
      </c>
    </row>
    <row r="946" ht="15.75" customHeight="1">
      <c r="A946" s="11">
        <v>11489.0</v>
      </c>
      <c r="B946" s="11" t="s">
        <v>975</v>
      </c>
      <c r="C946" s="12">
        <v>17103.0</v>
      </c>
      <c r="D946" s="11" t="str">
        <f t="shared" si="1"/>
        <v> </v>
      </c>
      <c r="E946" s="11" t="str">
        <f t="shared" si="2"/>
        <v> </v>
      </c>
    </row>
    <row r="947" ht="15.75" customHeight="1">
      <c r="A947" s="11">
        <v>11495.0</v>
      </c>
      <c r="B947" s="11" t="s">
        <v>976</v>
      </c>
      <c r="C947" s="12">
        <v>22182.0</v>
      </c>
      <c r="D947" s="11" t="str">
        <f t="shared" si="1"/>
        <v> </v>
      </c>
      <c r="E947" s="11" t="str">
        <f t="shared" si="2"/>
        <v> </v>
      </c>
    </row>
    <row r="948" ht="15.75" customHeight="1">
      <c r="A948" s="11">
        <v>11496.0</v>
      </c>
      <c r="B948" s="11" t="s">
        <v>977</v>
      </c>
      <c r="C948" s="12">
        <v>29271.0</v>
      </c>
      <c r="D948" s="11" t="str">
        <f t="shared" si="1"/>
        <v> </v>
      </c>
      <c r="E948" s="11" t="str">
        <f t="shared" si="2"/>
        <v> </v>
      </c>
    </row>
    <row r="949" ht="15.75" customHeight="1">
      <c r="A949" s="11">
        <v>11499.0</v>
      </c>
      <c r="B949" s="11" t="s">
        <v>978</v>
      </c>
      <c r="C949" s="12">
        <v>28769.0</v>
      </c>
      <c r="D949" s="11" t="str">
        <f t="shared" si="1"/>
        <v> </v>
      </c>
      <c r="E949" s="11" t="str">
        <f t="shared" si="2"/>
        <v> </v>
      </c>
    </row>
    <row r="950" ht="15.75" customHeight="1">
      <c r="A950" s="11">
        <v>11500.0</v>
      </c>
      <c r="B950" s="11" t="s">
        <v>979</v>
      </c>
      <c r="C950" s="12">
        <v>21081.0</v>
      </c>
      <c r="D950" s="11" t="str">
        <f t="shared" si="1"/>
        <v> </v>
      </c>
      <c r="E950" s="11" t="str">
        <f t="shared" si="2"/>
        <v> </v>
      </c>
    </row>
    <row r="951" ht="15.75" customHeight="1">
      <c r="A951" s="11">
        <v>11503.0</v>
      </c>
      <c r="B951" s="11" t="s">
        <v>980</v>
      </c>
      <c r="C951" s="12">
        <v>30709.0</v>
      </c>
      <c r="D951" s="11" t="str">
        <f t="shared" si="1"/>
        <v> </v>
      </c>
      <c r="E951" s="11" t="str">
        <f t="shared" si="2"/>
        <v> </v>
      </c>
    </row>
    <row r="952" ht="15.75" customHeight="1">
      <c r="A952" s="11">
        <v>11504.0</v>
      </c>
      <c r="B952" s="11" t="s">
        <v>981</v>
      </c>
      <c r="C952" s="12">
        <v>27002.0</v>
      </c>
      <c r="D952" s="11" t="str">
        <f t="shared" si="1"/>
        <v> </v>
      </c>
      <c r="E952" s="11" t="str">
        <f t="shared" si="2"/>
        <v> </v>
      </c>
    </row>
    <row r="953" ht="15.75" customHeight="1">
      <c r="A953" s="11">
        <v>11508.0</v>
      </c>
      <c r="B953" s="11" t="s">
        <v>982</v>
      </c>
      <c r="C953" s="12">
        <v>24295.0</v>
      </c>
      <c r="D953" s="11" t="str">
        <f t="shared" si="1"/>
        <v> </v>
      </c>
      <c r="E953" s="11" t="str">
        <f t="shared" si="2"/>
        <v> </v>
      </c>
    </row>
    <row r="954" ht="15.75" customHeight="1">
      <c r="A954" s="11">
        <v>11510.0</v>
      </c>
      <c r="B954" s="11" t="s">
        <v>983</v>
      </c>
      <c r="C954" s="12">
        <v>27080.0</v>
      </c>
      <c r="D954" s="11" t="str">
        <f t="shared" si="1"/>
        <v> </v>
      </c>
      <c r="E954" s="11" t="str">
        <f t="shared" si="2"/>
        <v> </v>
      </c>
    </row>
    <row r="955" ht="15.75" customHeight="1">
      <c r="A955" s="11">
        <v>11511.0</v>
      </c>
      <c r="B955" s="11" t="s">
        <v>984</v>
      </c>
      <c r="C955" s="12">
        <v>29821.0</v>
      </c>
      <c r="D955" s="11" t="str">
        <f t="shared" si="1"/>
        <v> </v>
      </c>
      <c r="E955" s="11" t="str">
        <f t="shared" si="2"/>
        <v> </v>
      </c>
    </row>
    <row r="956" ht="15.75" customHeight="1">
      <c r="A956" s="11">
        <v>11512.0</v>
      </c>
      <c r="B956" s="11" t="s">
        <v>985</v>
      </c>
      <c r="C956" s="12">
        <v>19221.0</v>
      </c>
      <c r="D956" s="11" t="str">
        <f t="shared" si="1"/>
        <v> </v>
      </c>
      <c r="E956" s="11" t="str">
        <f t="shared" si="2"/>
        <v> </v>
      </c>
    </row>
    <row r="957" ht="15.75" customHeight="1">
      <c r="A957" s="11">
        <v>11514.0</v>
      </c>
      <c r="B957" s="11" t="s">
        <v>986</v>
      </c>
      <c r="C957" s="12">
        <v>18958.0</v>
      </c>
      <c r="D957" s="11" t="str">
        <f t="shared" si="1"/>
        <v> </v>
      </c>
      <c r="E957" s="11" t="str">
        <f t="shared" si="2"/>
        <v> </v>
      </c>
    </row>
    <row r="958" ht="15.75" customHeight="1">
      <c r="A958" s="11">
        <v>11515.0</v>
      </c>
      <c r="B958" s="11" t="s">
        <v>987</v>
      </c>
      <c r="C958" s="12">
        <v>19056.0</v>
      </c>
      <c r="D958" s="11" t="str">
        <f t="shared" si="1"/>
        <v> </v>
      </c>
      <c r="E958" s="11" t="str">
        <f t="shared" si="2"/>
        <v> </v>
      </c>
    </row>
    <row r="959" ht="15.75" customHeight="1">
      <c r="A959" s="11">
        <v>11516.0</v>
      </c>
      <c r="B959" s="11" t="s">
        <v>988</v>
      </c>
      <c r="C959" s="12">
        <v>19283.0</v>
      </c>
      <c r="D959" s="11" t="str">
        <f t="shared" si="1"/>
        <v>Repeat</v>
      </c>
      <c r="E959" s="11" t="str">
        <f t="shared" si="2"/>
        <v> </v>
      </c>
    </row>
    <row r="960" ht="15.75" customHeight="1">
      <c r="A960" s="11">
        <v>11518.0</v>
      </c>
      <c r="B960" s="11" t="s">
        <v>989</v>
      </c>
      <c r="C960" s="12">
        <v>20702.0</v>
      </c>
      <c r="D960" s="11" t="str">
        <f t="shared" si="1"/>
        <v> </v>
      </c>
      <c r="E960" s="11" t="str">
        <f t="shared" si="2"/>
        <v> </v>
      </c>
    </row>
    <row r="961" ht="15.75" customHeight="1">
      <c r="A961" s="11">
        <v>11521.0</v>
      </c>
      <c r="B961" s="11" t="s">
        <v>990</v>
      </c>
      <c r="C961" s="12">
        <v>16777.0</v>
      </c>
      <c r="D961" s="11" t="str">
        <f t="shared" si="1"/>
        <v> </v>
      </c>
      <c r="E961" s="11" t="str">
        <f t="shared" si="2"/>
        <v> </v>
      </c>
    </row>
    <row r="962" ht="15.75" customHeight="1">
      <c r="A962" s="11">
        <v>11522.0</v>
      </c>
      <c r="B962" s="11" t="s">
        <v>991</v>
      </c>
      <c r="C962" s="12">
        <v>29351.0</v>
      </c>
      <c r="D962" s="11" t="str">
        <f t="shared" si="1"/>
        <v> </v>
      </c>
      <c r="E962" s="11" t="str">
        <f t="shared" si="2"/>
        <v> </v>
      </c>
    </row>
    <row r="963" ht="15.75" customHeight="1">
      <c r="A963" s="11">
        <v>11523.0</v>
      </c>
      <c r="B963" s="11" t="s">
        <v>992</v>
      </c>
      <c r="C963" s="12">
        <v>16133.0</v>
      </c>
      <c r="D963" s="11" t="str">
        <f t="shared" si="1"/>
        <v> </v>
      </c>
      <c r="E963" s="11" t="str">
        <f t="shared" si="2"/>
        <v> </v>
      </c>
    </row>
    <row r="964" ht="15.75" customHeight="1">
      <c r="A964" s="11">
        <v>11526.0</v>
      </c>
      <c r="B964" s="11" t="s">
        <v>993</v>
      </c>
      <c r="C964" s="12">
        <v>30851.0</v>
      </c>
      <c r="D964" s="11" t="str">
        <f t="shared" si="1"/>
        <v> </v>
      </c>
      <c r="E964" s="11" t="str">
        <f t="shared" si="2"/>
        <v> </v>
      </c>
    </row>
    <row r="965" ht="15.75" customHeight="1">
      <c r="A965" s="11">
        <v>11529.0</v>
      </c>
      <c r="B965" s="11" t="s">
        <v>994</v>
      </c>
      <c r="C965" s="12">
        <v>13692.0</v>
      </c>
      <c r="D965" s="11" t="str">
        <f t="shared" si="1"/>
        <v> </v>
      </c>
      <c r="E965" s="11" t="str">
        <f t="shared" si="2"/>
        <v> </v>
      </c>
    </row>
    <row r="966" ht="15.75" customHeight="1">
      <c r="A966" s="11">
        <v>11532.0</v>
      </c>
      <c r="B966" s="11" t="s">
        <v>995</v>
      </c>
      <c r="C966" s="12">
        <v>20475.0</v>
      </c>
      <c r="D966" s="11" t="str">
        <f t="shared" si="1"/>
        <v> </v>
      </c>
      <c r="E966" s="11" t="str">
        <f t="shared" si="2"/>
        <v> </v>
      </c>
    </row>
    <row r="967" ht="15.75" customHeight="1">
      <c r="A967" s="11">
        <v>11535.0</v>
      </c>
      <c r="B967" s="11" t="s">
        <v>996</v>
      </c>
      <c r="C967" s="12">
        <v>22079.0</v>
      </c>
      <c r="D967" s="11" t="str">
        <f t="shared" si="1"/>
        <v> </v>
      </c>
      <c r="E967" s="11" t="str">
        <f t="shared" si="2"/>
        <v> </v>
      </c>
    </row>
    <row r="968" ht="15.75" customHeight="1">
      <c r="A968" s="11">
        <v>11536.0</v>
      </c>
      <c r="B968" s="11" t="s">
        <v>997</v>
      </c>
      <c r="C968" s="12">
        <v>23777.0</v>
      </c>
      <c r="D968" s="11" t="str">
        <f t="shared" si="1"/>
        <v> </v>
      </c>
      <c r="E968" s="11" t="str">
        <f t="shared" si="2"/>
        <v> </v>
      </c>
    </row>
    <row r="969" ht="15.75" customHeight="1">
      <c r="A969" s="11">
        <v>11543.0</v>
      </c>
      <c r="B969" s="11" t="s">
        <v>998</v>
      </c>
      <c r="C969" s="12">
        <v>18034.0</v>
      </c>
      <c r="D969" s="11" t="str">
        <f t="shared" si="1"/>
        <v> </v>
      </c>
      <c r="E969" s="11" t="str">
        <f t="shared" si="2"/>
        <v> </v>
      </c>
    </row>
    <row r="970" ht="15.75" customHeight="1">
      <c r="A970" s="11">
        <v>11544.0</v>
      </c>
      <c r="B970" s="11" t="s">
        <v>999</v>
      </c>
      <c r="C970" s="12">
        <v>13044.0</v>
      </c>
      <c r="D970" s="11" t="str">
        <f t="shared" si="1"/>
        <v> </v>
      </c>
      <c r="E970" s="11" t="str">
        <f t="shared" si="2"/>
        <v> </v>
      </c>
    </row>
    <row r="971" ht="15.75" customHeight="1">
      <c r="A971" s="11">
        <v>11549.0</v>
      </c>
      <c r="B971" s="11" t="s">
        <v>1000</v>
      </c>
      <c r="C971" s="12">
        <v>24341.0</v>
      </c>
      <c r="D971" s="11" t="str">
        <f t="shared" si="1"/>
        <v> </v>
      </c>
      <c r="E971" s="11" t="str">
        <f t="shared" si="2"/>
        <v> </v>
      </c>
    </row>
    <row r="972" ht="15.75" customHeight="1">
      <c r="A972" s="11">
        <v>11551.0</v>
      </c>
      <c r="B972" s="11" t="s">
        <v>1001</v>
      </c>
      <c r="C972" s="12">
        <v>17998.0</v>
      </c>
      <c r="D972" s="11" t="str">
        <f t="shared" si="1"/>
        <v> </v>
      </c>
      <c r="E972" s="11" t="str">
        <f t="shared" si="2"/>
        <v> </v>
      </c>
    </row>
    <row r="973" ht="15.75" customHeight="1">
      <c r="A973" s="11">
        <v>11553.0</v>
      </c>
      <c r="B973" s="11" t="s">
        <v>1002</v>
      </c>
      <c r="C973" s="12">
        <v>19290.0</v>
      </c>
      <c r="D973" s="11" t="str">
        <f t="shared" si="1"/>
        <v> </v>
      </c>
      <c r="E973" s="11" t="str">
        <f t="shared" si="2"/>
        <v> </v>
      </c>
    </row>
    <row r="974" ht="15.75" customHeight="1">
      <c r="A974" s="11">
        <v>11559.0</v>
      </c>
      <c r="B974" s="11" t="s">
        <v>1003</v>
      </c>
      <c r="C974" s="12">
        <v>22096.0</v>
      </c>
      <c r="D974" s="11" t="str">
        <f t="shared" si="1"/>
        <v> </v>
      </c>
      <c r="E974" s="11" t="str">
        <f t="shared" si="2"/>
        <v> </v>
      </c>
    </row>
    <row r="975" ht="15.75" customHeight="1">
      <c r="A975" s="11">
        <v>11561.0</v>
      </c>
      <c r="B975" s="11" t="s">
        <v>1004</v>
      </c>
      <c r="C975" s="12">
        <v>18689.0</v>
      </c>
      <c r="D975" s="11" t="str">
        <f t="shared" si="1"/>
        <v> </v>
      </c>
      <c r="E975" s="11" t="str">
        <f t="shared" si="2"/>
        <v> </v>
      </c>
    </row>
    <row r="976" ht="15.75" customHeight="1">
      <c r="A976" s="11">
        <v>11562.0</v>
      </c>
      <c r="B976" s="11" t="s">
        <v>1005</v>
      </c>
      <c r="C976" s="12">
        <v>16827.0</v>
      </c>
      <c r="D976" s="11" t="str">
        <f t="shared" si="1"/>
        <v> </v>
      </c>
      <c r="E976" s="11" t="str">
        <f t="shared" si="2"/>
        <v> </v>
      </c>
    </row>
    <row r="977" ht="15.75" customHeight="1">
      <c r="A977" s="11">
        <v>11564.0</v>
      </c>
      <c r="B977" s="11" t="s">
        <v>1006</v>
      </c>
      <c r="C977" s="12">
        <v>17464.0</v>
      </c>
      <c r="D977" s="11" t="str">
        <f t="shared" si="1"/>
        <v> </v>
      </c>
      <c r="E977" s="11" t="str">
        <f t="shared" si="2"/>
        <v> </v>
      </c>
    </row>
    <row r="978" ht="15.75" customHeight="1">
      <c r="A978" s="11">
        <v>11567.0</v>
      </c>
      <c r="B978" s="11" t="s">
        <v>1007</v>
      </c>
      <c r="C978" s="12">
        <v>24364.0</v>
      </c>
      <c r="D978" s="11" t="str">
        <f t="shared" si="1"/>
        <v> </v>
      </c>
      <c r="E978" s="11" t="str">
        <f t="shared" si="2"/>
        <v> </v>
      </c>
    </row>
    <row r="979" ht="15.75" customHeight="1">
      <c r="A979" s="11">
        <v>11568.0</v>
      </c>
      <c r="B979" s="11" t="s">
        <v>1008</v>
      </c>
      <c r="C979" s="12">
        <v>18906.0</v>
      </c>
      <c r="D979" s="11" t="str">
        <f t="shared" si="1"/>
        <v> </v>
      </c>
      <c r="E979" s="11" t="str">
        <f t="shared" si="2"/>
        <v> </v>
      </c>
    </row>
    <row r="980" ht="15.75" customHeight="1">
      <c r="A980" s="11">
        <v>11569.0</v>
      </c>
      <c r="B980" s="11" t="s">
        <v>1009</v>
      </c>
      <c r="C980" s="12">
        <v>27805.0</v>
      </c>
      <c r="D980" s="11" t="str">
        <f t="shared" si="1"/>
        <v> </v>
      </c>
      <c r="E980" s="11" t="str">
        <f t="shared" si="2"/>
        <v> </v>
      </c>
    </row>
    <row r="981" ht="15.75" customHeight="1">
      <c r="A981" s="11">
        <v>11571.0</v>
      </c>
      <c r="B981" s="11" t="s">
        <v>1010</v>
      </c>
      <c r="C981" s="12">
        <v>8669.0</v>
      </c>
      <c r="D981" s="11" t="str">
        <f t="shared" si="1"/>
        <v>Repeat</v>
      </c>
      <c r="E981" s="11" t="str">
        <f t="shared" si="2"/>
        <v>Repeat</v>
      </c>
    </row>
    <row r="982" ht="15.75" customHeight="1">
      <c r="A982" s="11">
        <v>11572.0</v>
      </c>
      <c r="B982" s="11" t="s">
        <v>1011</v>
      </c>
      <c r="C982" s="12">
        <v>26174.0</v>
      </c>
      <c r="D982" s="11" t="str">
        <f t="shared" si="1"/>
        <v> </v>
      </c>
      <c r="E982" s="11" t="str">
        <f t="shared" si="2"/>
        <v> </v>
      </c>
    </row>
    <row r="983" ht="15.75" customHeight="1">
      <c r="A983" s="11">
        <v>11573.0</v>
      </c>
      <c r="B983" s="11" t="s">
        <v>1012</v>
      </c>
      <c r="C983" s="12">
        <v>31522.0</v>
      </c>
      <c r="D983" s="11" t="str">
        <f t="shared" si="1"/>
        <v>Repeat</v>
      </c>
      <c r="E983" s="11" t="str">
        <f t="shared" si="2"/>
        <v> </v>
      </c>
    </row>
    <row r="984" ht="15.75" customHeight="1">
      <c r="A984" s="11">
        <v>11577.0</v>
      </c>
      <c r="B984" s="11" t="s">
        <v>1013</v>
      </c>
      <c r="C984" s="12">
        <v>21460.0</v>
      </c>
      <c r="D984" s="11" t="str">
        <f t="shared" si="1"/>
        <v> </v>
      </c>
      <c r="E984" s="11" t="str">
        <f t="shared" si="2"/>
        <v> </v>
      </c>
    </row>
    <row r="985" ht="15.75" customHeight="1">
      <c r="A985" s="11">
        <v>11596.0</v>
      </c>
      <c r="B985" s="11" t="s">
        <v>1014</v>
      </c>
      <c r="C985" s="12">
        <v>33646.0</v>
      </c>
      <c r="D985" s="11" t="str">
        <f t="shared" si="1"/>
        <v> </v>
      </c>
      <c r="E985" s="11" t="str">
        <f t="shared" si="2"/>
        <v> </v>
      </c>
    </row>
    <row r="986" ht="15.75" customHeight="1">
      <c r="A986" s="11">
        <v>11599.0</v>
      </c>
      <c r="B986" s="11" t="s">
        <v>1015</v>
      </c>
      <c r="C986" s="12">
        <v>23348.0</v>
      </c>
      <c r="D986" s="11" t="str">
        <f t="shared" si="1"/>
        <v> </v>
      </c>
      <c r="E986" s="11" t="str">
        <f t="shared" si="2"/>
        <v> </v>
      </c>
    </row>
    <row r="987" ht="15.75" customHeight="1">
      <c r="A987" s="11">
        <v>11600.0</v>
      </c>
      <c r="B987" s="11" t="s">
        <v>1016</v>
      </c>
      <c r="C987" s="12">
        <v>19129.0</v>
      </c>
      <c r="D987" s="11" t="str">
        <f t="shared" si="1"/>
        <v> </v>
      </c>
      <c r="E987" s="11" t="str">
        <f t="shared" si="2"/>
        <v> </v>
      </c>
    </row>
    <row r="988" ht="15.75" customHeight="1">
      <c r="A988" s="11">
        <v>11603.0</v>
      </c>
      <c r="B988" s="11" t="s">
        <v>1017</v>
      </c>
      <c r="C988" s="12">
        <v>15642.0</v>
      </c>
      <c r="D988" s="11" t="str">
        <f t="shared" si="1"/>
        <v> </v>
      </c>
      <c r="E988" s="11" t="str">
        <f t="shared" si="2"/>
        <v> </v>
      </c>
    </row>
    <row r="989" ht="15.75" customHeight="1">
      <c r="A989" s="11">
        <v>11604.0</v>
      </c>
      <c r="B989" s="11" t="s">
        <v>1018</v>
      </c>
      <c r="C989" s="12">
        <v>21837.0</v>
      </c>
      <c r="D989" s="11" t="str">
        <f t="shared" si="1"/>
        <v> </v>
      </c>
      <c r="E989" s="11" t="str">
        <f t="shared" si="2"/>
        <v> </v>
      </c>
    </row>
    <row r="990" ht="15.75" customHeight="1">
      <c r="A990" s="11">
        <v>11605.0</v>
      </c>
      <c r="B990" s="11" t="s">
        <v>1019</v>
      </c>
      <c r="C990" s="12">
        <v>32142.0</v>
      </c>
      <c r="D990" s="11" t="str">
        <f t="shared" si="1"/>
        <v> </v>
      </c>
      <c r="E990" s="11" t="str">
        <f t="shared" si="2"/>
        <v> </v>
      </c>
    </row>
    <row r="991" ht="15.75" customHeight="1">
      <c r="A991" s="11">
        <v>11607.0</v>
      </c>
      <c r="B991" s="11" t="s">
        <v>1020</v>
      </c>
      <c r="C991" s="12">
        <v>33658.0</v>
      </c>
      <c r="D991" s="11" t="str">
        <f t="shared" si="1"/>
        <v> </v>
      </c>
      <c r="E991" s="11" t="str">
        <f t="shared" si="2"/>
        <v> </v>
      </c>
    </row>
    <row r="992" ht="15.75" customHeight="1">
      <c r="A992" s="11">
        <v>11608.0</v>
      </c>
      <c r="B992" s="11" t="s">
        <v>1021</v>
      </c>
      <c r="C992" s="12">
        <v>9957.0</v>
      </c>
      <c r="D992" s="11" t="str">
        <f t="shared" si="1"/>
        <v> </v>
      </c>
      <c r="E992" s="11" t="str">
        <f t="shared" si="2"/>
        <v> </v>
      </c>
    </row>
    <row r="993" ht="15.75" customHeight="1">
      <c r="A993" s="11">
        <v>11609.0</v>
      </c>
      <c r="B993" s="11" t="s">
        <v>1022</v>
      </c>
      <c r="C993" s="12">
        <v>23958.0</v>
      </c>
      <c r="D993" s="11" t="str">
        <f t="shared" si="1"/>
        <v> </v>
      </c>
      <c r="E993" s="11" t="str">
        <f t="shared" si="2"/>
        <v> </v>
      </c>
    </row>
    <row r="994" ht="15.75" customHeight="1">
      <c r="A994" s="11">
        <v>11611.0</v>
      </c>
      <c r="B994" s="11" t="s">
        <v>1023</v>
      </c>
      <c r="C994" s="12">
        <v>24449.0</v>
      </c>
      <c r="D994" s="11" t="str">
        <f t="shared" si="1"/>
        <v> </v>
      </c>
      <c r="E994" s="11" t="str">
        <f t="shared" si="2"/>
        <v> </v>
      </c>
    </row>
    <row r="995" ht="15.75" customHeight="1">
      <c r="A995" s="11">
        <v>11613.0</v>
      </c>
      <c r="B995" s="11" t="s">
        <v>1024</v>
      </c>
      <c r="C995" s="12">
        <v>22853.0</v>
      </c>
      <c r="D995" s="11" t="str">
        <f t="shared" si="1"/>
        <v> </v>
      </c>
      <c r="E995" s="11" t="str">
        <f t="shared" si="2"/>
        <v> </v>
      </c>
    </row>
    <row r="996" ht="15.75" customHeight="1">
      <c r="A996" s="11">
        <v>11619.0</v>
      </c>
      <c r="B996" s="11" t="s">
        <v>1025</v>
      </c>
      <c r="C996" s="12">
        <v>29756.0</v>
      </c>
      <c r="D996" s="11" t="str">
        <f t="shared" si="1"/>
        <v> </v>
      </c>
      <c r="E996" s="11" t="str">
        <f t="shared" si="2"/>
        <v> </v>
      </c>
    </row>
    <row r="997" ht="15.75" customHeight="1">
      <c r="A997" s="11">
        <v>11623.0</v>
      </c>
      <c r="B997" s="11" t="s">
        <v>1026</v>
      </c>
      <c r="C997" s="12">
        <v>20033.0</v>
      </c>
      <c r="D997" s="11" t="str">
        <f t="shared" si="1"/>
        <v> </v>
      </c>
      <c r="E997" s="11" t="str">
        <f t="shared" si="2"/>
        <v> </v>
      </c>
    </row>
    <row r="998" ht="15.75" customHeight="1">
      <c r="A998" s="11">
        <v>11624.0</v>
      </c>
      <c r="B998" s="11" t="s">
        <v>1027</v>
      </c>
      <c r="C998" s="12">
        <v>24456.0</v>
      </c>
      <c r="D998" s="11" t="str">
        <f t="shared" si="1"/>
        <v> </v>
      </c>
      <c r="E998" s="11" t="str">
        <f t="shared" si="2"/>
        <v> </v>
      </c>
    </row>
    <row r="999" ht="15.75" customHeight="1">
      <c r="A999" s="11">
        <v>11625.0</v>
      </c>
      <c r="B999" s="11" t="s">
        <v>1028</v>
      </c>
      <c r="C999" s="12">
        <v>20350.0</v>
      </c>
      <c r="D999" s="11" t="str">
        <f t="shared" si="1"/>
        <v> </v>
      </c>
      <c r="E999" s="11" t="str">
        <f t="shared" si="2"/>
        <v> </v>
      </c>
    </row>
    <row r="1000" ht="15.75" customHeight="1">
      <c r="A1000" s="11">
        <v>11626.0</v>
      </c>
      <c r="B1000" s="11" t="s">
        <v>1029</v>
      </c>
      <c r="C1000" s="12">
        <v>24025.0</v>
      </c>
      <c r="D1000" s="11" t="str">
        <f t="shared" si="1"/>
        <v> </v>
      </c>
      <c r="E1000" s="11" t="str">
        <f t="shared" si="2"/>
        <v>Repeat</v>
      </c>
    </row>
    <row r="1001" ht="15.75" customHeight="1">
      <c r="A1001" s="11">
        <v>11629.0</v>
      </c>
      <c r="B1001" s="11" t="s">
        <v>1030</v>
      </c>
      <c r="C1001" s="12">
        <v>11551.0</v>
      </c>
      <c r="D1001" s="11" t="str">
        <f t="shared" si="1"/>
        <v> </v>
      </c>
      <c r="E1001" s="11" t="str">
        <f t="shared" si="2"/>
        <v> </v>
      </c>
    </row>
    <row r="1002" ht="15.75" customHeight="1">
      <c r="A1002" s="11">
        <v>11631.0</v>
      </c>
      <c r="B1002" s="11" t="s">
        <v>1031</v>
      </c>
      <c r="C1002" s="12">
        <v>16905.0</v>
      </c>
      <c r="D1002" s="11" t="str">
        <f t="shared" si="1"/>
        <v> </v>
      </c>
      <c r="E1002" s="11" t="str">
        <f t="shared" si="2"/>
        <v> </v>
      </c>
    </row>
    <row r="1003" ht="15.75" customHeight="1">
      <c r="A1003" s="11">
        <v>11637.0</v>
      </c>
      <c r="B1003" s="11" t="s">
        <v>1032</v>
      </c>
      <c r="C1003" s="12">
        <v>21657.0</v>
      </c>
      <c r="D1003" s="11" t="str">
        <f t="shared" si="1"/>
        <v> </v>
      </c>
      <c r="E1003" s="11" t="str">
        <f t="shared" si="2"/>
        <v> </v>
      </c>
    </row>
    <row r="1004" ht="15.75" customHeight="1">
      <c r="A1004" s="11">
        <v>11638.0</v>
      </c>
      <c r="B1004" s="11" t="s">
        <v>1033</v>
      </c>
      <c r="C1004" s="12">
        <v>18889.0</v>
      </c>
      <c r="D1004" s="11" t="str">
        <f t="shared" si="1"/>
        <v> </v>
      </c>
      <c r="E1004" s="11" t="str">
        <f t="shared" si="2"/>
        <v> </v>
      </c>
    </row>
    <row r="1005" ht="15.75" customHeight="1">
      <c r="A1005" s="11">
        <v>11640.0</v>
      </c>
      <c r="B1005" s="11" t="s">
        <v>1034</v>
      </c>
      <c r="C1005" s="12">
        <v>23524.0</v>
      </c>
      <c r="D1005" s="11" t="str">
        <f t="shared" si="1"/>
        <v> </v>
      </c>
      <c r="E1005" s="11" t="str">
        <f t="shared" si="2"/>
        <v> </v>
      </c>
    </row>
    <row r="1006" ht="15.75" customHeight="1">
      <c r="A1006" s="11">
        <v>11643.0</v>
      </c>
      <c r="B1006" s="11" t="s">
        <v>1035</v>
      </c>
      <c r="C1006" s="12">
        <v>14248.0</v>
      </c>
      <c r="D1006" s="11" t="str">
        <f t="shared" si="1"/>
        <v> </v>
      </c>
      <c r="E1006" s="11" t="str">
        <f t="shared" si="2"/>
        <v> </v>
      </c>
    </row>
    <row r="1007" ht="15.75" customHeight="1">
      <c r="A1007" s="11">
        <v>11645.0</v>
      </c>
      <c r="B1007" s="11" t="s">
        <v>1036</v>
      </c>
      <c r="C1007" s="12">
        <v>24199.0</v>
      </c>
      <c r="D1007" s="11" t="str">
        <f t="shared" si="1"/>
        <v> </v>
      </c>
      <c r="E1007" s="11" t="str">
        <f t="shared" si="2"/>
        <v> </v>
      </c>
    </row>
    <row r="1008" ht="15.75" customHeight="1">
      <c r="A1008" s="11">
        <v>11646.0</v>
      </c>
      <c r="B1008" s="11" t="s">
        <v>1037</v>
      </c>
      <c r="C1008" s="12">
        <v>28354.0</v>
      </c>
      <c r="D1008" s="11" t="str">
        <f t="shared" si="1"/>
        <v> </v>
      </c>
      <c r="E1008" s="11" t="str">
        <f t="shared" si="2"/>
        <v> </v>
      </c>
    </row>
    <row r="1009" ht="15.75" customHeight="1">
      <c r="A1009" s="11">
        <v>11648.0</v>
      </c>
      <c r="B1009" s="11" t="s">
        <v>1038</v>
      </c>
      <c r="C1009" s="12">
        <v>19977.0</v>
      </c>
      <c r="D1009" s="11" t="str">
        <f t="shared" si="1"/>
        <v> </v>
      </c>
      <c r="E1009" s="11" t="str">
        <f t="shared" si="2"/>
        <v> </v>
      </c>
    </row>
    <row r="1010" ht="15.75" customHeight="1">
      <c r="A1010" s="11">
        <v>11650.0</v>
      </c>
      <c r="B1010" s="11" t="s">
        <v>1039</v>
      </c>
      <c r="C1010" s="12">
        <v>18876.0</v>
      </c>
      <c r="D1010" s="11" t="str">
        <f t="shared" si="1"/>
        <v> </v>
      </c>
      <c r="E1010" s="11" t="str">
        <f t="shared" si="2"/>
        <v> </v>
      </c>
    </row>
    <row r="1011" ht="15.75" customHeight="1">
      <c r="A1011" s="11">
        <v>11655.0</v>
      </c>
      <c r="B1011" s="11" t="s">
        <v>1040</v>
      </c>
      <c r="C1011" s="12">
        <v>24827.0</v>
      </c>
      <c r="D1011" s="11" t="str">
        <f t="shared" si="1"/>
        <v> </v>
      </c>
      <c r="E1011" s="11" t="str">
        <f t="shared" si="2"/>
        <v> </v>
      </c>
    </row>
    <row r="1012" ht="15.75" customHeight="1">
      <c r="A1012" s="11">
        <v>11656.0</v>
      </c>
      <c r="B1012" s="11" t="s">
        <v>1041</v>
      </c>
      <c r="C1012" s="12">
        <v>27617.0</v>
      </c>
      <c r="D1012" s="11" t="str">
        <f t="shared" si="1"/>
        <v> </v>
      </c>
      <c r="E1012" s="11" t="str">
        <f t="shared" si="2"/>
        <v> </v>
      </c>
    </row>
    <row r="1013" ht="15.75" customHeight="1">
      <c r="A1013" s="11">
        <v>11660.0</v>
      </c>
      <c r="B1013" s="11" t="s">
        <v>1042</v>
      </c>
      <c r="C1013" s="12">
        <v>22608.0</v>
      </c>
      <c r="D1013" s="11" t="str">
        <f t="shared" si="1"/>
        <v> </v>
      </c>
      <c r="E1013" s="11" t="str">
        <f t="shared" si="2"/>
        <v> </v>
      </c>
    </row>
    <row r="1014" ht="15.75" customHeight="1">
      <c r="A1014" s="11">
        <v>11663.0</v>
      </c>
      <c r="B1014" s="11" t="s">
        <v>1043</v>
      </c>
      <c r="C1014" s="12">
        <v>18081.0</v>
      </c>
      <c r="D1014" s="11" t="str">
        <f t="shared" si="1"/>
        <v> </v>
      </c>
      <c r="E1014" s="11" t="str">
        <f t="shared" si="2"/>
        <v> </v>
      </c>
    </row>
    <row r="1015" ht="15.75" customHeight="1">
      <c r="A1015" s="11">
        <v>11665.0</v>
      </c>
      <c r="B1015" s="11" t="s">
        <v>1044</v>
      </c>
      <c r="C1015" s="12">
        <v>18732.0</v>
      </c>
      <c r="D1015" s="11" t="str">
        <f t="shared" si="1"/>
        <v> </v>
      </c>
      <c r="E1015" s="11" t="str">
        <f t="shared" si="2"/>
        <v> </v>
      </c>
    </row>
    <row r="1016" ht="15.75" customHeight="1">
      <c r="A1016" s="11">
        <v>11667.0</v>
      </c>
      <c r="B1016" s="11" t="s">
        <v>1045</v>
      </c>
      <c r="C1016" s="12">
        <v>46459.0</v>
      </c>
      <c r="D1016" s="11" t="str">
        <f t="shared" si="1"/>
        <v> </v>
      </c>
      <c r="E1016" s="11" t="str">
        <f t="shared" si="2"/>
        <v> </v>
      </c>
    </row>
    <row r="1017" ht="15.75" customHeight="1">
      <c r="A1017" s="11">
        <v>11668.0</v>
      </c>
      <c r="B1017" s="11" t="s">
        <v>1046</v>
      </c>
      <c r="C1017" s="12">
        <v>31924.0</v>
      </c>
      <c r="D1017" s="11" t="str">
        <f t="shared" si="1"/>
        <v> </v>
      </c>
      <c r="E1017" s="11" t="str">
        <f t="shared" si="2"/>
        <v> </v>
      </c>
    </row>
    <row r="1018" ht="15.75" customHeight="1">
      <c r="A1018" s="11">
        <v>11669.0</v>
      </c>
      <c r="B1018" s="11" t="s">
        <v>1047</v>
      </c>
      <c r="C1018" s="12">
        <v>21906.0</v>
      </c>
      <c r="D1018" s="11" t="str">
        <f t="shared" si="1"/>
        <v> </v>
      </c>
      <c r="E1018" s="11" t="str">
        <f t="shared" si="2"/>
        <v> </v>
      </c>
    </row>
    <row r="1019" ht="15.75" customHeight="1">
      <c r="A1019" s="11">
        <v>11670.0</v>
      </c>
      <c r="B1019" s="11" t="s">
        <v>1048</v>
      </c>
      <c r="C1019" s="12">
        <v>20486.0</v>
      </c>
      <c r="D1019" s="11" t="str">
        <f t="shared" si="1"/>
        <v> </v>
      </c>
      <c r="E1019" s="11" t="str">
        <f t="shared" si="2"/>
        <v> </v>
      </c>
    </row>
    <row r="1020" ht="15.75" customHeight="1">
      <c r="A1020" s="11">
        <v>11672.0</v>
      </c>
      <c r="B1020" s="11" t="s">
        <v>1049</v>
      </c>
      <c r="C1020" s="12">
        <v>15484.0</v>
      </c>
      <c r="D1020" s="11" t="str">
        <f t="shared" si="1"/>
        <v> </v>
      </c>
      <c r="E1020" s="11" t="str">
        <f t="shared" si="2"/>
        <v> </v>
      </c>
    </row>
    <row r="1021" ht="15.75" customHeight="1">
      <c r="A1021" s="11">
        <v>11675.0</v>
      </c>
      <c r="B1021" s="11" t="s">
        <v>1050</v>
      </c>
      <c r="C1021" s="12">
        <v>19439.0</v>
      </c>
      <c r="D1021" s="11" t="str">
        <f t="shared" si="1"/>
        <v> </v>
      </c>
      <c r="E1021" s="11" t="str">
        <f t="shared" si="2"/>
        <v> </v>
      </c>
    </row>
    <row r="1022" ht="15.75" customHeight="1">
      <c r="A1022" s="11">
        <v>11676.0</v>
      </c>
      <c r="B1022" s="11" t="s">
        <v>1051</v>
      </c>
      <c r="C1022" s="12">
        <v>21749.0</v>
      </c>
      <c r="D1022" s="11" t="str">
        <f t="shared" si="1"/>
        <v> </v>
      </c>
      <c r="E1022" s="11" t="str">
        <f t="shared" si="2"/>
        <v> </v>
      </c>
    </row>
    <row r="1023" ht="15.75" customHeight="1">
      <c r="A1023" s="11">
        <v>11679.0</v>
      </c>
      <c r="B1023" s="11" t="s">
        <v>1052</v>
      </c>
      <c r="C1023" s="12">
        <v>20056.0</v>
      </c>
      <c r="D1023" s="11" t="str">
        <f t="shared" si="1"/>
        <v> </v>
      </c>
      <c r="E1023" s="11" t="str">
        <f t="shared" si="2"/>
        <v> </v>
      </c>
    </row>
    <row r="1024" ht="15.75" customHeight="1">
      <c r="A1024" s="11">
        <v>11680.0</v>
      </c>
      <c r="B1024" s="11" t="s">
        <v>1053</v>
      </c>
      <c r="C1024" s="12">
        <v>28927.0</v>
      </c>
      <c r="D1024" s="11" t="str">
        <f t="shared" si="1"/>
        <v> </v>
      </c>
      <c r="E1024" s="11" t="str">
        <f t="shared" si="2"/>
        <v> </v>
      </c>
    </row>
    <row r="1025" ht="15.75" customHeight="1">
      <c r="A1025" s="11">
        <v>11681.0</v>
      </c>
      <c r="B1025" s="11" t="s">
        <v>1054</v>
      </c>
      <c r="C1025" s="12">
        <v>21128.0</v>
      </c>
      <c r="D1025" s="11" t="str">
        <f t="shared" si="1"/>
        <v> </v>
      </c>
      <c r="E1025" s="11" t="str">
        <f t="shared" si="2"/>
        <v> </v>
      </c>
    </row>
    <row r="1026" ht="15.75" customHeight="1">
      <c r="A1026" s="11">
        <v>11682.0</v>
      </c>
      <c r="B1026" s="11" t="s">
        <v>1055</v>
      </c>
      <c r="C1026" s="12">
        <v>24031.0</v>
      </c>
      <c r="D1026" s="11" t="str">
        <f t="shared" si="1"/>
        <v> </v>
      </c>
      <c r="E1026" s="11" t="str">
        <f t="shared" si="2"/>
        <v> </v>
      </c>
    </row>
    <row r="1027" ht="15.75" customHeight="1">
      <c r="A1027" s="11">
        <v>11683.0</v>
      </c>
      <c r="B1027" s="11" t="s">
        <v>1056</v>
      </c>
      <c r="C1027" s="12">
        <v>23879.0</v>
      </c>
      <c r="D1027" s="11" t="str">
        <f t="shared" si="1"/>
        <v> </v>
      </c>
      <c r="E1027" s="11" t="str">
        <f t="shared" si="2"/>
        <v> </v>
      </c>
    </row>
    <row r="1028" ht="15.75" customHeight="1">
      <c r="A1028" s="11">
        <v>11685.0</v>
      </c>
      <c r="B1028" s="11" t="s">
        <v>1057</v>
      </c>
      <c r="C1028" s="12">
        <v>26550.0</v>
      </c>
      <c r="D1028" s="11" t="str">
        <f t="shared" si="1"/>
        <v> </v>
      </c>
      <c r="E1028" s="11" t="str">
        <f t="shared" si="2"/>
        <v> </v>
      </c>
    </row>
    <row r="1029" ht="15.75" customHeight="1">
      <c r="A1029" s="11">
        <v>11687.0</v>
      </c>
      <c r="B1029" s="11" t="s">
        <v>1058</v>
      </c>
      <c r="C1029" s="12">
        <v>27492.0</v>
      </c>
      <c r="D1029" s="11" t="str">
        <f t="shared" si="1"/>
        <v> </v>
      </c>
      <c r="E1029" s="11" t="str">
        <f t="shared" si="2"/>
        <v> </v>
      </c>
    </row>
    <row r="1030" ht="15.75" customHeight="1">
      <c r="A1030" s="11">
        <v>11689.0</v>
      </c>
      <c r="B1030" s="11" t="s">
        <v>1059</v>
      </c>
      <c r="C1030" s="12">
        <v>18306.0</v>
      </c>
      <c r="D1030" s="11" t="str">
        <f t="shared" si="1"/>
        <v> </v>
      </c>
      <c r="E1030" s="11" t="str">
        <f t="shared" si="2"/>
        <v> </v>
      </c>
    </row>
    <row r="1031" ht="15.75" customHeight="1">
      <c r="A1031" s="11">
        <v>11690.0</v>
      </c>
      <c r="B1031" s="11" t="s">
        <v>1060</v>
      </c>
      <c r="C1031" s="12">
        <v>16779.0</v>
      </c>
      <c r="D1031" s="11" t="str">
        <f t="shared" si="1"/>
        <v> </v>
      </c>
      <c r="E1031" s="11" t="str">
        <f t="shared" si="2"/>
        <v> </v>
      </c>
    </row>
    <row r="1032" ht="15.75" customHeight="1">
      <c r="A1032" s="11">
        <v>11691.0</v>
      </c>
      <c r="B1032" s="11" t="s">
        <v>1061</v>
      </c>
      <c r="C1032" s="12">
        <v>29607.0</v>
      </c>
      <c r="D1032" s="11" t="str">
        <f t="shared" si="1"/>
        <v> </v>
      </c>
      <c r="E1032" s="11" t="str">
        <f t="shared" si="2"/>
        <v> </v>
      </c>
    </row>
    <row r="1033" ht="15.75" customHeight="1">
      <c r="A1033" s="11">
        <v>11692.0</v>
      </c>
      <c r="B1033" s="11" t="s">
        <v>1062</v>
      </c>
      <c r="C1033" s="12">
        <v>32597.0</v>
      </c>
      <c r="D1033" s="11" t="str">
        <f t="shared" si="1"/>
        <v> </v>
      </c>
      <c r="E1033" s="11" t="str">
        <f t="shared" si="2"/>
        <v> </v>
      </c>
    </row>
    <row r="1034" ht="15.75" customHeight="1">
      <c r="A1034" s="11">
        <v>11693.0</v>
      </c>
      <c r="B1034" s="11" t="s">
        <v>1063</v>
      </c>
      <c r="C1034" s="12">
        <v>17687.0</v>
      </c>
      <c r="D1034" s="11" t="str">
        <f t="shared" si="1"/>
        <v> </v>
      </c>
      <c r="E1034" s="11" t="str">
        <f t="shared" si="2"/>
        <v> </v>
      </c>
    </row>
    <row r="1035" ht="15.75" customHeight="1">
      <c r="A1035" s="11">
        <v>11694.0</v>
      </c>
      <c r="B1035" s="11" t="s">
        <v>1064</v>
      </c>
      <c r="C1035" s="12">
        <v>22602.0</v>
      </c>
      <c r="D1035" s="11" t="str">
        <f t="shared" si="1"/>
        <v> </v>
      </c>
      <c r="E1035" s="11" t="str">
        <f t="shared" si="2"/>
        <v> </v>
      </c>
    </row>
    <row r="1036" ht="15.75" customHeight="1">
      <c r="A1036" s="11">
        <v>11698.0</v>
      </c>
      <c r="B1036" s="11" t="s">
        <v>1065</v>
      </c>
      <c r="C1036" s="12">
        <v>33194.0</v>
      </c>
      <c r="D1036" s="11" t="str">
        <f t="shared" si="1"/>
        <v> </v>
      </c>
      <c r="E1036" s="11" t="str">
        <f t="shared" si="2"/>
        <v> </v>
      </c>
    </row>
    <row r="1037" ht="15.75" customHeight="1">
      <c r="A1037" s="11">
        <v>11699.0</v>
      </c>
      <c r="B1037" s="11" t="s">
        <v>1066</v>
      </c>
      <c r="C1037" s="12">
        <v>13855.0</v>
      </c>
      <c r="D1037" s="11" t="str">
        <f t="shared" si="1"/>
        <v> </v>
      </c>
      <c r="E1037" s="11" t="str">
        <f t="shared" si="2"/>
        <v> </v>
      </c>
    </row>
    <row r="1038" ht="15.75" customHeight="1">
      <c r="A1038" s="11">
        <v>11701.0</v>
      </c>
      <c r="B1038" s="11" t="s">
        <v>1067</v>
      </c>
      <c r="C1038" s="12">
        <v>21055.0</v>
      </c>
      <c r="D1038" s="11" t="str">
        <f t="shared" si="1"/>
        <v> </v>
      </c>
      <c r="E1038" s="11" t="str">
        <f t="shared" si="2"/>
        <v> </v>
      </c>
    </row>
    <row r="1039" ht="15.75" customHeight="1">
      <c r="A1039" s="11">
        <v>11703.0</v>
      </c>
      <c r="B1039" s="11" t="s">
        <v>1068</v>
      </c>
      <c r="C1039" s="12">
        <v>10826.0</v>
      </c>
      <c r="D1039" s="11" t="str">
        <f t="shared" si="1"/>
        <v> </v>
      </c>
      <c r="E1039" s="11" t="str">
        <f t="shared" si="2"/>
        <v> </v>
      </c>
    </row>
    <row r="1040" ht="15.75" customHeight="1">
      <c r="A1040" s="11">
        <v>11705.0</v>
      </c>
      <c r="B1040" s="11" t="s">
        <v>1069</v>
      </c>
      <c r="C1040" s="12">
        <v>17964.0</v>
      </c>
      <c r="D1040" s="11" t="str">
        <f t="shared" si="1"/>
        <v> </v>
      </c>
      <c r="E1040" s="11" t="str">
        <f t="shared" si="2"/>
        <v> </v>
      </c>
    </row>
    <row r="1041" ht="15.75" customHeight="1">
      <c r="A1041" s="11">
        <v>11708.0</v>
      </c>
      <c r="B1041" s="11" t="s">
        <v>1070</v>
      </c>
      <c r="C1041" s="12">
        <v>15507.0</v>
      </c>
      <c r="D1041" s="11" t="str">
        <f t="shared" si="1"/>
        <v> </v>
      </c>
      <c r="E1041" s="11" t="str">
        <f t="shared" si="2"/>
        <v> </v>
      </c>
    </row>
    <row r="1042" ht="15.75" customHeight="1">
      <c r="A1042" s="11">
        <v>11709.0</v>
      </c>
      <c r="B1042" s="11" t="s">
        <v>1071</v>
      </c>
      <c r="C1042" s="12">
        <v>34238.0</v>
      </c>
      <c r="D1042" s="11" t="str">
        <f t="shared" si="1"/>
        <v> </v>
      </c>
      <c r="E1042" s="11" t="str">
        <f t="shared" si="2"/>
        <v> </v>
      </c>
    </row>
    <row r="1043" ht="15.75" customHeight="1">
      <c r="A1043" s="11">
        <v>11710.0</v>
      </c>
      <c r="B1043" s="11" t="s">
        <v>1072</v>
      </c>
      <c r="C1043" s="12">
        <v>23156.0</v>
      </c>
      <c r="D1043" s="11" t="str">
        <f t="shared" si="1"/>
        <v> </v>
      </c>
      <c r="E1043" s="11" t="str">
        <f t="shared" si="2"/>
        <v> </v>
      </c>
    </row>
    <row r="1044" ht="15.75" customHeight="1">
      <c r="A1044" s="11">
        <v>11712.0</v>
      </c>
      <c r="B1044" s="11" t="s">
        <v>1073</v>
      </c>
      <c r="C1044" s="12">
        <v>20882.0</v>
      </c>
      <c r="D1044" s="11" t="str">
        <f t="shared" si="1"/>
        <v> </v>
      </c>
      <c r="E1044" s="11" t="str">
        <f t="shared" si="2"/>
        <v> </v>
      </c>
    </row>
    <row r="1045" ht="15.75" customHeight="1">
      <c r="A1045" s="11">
        <v>11714.0</v>
      </c>
      <c r="B1045" s="11" t="s">
        <v>1074</v>
      </c>
      <c r="C1045" s="12">
        <v>35372.0</v>
      </c>
      <c r="D1045" s="11" t="str">
        <f t="shared" si="1"/>
        <v> </v>
      </c>
      <c r="E1045" s="11" t="str">
        <f t="shared" si="2"/>
        <v> </v>
      </c>
    </row>
    <row r="1046" ht="15.75" customHeight="1">
      <c r="A1046" s="11">
        <v>11722.0</v>
      </c>
      <c r="B1046" s="11" t="s">
        <v>1075</v>
      </c>
      <c r="C1046" s="12">
        <v>21744.0</v>
      </c>
      <c r="D1046" s="11" t="str">
        <f t="shared" si="1"/>
        <v> </v>
      </c>
      <c r="E1046" s="11" t="str">
        <f t="shared" si="2"/>
        <v> </v>
      </c>
    </row>
    <row r="1047" ht="15.75" customHeight="1">
      <c r="A1047" s="11">
        <v>11725.0</v>
      </c>
      <c r="B1047" s="11" t="s">
        <v>1076</v>
      </c>
      <c r="C1047" s="12">
        <v>16824.0</v>
      </c>
      <c r="D1047" s="11" t="str">
        <f t="shared" si="1"/>
        <v> </v>
      </c>
      <c r="E1047" s="11" t="str">
        <f t="shared" si="2"/>
        <v> </v>
      </c>
    </row>
    <row r="1048" ht="15.75" customHeight="1">
      <c r="A1048" s="11">
        <v>11726.0</v>
      </c>
      <c r="B1048" s="11" t="s">
        <v>784</v>
      </c>
      <c r="C1048" s="12">
        <v>13924.0</v>
      </c>
      <c r="D1048" s="11" t="str">
        <f t="shared" si="1"/>
        <v>Repeat</v>
      </c>
      <c r="E1048" s="11" t="str">
        <f t="shared" si="2"/>
        <v> </v>
      </c>
    </row>
    <row r="1049" ht="15.75" customHeight="1">
      <c r="A1049" s="11">
        <v>11727.0</v>
      </c>
      <c r="B1049" s="11" t="s">
        <v>1077</v>
      </c>
      <c r="C1049" s="12">
        <v>17812.0</v>
      </c>
      <c r="D1049" s="11" t="str">
        <f t="shared" si="1"/>
        <v> </v>
      </c>
      <c r="E1049" s="11" t="str">
        <f t="shared" si="2"/>
        <v> </v>
      </c>
    </row>
    <row r="1050" ht="15.75" customHeight="1">
      <c r="A1050" s="11">
        <v>11728.0</v>
      </c>
      <c r="B1050" s="11" t="s">
        <v>1078</v>
      </c>
      <c r="C1050" s="12">
        <v>28621.0</v>
      </c>
      <c r="D1050" s="11" t="str">
        <f t="shared" si="1"/>
        <v> </v>
      </c>
      <c r="E1050" s="11" t="str">
        <f t="shared" si="2"/>
        <v> </v>
      </c>
    </row>
    <row r="1051" ht="15.75" customHeight="1">
      <c r="A1051" s="11">
        <v>11730.0</v>
      </c>
      <c r="B1051" s="11" t="s">
        <v>1079</v>
      </c>
      <c r="C1051" s="12">
        <v>23017.0</v>
      </c>
      <c r="D1051" s="11" t="str">
        <f t="shared" si="1"/>
        <v> </v>
      </c>
      <c r="E1051" s="11" t="str">
        <f t="shared" si="2"/>
        <v> </v>
      </c>
    </row>
    <row r="1052" ht="15.75" customHeight="1">
      <c r="A1052" s="11">
        <v>11733.0</v>
      </c>
      <c r="B1052" s="11" t="s">
        <v>1080</v>
      </c>
      <c r="C1052" s="12">
        <v>17813.0</v>
      </c>
      <c r="D1052" s="11" t="str">
        <f t="shared" si="1"/>
        <v> </v>
      </c>
      <c r="E1052" s="11" t="str">
        <f t="shared" si="2"/>
        <v> </v>
      </c>
    </row>
    <row r="1053" ht="15.75" customHeight="1">
      <c r="A1053" s="11">
        <v>11736.0</v>
      </c>
      <c r="B1053" s="11" t="s">
        <v>1081</v>
      </c>
      <c r="C1053" s="12">
        <v>21851.0</v>
      </c>
      <c r="D1053" s="11" t="str">
        <f t="shared" si="1"/>
        <v> </v>
      </c>
      <c r="E1053" s="11" t="str">
        <f t="shared" si="2"/>
        <v> </v>
      </c>
    </row>
    <row r="1054" ht="15.75" customHeight="1">
      <c r="A1054" s="11">
        <v>11738.0</v>
      </c>
      <c r="B1054" s="11" t="s">
        <v>1082</v>
      </c>
      <c r="C1054" s="12">
        <v>19881.0</v>
      </c>
      <c r="D1054" s="11" t="str">
        <f t="shared" si="1"/>
        <v> </v>
      </c>
      <c r="E1054" s="11" t="str">
        <f t="shared" si="2"/>
        <v> </v>
      </c>
    </row>
    <row r="1055" ht="15.75" customHeight="1">
      <c r="A1055" s="11">
        <v>11739.0</v>
      </c>
      <c r="B1055" s="11" t="s">
        <v>1083</v>
      </c>
      <c r="C1055" s="12">
        <v>23092.0</v>
      </c>
      <c r="D1055" s="11" t="str">
        <f t="shared" si="1"/>
        <v> </v>
      </c>
      <c r="E1055" s="11" t="str">
        <f t="shared" si="2"/>
        <v> </v>
      </c>
    </row>
    <row r="1056" ht="15.75" customHeight="1">
      <c r="A1056" s="11">
        <v>11740.0</v>
      </c>
      <c r="B1056" s="11" t="s">
        <v>1084</v>
      </c>
      <c r="C1056" s="12">
        <v>29491.0</v>
      </c>
      <c r="D1056" s="11" t="str">
        <f t="shared" si="1"/>
        <v> </v>
      </c>
      <c r="E1056" s="11" t="str">
        <f t="shared" si="2"/>
        <v> </v>
      </c>
    </row>
    <row r="1057" ht="15.75" customHeight="1">
      <c r="A1057" s="11">
        <v>11742.0</v>
      </c>
      <c r="B1057" s="11" t="s">
        <v>1085</v>
      </c>
      <c r="C1057" s="12">
        <v>18849.0</v>
      </c>
      <c r="D1057" s="11" t="str">
        <f t="shared" si="1"/>
        <v> </v>
      </c>
      <c r="E1057" s="11" t="str">
        <f t="shared" si="2"/>
        <v> </v>
      </c>
    </row>
    <row r="1058" ht="15.75" customHeight="1">
      <c r="A1058" s="11">
        <v>11745.0</v>
      </c>
      <c r="B1058" s="11" t="s">
        <v>1086</v>
      </c>
      <c r="C1058" s="12">
        <v>27819.0</v>
      </c>
      <c r="D1058" s="11" t="str">
        <f t="shared" si="1"/>
        <v> </v>
      </c>
      <c r="E1058" s="11" t="str">
        <f t="shared" si="2"/>
        <v> </v>
      </c>
    </row>
    <row r="1059" ht="15.75" customHeight="1">
      <c r="A1059" s="11">
        <v>11746.0</v>
      </c>
      <c r="B1059" s="11" t="s">
        <v>1087</v>
      </c>
      <c r="C1059" s="12">
        <v>11890.0</v>
      </c>
      <c r="D1059" s="11" t="str">
        <f t="shared" si="1"/>
        <v> </v>
      </c>
      <c r="E1059" s="11" t="str">
        <f t="shared" si="2"/>
        <v> </v>
      </c>
    </row>
    <row r="1060" ht="15.75" customHeight="1">
      <c r="A1060" s="11">
        <v>11748.0</v>
      </c>
      <c r="B1060" s="11" t="s">
        <v>1088</v>
      </c>
      <c r="C1060" s="12">
        <v>11882.0</v>
      </c>
      <c r="D1060" s="11" t="str">
        <f t="shared" si="1"/>
        <v>Repeat</v>
      </c>
      <c r="E1060" s="11" t="str">
        <f t="shared" si="2"/>
        <v> </v>
      </c>
    </row>
    <row r="1061" ht="15.75" customHeight="1">
      <c r="A1061" s="11">
        <v>11750.0</v>
      </c>
      <c r="B1061" s="11" t="s">
        <v>1089</v>
      </c>
      <c r="C1061" s="12">
        <v>22347.0</v>
      </c>
      <c r="D1061" s="11" t="str">
        <f t="shared" si="1"/>
        <v> </v>
      </c>
      <c r="E1061" s="11" t="str">
        <f t="shared" si="2"/>
        <v> </v>
      </c>
    </row>
    <row r="1062" ht="15.75" customHeight="1">
      <c r="A1062" s="11">
        <v>11752.0</v>
      </c>
      <c r="B1062" s="11" t="s">
        <v>1090</v>
      </c>
      <c r="C1062" s="12">
        <v>25601.0</v>
      </c>
      <c r="D1062" s="11" t="str">
        <f t="shared" si="1"/>
        <v> </v>
      </c>
      <c r="E1062" s="11" t="str">
        <f t="shared" si="2"/>
        <v> </v>
      </c>
    </row>
    <row r="1063" ht="15.75" customHeight="1">
      <c r="A1063" s="11">
        <v>11753.0</v>
      </c>
      <c r="B1063" s="11" t="s">
        <v>1091</v>
      </c>
      <c r="C1063" s="12">
        <v>15699.0</v>
      </c>
      <c r="D1063" s="11" t="str">
        <f t="shared" si="1"/>
        <v> </v>
      </c>
      <c r="E1063" s="11" t="str">
        <f t="shared" si="2"/>
        <v> </v>
      </c>
    </row>
    <row r="1064" ht="15.75" customHeight="1">
      <c r="A1064" s="11">
        <v>11756.0</v>
      </c>
      <c r="B1064" s="11" t="s">
        <v>1092</v>
      </c>
      <c r="C1064" s="12">
        <v>19495.0</v>
      </c>
      <c r="D1064" s="11" t="str">
        <f t="shared" si="1"/>
        <v> </v>
      </c>
      <c r="E1064" s="11" t="str">
        <f t="shared" si="2"/>
        <v> </v>
      </c>
    </row>
    <row r="1065" ht="15.75" customHeight="1">
      <c r="A1065" s="11">
        <v>11757.0</v>
      </c>
      <c r="B1065" s="11" t="s">
        <v>1093</v>
      </c>
      <c r="C1065" s="12">
        <v>24941.0</v>
      </c>
      <c r="D1065" s="11" t="str">
        <f t="shared" si="1"/>
        <v> </v>
      </c>
      <c r="E1065" s="11" t="str">
        <f t="shared" si="2"/>
        <v> </v>
      </c>
    </row>
    <row r="1066" ht="15.75" customHeight="1">
      <c r="A1066" s="11">
        <v>11758.0</v>
      </c>
      <c r="B1066" s="11" t="s">
        <v>1094</v>
      </c>
      <c r="C1066" s="12">
        <v>25478.0</v>
      </c>
      <c r="D1066" s="11" t="str">
        <f t="shared" si="1"/>
        <v> </v>
      </c>
      <c r="E1066" s="11" t="str">
        <f t="shared" si="2"/>
        <v> </v>
      </c>
    </row>
    <row r="1067" ht="15.75" customHeight="1">
      <c r="A1067" s="11">
        <v>11759.0</v>
      </c>
      <c r="B1067" s="11" t="s">
        <v>1095</v>
      </c>
      <c r="C1067" s="12">
        <v>20155.0</v>
      </c>
      <c r="D1067" s="11" t="str">
        <f t="shared" si="1"/>
        <v> </v>
      </c>
      <c r="E1067" s="11" t="str">
        <f t="shared" si="2"/>
        <v> </v>
      </c>
    </row>
    <row r="1068" ht="15.75" customHeight="1">
      <c r="A1068" s="11">
        <v>11760.0</v>
      </c>
      <c r="B1068" s="11" t="s">
        <v>1096</v>
      </c>
      <c r="C1068" s="12">
        <v>24502.0</v>
      </c>
      <c r="D1068" s="11" t="str">
        <f t="shared" si="1"/>
        <v> </v>
      </c>
      <c r="E1068" s="11" t="str">
        <f t="shared" si="2"/>
        <v> </v>
      </c>
    </row>
    <row r="1069" ht="15.75" customHeight="1">
      <c r="A1069" s="11">
        <v>11761.0</v>
      </c>
      <c r="B1069" s="11" t="s">
        <v>1097</v>
      </c>
      <c r="C1069" s="12">
        <v>32726.0</v>
      </c>
      <c r="D1069" s="11" t="str">
        <f t="shared" si="1"/>
        <v> </v>
      </c>
      <c r="E1069" s="11" t="str">
        <f t="shared" si="2"/>
        <v> </v>
      </c>
    </row>
    <row r="1070" ht="15.75" customHeight="1">
      <c r="A1070" s="11">
        <v>11762.0</v>
      </c>
      <c r="B1070" s="11" t="s">
        <v>1098</v>
      </c>
      <c r="C1070" s="12">
        <v>19920.0</v>
      </c>
      <c r="D1070" s="11" t="str">
        <f t="shared" si="1"/>
        <v> </v>
      </c>
      <c r="E1070" s="11" t="str">
        <f t="shared" si="2"/>
        <v> </v>
      </c>
    </row>
    <row r="1071" ht="15.75" customHeight="1">
      <c r="A1071" s="11">
        <v>11765.0</v>
      </c>
      <c r="B1071" s="11" t="s">
        <v>1099</v>
      </c>
      <c r="C1071" s="12">
        <v>29977.0</v>
      </c>
      <c r="D1071" s="11" t="str">
        <f t="shared" si="1"/>
        <v> </v>
      </c>
      <c r="E1071" s="11" t="str">
        <f t="shared" si="2"/>
        <v> </v>
      </c>
    </row>
    <row r="1072" ht="15.75" customHeight="1">
      <c r="A1072" s="11">
        <v>11767.0</v>
      </c>
      <c r="B1072" s="11" t="s">
        <v>1100</v>
      </c>
      <c r="C1072" s="12">
        <v>20969.0</v>
      </c>
      <c r="D1072" s="11" t="str">
        <f t="shared" si="1"/>
        <v> </v>
      </c>
      <c r="E1072" s="11" t="str">
        <f t="shared" si="2"/>
        <v> </v>
      </c>
    </row>
    <row r="1073" ht="15.75" customHeight="1">
      <c r="A1073" s="11">
        <v>11768.0</v>
      </c>
      <c r="B1073" s="11" t="s">
        <v>1101</v>
      </c>
      <c r="C1073" s="12">
        <v>15965.0</v>
      </c>
      <c r="D1073" s="11" t="str">
        <f t="shared" si="1"/>
        <v> </v>
      </c>
      <c r="E1073" s="11" t="str">
        <f t="shared" si="2"/>
        <v> </v>
      </c>
    </row>
    <row r="1074" ht="15.75" customHeight="1">
      <c r="A1074" s="11">
        <v>11771.0</v>
      </c>
      <c r="B1074" s="11" t="s">
        <v>1102</v>
      </c>
      <c r="C1074" s="12">
        <v>25056.0</v>
      </c>
      <c r="D1074" s="11" t="str">
        <f t="shared" si="1"/>
        <v> </v>
      </c>
      <c r="E1074" s="11" t="str">
        <f t="shared" si="2"/>
        <v> </v>
      </c>
    </row>
    <row r="1075" ht="15.75" customHeight="1">
      <c r="A1075" s="11">
        <v>11773.0</v>
      </c>
      <c r="B1075" s="11" t="s">
        <v>1103</v>
      </c>
      <c r="C1075" s="12">
        <v>32461.0</v>
      </c>
      <c r="D1075" s="11" t="str">
        <f t="shared" si="1"/>
        <v> </v>
      </c>
      <c r="E1075" s="11" t="str">
        <f t="shared" si="2"/>
        <v> </v>
      </c>
    </row>
    <row r="1076" ht="15.75" customHeight="1">
      <c r="A1076" s="11">
        <v>11774.0</v>
      </c>
      <c r="B1076" s="11" t="s">
        <v>1104</v>
      </c>
      <c r="C1076" s="12">
        <v>18512.0</v>
      </c>
      <c r="D1076" s="11" t="str">
        <f t="shared" si="1"/>
        <v> </v>
      </c>
      <c r="E1076" s="11" t="str">
        <f t="shared" si="2"/>
        <v> </v>
      </c>
    </row>
    <row r="1077" ht="15.75" customHeight="1">
      <c r="A1077" s="11">
        <v>11775.0</v>
      </c>
      <c r="B1077" s="11" t="s">
        <v>1105</v>
      </c>
      <c r="C1077" s="12">
        <v>20419.0</v>
      </c>
      <c r="D1077" s="11" t="str">
        <f t="shared" si="1"/>
        <v> </v>
      </c>
      <c r="E1077" s="11" t="str">
        <f t="shared" si="2"/>
        <v> </v>
      </c>
    </row>
    <row r="1078" ht="15.75" customHeight="1">
      <c r="A1078" s="11">
        <v>11776.0</v>
      </c>
      <c r="B1078" s="11" t="s">
        <v>1106</v>
      </c>
      <c r="C1078" s="12">
        <v>22580.0</v>
      </c>
      <c r="D1078" s="11" t="str">
        <f t="shared" si="1"/>
        <v> </v>
      </c>
      <c r="E1078" s="11" t="str">
        <f t="shared" si="2"/>
        <v> </v>
      </c>
    </row>
    <row r="1079" ht="15.75" customHeight="1">
      <c r="A1079" s="11">
        <v>11779.0</v>
      </c>
      <c r="B1079" s="11" t="s">
        <v>1107</v>
      </c>
      <c r="C1079" s="12">
        <v>20045.0</v>
      </c>
      <c r="D1079" s="11" t="str">
        <f t="shared" si="1"/>
        <v> </v>
      </c>
      <c r="E1079" s="11" t="str">
        <f t="shared" si="2"/>
        <v> </v>
      </c>
    </row>
    <row r="1080" ht="15.75" customHeight="1">
      <c r="A1080" s="11">
        <v>11780.0</v>
      </c>
      <c r="B1080" s="11" t="s">
        <v>1108</v>
      </c>
      <c r="C1080" s="12">
        <v>14584.0</v>
      </c>
      <c r="D1080" s="11" t="str">
        <f t="shared" si="1"/>
        <v> </v>
      </c>
      <c r="E1080" s="11" t="str">
        <f t="shared" si="2"/>
        <v> </v>
      </c>
    </row>
    <row r="1081" ht="15.75" customHeight="1">
      <c r="A1081" s="11">
        <v>11783.0</v>
      </c>
      <c r="B1081" s="11" t="s">
        <v>1109</v>
      </c>
      <c r="C1081" s="12">
        <v>19009.0</v>
      </c>
      <c r="D1081" s="11" t="str">
        <f t="shared" si="1"/>
        <v> </v>
      </c>
      <c r="E1081" s="11" t="str">
        <f t="shared" si="2"/>
        <v> </v>
      </c>
    </row>
    <row r="1082" ht="15.75" customHeight="1">
      <c r="A1082" s="11">
        <v>11784.0</v>
      </c>
      <c r="B1082" s="11" t="s">
        <v>1110</v>
      </c>
      <c r="C1082" s="12">
        <v>19631.0</v>
      </c>
      <c r="D1082" s="11" t="str">
        <f t="shared" si="1"/>
        <v> </v>
      </c>
      <c r="E1082" s="11" t="str">
        <f t="shared" si="2"/>
        <v> </v>
      </c>
    </row>
    <row r="1083" ht="15.75" customHeight="1">
      <c r="A1083" s="11">
        <v>11785.0</v>
      </c>
      <c r="B1083" s="11" t="s">
        <v>1111</v>
      </c>
      <c r="C1083" s="12">
        <v>25481.0</v>
      </c>
      <c r="D1083" s="11" t="str">
        <f t="shared" si="1"/>
        <v> </v>
      </c>
      <c r="E1083" s="11" t="str">
        <f t="shared" si="2"/>
        <v> </v>
      </c>
    </row>
    <row r="1084" ht="15.75" customHeight="1">
      <c r="A1084" s="11">
        <v>11789.0</v>
      </c>
      <c r="B1084" s="11" t="s">
        <v>1112</v>
      </c>
      <c r="C1084" s="12">
        <v>19572.0</v>
      </c>
      <c r="D1084" s="11" t="str">
        <f t="shared" si="1"/>
        <v> </v>
      </c>
      <c r="E1084" s="11" t="str">
        <f t="shared" si="2"/>
        <v> </v>
      </c>
    </row>
    <row r="1085" ht="15.75" customHeight="1">
      <c r="A1085" s="11">
        <v>11792.0</v>
      </c>
      <c r="B1085" s="11" t="s">
        <v>1113</v>
      </c>
      <c r="C1085" s="12">
        <v>20872.0</v>
      </c>
      <c r="D1085" s="11" t="str">
        <f t="shared" si="1"/>
        <v>Repeat</v>
      </c>
      <c r="E1085" s="11" t="str">
        <f t="shared" si="2"/>
        <v>Repeat</v>
      </c>
    </row>
    <row r="1086" ht="15.75" customHeight="1">
      <c r="A1086" s="11">
        <v>11793.0</v>
      </c>
      <c r="B1086" s="11" t="s">
        <v>1114</v>
      </c>
      <c r="C1086" s="12">
        <v>22185.0</v>
      </c>
      <c r="D1086" s="11" t="str">
        <f t="shared" si="1"/>
        <v> </v>
      </c>
      <c r="E1086" s="11" t="str">
        <f t="shared" si="2"/>
        <v> </v>
      </c>
    </row>
    <row r="1087" ht="15.75" customHeight="1">
      <c r="A1087" s="11">
        <v>11795.0</v>
      </c>
      <c r="B1087" s="11" t="s">
        <v>1115</v>
      </c>
      <c r="C1087" s="12">
        <v>18542.0</v>
      </c>
      <c r="D1087" s="11" t="str">
        <f t="shared" si="1"/>
        <v> </v>
      </c>
      <c r="E1087" s="11" t="str">
        <f t="shared" si="2"/>
        <v> </v>
      </c>
    </row>
    <row r="1088" ht="15.75" customHeight="1">
      <c r="A1088" s="11">
        <v>11796.0</v>
      </c>
      <c r="B1088" s="11" t="s">
        <v>1116</v>
      </c>
      <c r="C1088" s="12">
        <v>16124.0</v>
      </c>
      <c r="D1088" s="11" t="str">
        <f t="shared" si="1"/>
        <v> </v>
      </c>
      <c r="E1088" s="11" t="str">
        <f t="shared" si="2"/>
        <v> </v>
      </c>
    </row>
    <row r="1089" ht="15.75" customHeight="1">
      <c r="A1089" s="11">
        <v>11797.0</v>
      </c>
      <c r="B1089" s="11" t="s">
        <v>1117</v>
      </c>
      <c r="C1089" s="12">
        <v>22586.0</v>
      </c>
      <c r="D1089" s="11" t="str">
        <f t="shared" si="1"/>
        <v> </v>
      </c>
      <c r="E1089" s="11" t="str">
        <f t="shared" si="2"/>
        <v> </v>
      </c>
    </row>
    <row r="1090" ht="15.75" customHeight="1">
      <c r="A1090" s="11">
        <v>11798.0</v>
      </c>
      <c r="B1090" s="11" t="s">
        <v>1118</v>
      </c>
      <c r="C1090" s="12">
        <v>16818.0</v>
      </c>
      <c r="D1090" s="11" t="str">
        <f t="shared" si="1"/>
        <v> </v>
      </c>
      <c r="E1090" s="11" t="str">
        <f t="shared" si="2"/>
        <v> </v>
      </c>
    </row>
    <row r="1091" ht="15.75" customHeight="1">
      <c r="A1091" s="11">
        <v>11807.0</v>
      </c>
      <c r="B1091" s="11" t="s">
        <v>1119</v>
      </c>
      <c r="C1091" s="12">
        <v>20668.0</v>
      </c>
      <c r="D1091" s="11" t="str">
        <f t="shared" si="1"/>
        <v> </v>
      </c>
      <c r="E1091" s="11" t="str">
        <f t="shared" si="2"/>
        <v> </v>
      </c>
    </row>
    <row r="1092" ht="15.75" customHeight="1">
      <c r="A1092" s="11">
        <v>11809.0</v>
      </c>
      <c r="B1092" s="11" t="s">
        <v>1120</v>
      </c>
      <c r="C1092" s="12">
        <v>31660.0</v>
      </c>
      <c r="D1092" s="11" t="str">
        <f t="shared" si="1"/>
        <v> </v>
      </c>
      <c r="E1092" s="11" t="str">
        <f t="shared" si="2"/>
        <v> </v>
      </c>
    </row>
    <row r="1093" ht="15.75" customHeight="1">
      <c r="A1093" s="11">
        <v>11810.0</v>
      </c>
      <c r="B1093" s="11" t="s">
        <v>1121</v>
      </c>
      <c r="C1093" s="12">
        <v>18025.0</v>
      </c>
      <c r="D1093" s="11" t="str">
        <f t="shared" si="1"/>
        <v> </v>
      </c>
      <c r="E1093" s="11" t="str">
        <f t="shared" si="2"/>
        <v> </v>
      </c>
    </row>
    <row r="1094" ht="15.75" customHeight="1">
      <c r="A1094" s="11">
        <v>11812.0</v>
      </c>
      <c r="B1094" s="11" t="s">
        <v>1122</v>
      </c>
      <c r="C1094" s="12">
        <v>31323.0</v>
      </c>
      <c r="D1094" s="11" t="str">
        <f t="shared" si="1"/>
        <v> </v>
      </c>
      <c r="E1094" s="11" t="str">
        <f t="shared" si="2"/>
        <v> </v>
      </c>
    </row>
    <row r="1095" ht="15.75" customHeight="1">
      <c r="A1095" s="11">
        <v>11814.0</v>
      </c>
      <c r="B1095" s="11" t="s">
        <v>1123</v>
      </c>
      <c r="C1095" s="12">
        <v>15858.0</v>
      </c>
      <c r="D1095" s="11" t="str">
        <f t="shared" si="1"/>
        <v>Repeat</v>
      </c>
      <c r="E1095" s="11" t="str">
        <f t="shared" si="2"/>
        <v> </v>
      </c>
    </row>
    <row r="1096" ht="15.75" customHeight="1">
      <c r="A1096" s="11">
        <v>11821.0</v>
      </c>
      <c r="B1096" s="11" t="s">
        <v>1124</v>
      </c>
      <c r="C1096" s="12">
        <v>10226.0</v>
      </c>
      <c r="D1096" s="11" t="str">
        <f t="shared" si="1"/>
        <v> </v>
      </c>
      <c r="E1096" s="11" t="str">
        <f t="shared" si="2"/>
        <v> </v>
      </c>
    </row>
    <row r="1097" ht="15.75" customHeight="1">
      <c r="A1097" s="11">
        <v>11823.0</v>
      </c>
      <c r="B1097" s="11" t="s">
        <v>1125</v>
      </c>
      <c r="C1097" s="12">
        <v>20613.0</v>
      </c>
      <c r="D1097" s="11" t="str">
        <f t="shared" si="1"/>
        <v> </v>
      </c>
      <c r="E1097" s="11" t="str">
        <f t="shared" si="2"/>
        <v> </v>
      </c>
    </row>
    <row r="1098" ht="15.75" customHeight="1">
      <c r="A1098" s="11">
        <v>11825.0</v>
      </c>
      <c r="B1098" s="11" t="s">
        <v>1126</v>
      </c>
      <c r="C1098" s="12">
        <v>15279.0</v>
      </c>
      <c r="D1098" s="11" t="str">
        <f t="shared" si="1"/>
        <v> </v>
      </c>
      <c r="E1098" s="11" t="str">
        <f t="shared" si="2"/>
        <v> </v>
      </c>
    </row>
    <row r="1099" ht="15.75" customHeight="1">
      <c r="A1099" s="11">
        <v>11826.0</v>
      </c>
      <c r="B1099" s="11" t="s">
        <v>1127</v>
      </c>
      <c r="C1099" s="12">
        <v>26116.0</v>
      </c>
      <c r="D1099" s="11" t="str">
        <f t="shared" si="1"/>
        <v> </v>
      </c>
      <c r="E1099" s="11" t="str">
        <f t="shared" si="2"/>
        <v> </v>
      </c>
    </row>
    <row r="1100" ht="15.75" customHeight="1">
      <c r="A1100" s="11">
        <v>11827.0</v>
      </c>
      <c r="B1100" s="11" t="s">
        <v>1128</v>
      </c>
      <c r="C1100" s="12">
        <v>30145.0</v>
      </c>
      <c r="D1100" s="11" t="str">
        <f t="shared" si="1"/>
        <v> </v>
      </c>
      <c r="E1100" s="11" t="str">
        <f t="shared" si="2"/>
        <v> </v>
      </c>
    </row>
    <row r="1101" ht="15.75" customHeight="1">
      <c r="A1101" s="11">
        <v>11828.0</v>
      </c>
      <c r="B1101" s="11" t="s">
        <v>1129</v>
      </c>
      <c r="C1101" s="12">
        <v>29959.0</v>
      </c>
      <c r="D1101" s="11" t="str">
        <f t="shared" si="1"/>
        <v> </v>
      </c>
      <c r="E1101" s="11" t="str">
        <f t="shared" si="2"/>
        <v> </v>
      </c>
    </row>
    <row r="1102" ht="15.75" customHeight="1">
      <c r="A1102" s="11">
        <v>11829.0</v>
      </c>
      <c r="B1102" s="11" t="s">
        <v>1130</v>
      </c>
      <c r="C1102" s="12">
        <v>23698.0</v>
      </c>
      <c r="D1102" s="11" t="str">
        <f t="shared" si="1"/>
        <v> </v>
      </c>
      <c r="E1102" s="11" t="str">
        <f t="shared" si="2"/>
        <v> </v>
      </c>
    </row>
    <row r="1103" ht="15.75" customHeight="1">
      <c r="A1103" s="11">
        <v>11830.0</v>
      </c>
      <c r="B1103" s="11" t="s">
        <v>1131</v>
      </c>
      <c r="C1103" s="12">
        <v>28760.0</v>
      </c>
      <c r="D1103" s="11" t="str">
        <f t="shared" si="1"/>
        <v> </v>
      </c>
      <c r="E1103" s="11" t="str">
        <f t="shared" si="2"/>
        <v> </v>
      </c>
    </row>
    <row r="1104" ht="15.75" customHeight="1">
      <c r="A1104" s="11">
        <v>11831.0</v>
      </c>
      <c r="B1104" s="11" t="s">
        <v>1132</v>
      </c>
      <c r="C1104" s="12">
        <v>26933.0</v>
      </c>
      <c r="D1104" s="11" t="str">
        <f t="shared" si="1"/>
        <v> </v>
      </c>
      <c r="E1104" s="11" t="str">
        <f t="shared" si="2"/>
        <v> </v>
      </c>
    </row>
    <row r="1105" ht="15.75" customHeight="1">
      <c r="A1105" s="11">
        <v>11832.0</v>
      </c>
      <c r="B1105" s="11" t="s">
        <v>1133</v>
      </c>
      <c r="C1105" s="12">
        <v>15739.0</v>
      </c>
      <c r="D1105" s="11" t="str">
        <f t="shared" si="1"/>
        <v> </v>
      </c>
      <c r="E1105" s="11" t="str">
        <f t="shared" si="2"/>
        <v> </v>
      </c>
    </row>
    <row r="1106" ht="15.75" customHeight="1">
      <c r="A1106" s="11">
        <v>11834.0</v>
      </c>
      <c r="B1106" s="11" t="s">
        <v>1134</v>
      </c>
      <c r="C1106" s="12">
        <v>18601.0</v>
      </c>
      <c r="D1106" s="11" t="str">
        <f t="shared" si="1"/>
        <v> </v>
      </c>
      <c r="E1106" s="11" t="str">
        <f t="shared" si="2"/>
        <v> </v>
      </c>
    </row>
    <row r="1107" ht="15.75" customHeight="1">
      <c r="A1107" s="11">
        <v>11836.0</v>
      </c>
      <c r="B1107" s="11" t="s">
        <v>1135</v>
      </c>
      <c r="C1107" s="12">
        <v>24032.0</v>
      </c>
      <c r="D1107" s="11" t="str">
        <f t="shared" si="1"/>
        <v> </v>
      </c>
      <c r="E1107" s="11" t="str">
        <f t="shared" si="2"/>
        <v> </v>
      </c>
    </row>
    <row r="1108" ht="15.75" customHeight="1">
      <c r="A1108" s="11">
        <v>11838.0</v>
      </c>
      <c r="B1108" s="11" t="s">
        <v>1136</v>
      </c>
      <c r="C1108" s="12">
        <v>19961.0</v>
      </c>
      <c r="D1108" s="11" t="str">
        <f t="shared" si="1"/>
        <v> </v>
      </c>
      <c r="E1108" s="11" t="str">
        <f t="shared" si="2"/>
        <v> </v>
      </c>
    </row>
    <row r="1109" ht="15.75" customHeight="1">
      <c r="A1109" s="11">
        <v>11839.0</v>
      </c>
      <c r="B1109" s="11" t="s">
        <v>1137</v>
      </c>
      <c r="C1109" s="12">
        <v>21503.0</v>
      </c>
      <c r="D1109" s="11" t="str">
        <f t="shared" si="1"/>
        <v> </v>
      </c>
      <c r="E1109" s="11" t="str">
        <f t="shared" si="2"/>
        <v> </v>
      </c>
    </row>
    <row r="1110" ht="15.75" customHeight="1">
      <c r="A1110" s="11">
        <v>11840.0</v>
      </c>
      <c r="B1110" s="11" t="s">
        <v>1138</v>
      </c>
      <c r="C1110" s="12">
        <v>16356.0</v>
      </c>
      <c r="D1110" s="11" t="str">
        <f t="shared" si="1"/>
        <v> </v>
      </c>
      <c r="E1110" s="11" t="str">
        <f t="shared" si="2"/>
        <v> </v>
      </c>
    </row>
    <row r="1111" ht="15.75" customHeight="1">
      <c r="A1111" s="11">
        <v>11842.0</v>
      </c>
      <c r="B1111" s="11" t="s">
        <v>1139</v>
      </c>
      <c r="C1111" s="12">
        <v>33372.0</v>
      </c>
      <c r="D1111" s="11" t="str">
        <f t="shared" si="1"/>
        <v> </v>
      </c>
      <c r="E1111" s="11" t="str">
        <f t="shared" si="2"/>
        <v> </v>
      </c>
    </row>
    <row r="1112" ht="15.75" customHeight="1">
      <c r="A1112" s="11">
        <v>11843.0</v>
      </c>
      <c r="B1112" s="11" t="s">
        <v>1140</v>
      </c>
      <c r="C1112" s="12">
        <v>14047.0</v>
      </c>
      <c r="D1112" s="11" t="str">
        <f t="shared" si="1"/>
        <v> </v>
      </c>
      <c r="E1112" s="11" t="str">
        <f t="shared" si="2"/>
        <v> </v>
      </c>
    </row>
    <row r="1113" ht="15.75" customHeight="1">
      <c r="A1113" s="11">
        <v>11845.0</v>
      </c>
      <c r="B1113" s="11" t="s">
        <v>1141</v>
      </c>
      <c r="C1113" s="12">
        <v>29574.0</v>
      </c>
      <c r="D1113" s="11" t="str">
        <f t="shared" si="1"/>
        <v> </v>
      </c>
      <c r="E1113" s="11" t="str">
        <f t="shared" si="2"/>
        <v> </v>
      </c>
    </row>
    <row r="1114" ht="15.75" customHeight="1">
      <c r="A1114" s="11">
        <v>11846.0</v>
      </c>
      <c r="B1114" s="11" t="s">
        <v>1142</v>
      </c>
      <c r="C1114" s="12">
        <v>20600.0</v>
      </c>
      <c r="D1114" s="11" t="str">
        <f t="shared" si="1"/>
        <v> </v>
      </c>
      <c r="E1114" s="11" t="str">
        <f t="shared" si="2"/>
        <v> </v>
      </c>
    </row>
    <row r="1115" ht="15.75" customHeight="1">
      <c r="A1115" s="11">
        <v>11852.0</v>
      </c>
      <c r="B1115" s="11" t="s">
        <v>1143</v>
      </c>
      <c r="C1115" s="12">
        <v>12931.0</v>
      </c>
      <c r="D1115" s="11" t="str">
        <f t="shared" si="1"/>
        <v> </v>
      </c>
      <c r="E1115" s="11" t="str">
        <f t="shared" si="2"/>
        <v> </v>
      </c>
    </row>
    <row r="1116" ht="15.75" customHeight="1">
      <c r="A1116" s="11">
        <v>11853.0</v>
      </c>
      <c r="B1116" s="11" t="s">
        <v>1144</v>
      </c>
      <c r="C1116" s="12">
        <v>18889.0</v>
      </c>
      <c r="D1116" s="11" t="str">
        <f t="shared" si="1"/>
        <v> </v>
      </c>
      <c r="E1116" s="11" t="str">
        <f t="shared" si="2"/>
        <v> </v>
      </c>
    </row>
    <row r="1117" ht="15.75" customHeight="1">
      <c r="A1117" s="11">
        <v>11854.0</v>
      </c>
      <c r="B1117" s="11" t="s">
        <v>1145</v>
      </c>
      <c r="C1117" s="12">
        <v>18592.0</v>
      </c>
      <c r="D1117" s="11" t="str">
        <f t="shared" si="1"/>
        <v> </v>
      </c>
      <c r="E1117" s="11" t="str">
        <f t="shared" si="2"/>
        <v> </v>
      </c>
    </row>
    <row r="1118" ht="15.75" customHeight="1">
      <c r="A1118" s="11">
        <v>11855.0</v>
      </c>
      <c r="B1118" s="11" t="s">
        <v>1146</v>
      </c>
      <c r="C1118" s="12">
        <v>19143.0</v>
      </c>
      <c r="D1118" s="11" t="str">
        <f t="shared" si="1"/>
        <v> </v>
      </c>
      <c r="E1118" s="11" t="str">
        <f t="shared" si="2"/>
        <v> </v>
      </c>
    </row>
    <row r="1119" ht="15.75" customHeight="1">
      <c r="A1119" s="11">
        <v>11856.0</v>
      </c>
      <c r="B1119" s="11" t="s">
        <v>1147</v>
      </c>
      <c r="C1119" s="12">
        <v>23707.0</v>
      </c>
      <c r="D1119" s="11" t="str">
        <f t="shared" si="1"/>
        <v> </v>
      </c>
      <c r="E1119" s="11" t="str">
        <f t="shared" si="2"/>
        <v> </v>
      </c>
    </row>
    <row r="1120" ht="15.75" customHeight="1">
      <c r="A1120" s="11">
        <v>11857.0</v>
      </c>
      <c r="B1120" s="11" t="s">
        <v>1148</v>
      </c>
      <c r="C1120" s="12">
        <v>13897.0</v>
      </c>
      <c r="D1120" s="11" t="str">
        <f t="shared" si="1"/>
        <v> </v>
      </c>
      <c r="E1120" s="11" t="str">
        <f t="shared" si="2"/>
        <v> </v>
      </c>
    </row>
    <row r="1121" ht="15.75" customHeight="1">
      <c r="A1121" s="11">
        <v>11858.0</v>
      </c>
      <c r="B1121" s="11" t="s">
        <v>1149</v>
      </c>
      <c r="C1121" s="12">
        <v>26372.0</v>
      </c>
      <c r="D1121" s="11" t="str">
        <f t="shared" si="1"/>
        <v> </v>
      </c>
      <c r="E1121" s="11" t="str">
        <f t="shared" si="2"/>
        <v> </v>
      </c>
    </row>
    <row r="1122" ht="15.75" customHeight="1">
      <c r="A1122" s="11">
        <v>11859.0</v>
      </c>
      <c r="B1122" s="11" t="s">
        <v>1150</v>
      </c>
      <c r="C1122" s="12">
        <v>13055.0</v>
      </c>
      <c r="D1122" s="11" t="str">
        <f t="shared" si="1"/>
        <v> </v>
      </c>
      <c r="E1122" s="11" t="str">
        <f t="shared" si="2"/>
        <v> </v>
      </c>
    </row>
    <row r="1123" ht="15.75" customHeight="1">
      <c r="A1123" s="11">
        <v>11860.0</v>
      </c>
      <c r="B1123" s="11" t="s">
        <v>1151</v>
      </c>
      <c r="C1123" s="12">
        <v>25429.0</v>
      </c>
      <c r="D1123" s="11" t="str">
        <f t="shared" si="1"/>
        <v> </v>
      </c>
      <c r="E1123" s="11" t="str">
        <f t="shared" si="2"/>
        <v> </v>
      </c>
    </row>
    <row r="1124" ht="15.75" customHeight="1">
      <c r="A1124" s="11">
        <v>11861.0</v>
      </c>
      <c r="B1124" s="11" t="s">
        <v>1152</v>
      </c>
      <c r="C1124" s="12">
        <v>18854.0</v>
      </c>
      <c r="D1124" s="11" t="str">
        <f t="shared" si="1"/>
        <v> </v>
      </c>
      <c r="E1124" s="11" t="str">
        <f t="shared" si="2"/>
        <v> </v>
      </c>
    </row>
    <row r="1125" ht="15.75" customHeight="1">
      <c r="A1125" s="11">
        <v>11862.0</v>
      </c>
      <c r="B1125" s="11" t="s">
        <v>1153</v>
      </c>
      <c r="C1125" s="12">
        <v>19416.0</v>
      </c>
      <c r="D1125" s="11" t="str">
        <f t="shared" si="1"/>
        <v> </v>
      </c>
      <c r="E1125" s="11" t="str">
        <f t="shared" si="2"/>
        <v> </v>
      </c>
    </row>
    <row r="1126" ht="15.75" customHeight="1">
      <c r="A1126" s="11">
        <v>11864.0</v>
      </c>
      <c r="B1126" s="11" t="s">
        <v>1154</v>
      </c>
      <c r="C1126" s="12">
        <v>15051.0</v>
      </c>
      <c r="D1126" s="11" t="str">
        <f t="shared" si="1"/>
        <v> </v>
      </c>
      <c r="E1126" s="11" t="str">
        <f t="shared" si="2"/>
        <v> </v>
      </c>
    </row>
    <row r="1127" ht="15.75" customHeight="1">
      <c r="A1127" s="11">
        <v>11865.0</v>
      </c>
      <c r="B1127" s="11" t="s">
        <v>1155</v>
      </c>
      <c r="C1127" s="12">
        <v>25554.0</v>
      </c>
      <c r="D1127" s="11" t="str">
        <f t="shared" si="1"/>
        <v> </v>
      </c>
      <c r="E1127" s="11" t="str">
        <f t="shared" si="2"/>
        <v> </v>
      </c>
    </row>
    <row r="1128" ht="15.75" customHeight="1">
      <c r="A1128" s="11">
        <v>11866.0</v>
      </c>
      <c r="B1128" s="11" t="s">
        <v>1156</v>
      </c>
      <c r="C1128" s="12">
        <v>23371.0</v>
      </c>
      <c r="D1128" s="11" t="str">
        <f t="shared" si="1"/>
        <v> </v>
      </c>
      <c r="E1128" s="11" t="str">
        <f t="shared" si="2"/>
        <v> </v>
      </c>
    </row>
    <row r="1129" ht="15.75" customHeight="1">
      <c r="A1129" s="11">
        <v>11869.0</v>
      </c>
      <c r="B1129" s="11" t="s">
        <v>1157</v>
      </c>
      <c r="C1129" s="12">
        <v>19349.0</v>
      </c>
      <c r="D1129" s="11" t="str">
        <f t="shared" si="1"/>
        <v> </v>
      </c>
      <c r="E1129" s="11" t="str">
        <f t="shared" si="2"/>
        <v> </v>
      </c>
    </row>
    <row r="1130" ht="15.75" customHeight="1">
      <c r="A1130" s="11">
        <v>11870.0</v>
      </c>
      <c r="B1130" s="11" t="s">
        <v>1158</v>
      </c>
      <c r="C1130" s="12">
        <v>22904.0</v>
      </c>
      <c r="D1130" s="11" t="str">
        <f t="shared" si="1"/>
        <v> </v>
      </c>
      <c r="E1130" s="11" t="str">
        <f t="shared" si="2"/>
        <v> </v>
      </c>
    </row>
    <row r="1131" ht="15.75" customHeight="1">
      <c r="A1131" s="11">
        <v>11872.0</v>
      </c>
      <c r="B1131" s="11" t="s">
        <v>1159</v>
      </c>
      <c r="C1131" s="12">
        <v>27804.0</v>
      </c>
      <c r="D1131" s="11" t="str">
        <f t="shared" si="1"/>
        <v> </v>
      </c>
      <c r="E1131" s="11" t="str">
        <f t="shared" si="2"/>
        <v> </v>
      </c>
    </row>
    <row r="1132" ht="15.75" customHeight="1">
      <c r="A1132" s="11">
        <v>11873.0</v>
      </c>
      <c r="B1132" s="11" t="s">
        <v>1160</v>
      </c>
      <c r="C1132" s="12">
        <v>27774.0</v>
      </c>
      <c r="D1132" s="11" t="str">
        <f t="shared" si="1"/>
        <v> </v>
      </c>
      <c r="E1132" s="11" t="str">
        <f t="shared" si="2"/>
        <v> </v>
      </c>
    </row>
    <row r="1133" ht="15.75" customHeight="1">
      <c r="A1133" s="11">
        <v>11875.0</v>
      </c>
      <c r="B1133" s="11" t="s">
        <v>1161</v>
      </c>
      <c r="C1133" s="12">
        <v>23872.0</v>
      </c>
      <c r="D1133" s="11" t="str">
        <f t="shared" si="1"/>
        <v> </v>
      </c>
      <c r="E1133" s="11" t="str">
        <f t="shared" si="2"/>
        <v> </v>
      </c>
    </row>
    <row r="1134" ht="15.75" customHeight="1">
      <c r="A1134" s="11">
        <v>11877.0</v>
      </c>
      <c r="B1134" s="11" t="s">
        <v>1162</v>
      </c>
      <c r="C1134" s="12">
        <v>19584.0</v>
      </c>
      <c r="D1134" s="11" t="str">
        <f t="shared" si="1"/>
        <v> </v>
      </c>
      <c r="E1134" s="11" t="str">
        <f t="shared" si="2"/>
        <v> </v>
      </c>
    </row>
    <row r="1135" ht="15.75" customHeight="1">
      <c r="A1135" s="11">
        <v>11878.0</v>
      </c>
      <c r="B1135" s="11" t="s">
        <v>1163</v>
      </c>
      <c r="C1135" s="12">
        <v>13028.0</v>
      </c>
      <c r="D1135" s="11" t="str">
        <f t="shared" si="1"/>
        <v> </v>
      </c>
      <c r="E1135" s="11" t="str">
        <f t="shared" si="2"/>
        <v> </v>
      </c>
    </row>
    <row r="1136" ht="15.75" customHeight="1">
      <c r="A1136" s="11">
        <v>11879.0</v>
      </c>
      <c r="B1136" s="11" t="s">
        <v>1164</v>
      </c>
      <c r="C1136" s="12">
        <v>22467.0</v>
      </c>
      <c r="D1136" s="11" t="str">
        <f t="shared" si="1"/>
        <v> </v>
      </c>
      <c r="E1136" s="11" t="str">
        <f t="shared" si="2"/>
        <v> </v>
      </c>
    </row>
    <row r="1137" ht="15.75" customHeight="1">
      <c r="A1137" s="11">
        <v>11880.0</v>
      </c>
      <c r="B1137" s="11" t="s">
        <v>1165</v>
      </c>
      <c r="C1137" s="12">
        <v>21481.0</v>
      </c>
      <c r="D1137" s="11" t="str">
        <f t="shared" si="1"/>
        <v> </v>
      </c>
      <c r="E1137" s="11" t="str">
        <f t="shared" si="2"/>
        <v> </v>
      </c>
    </row>
    <row r="1138" ht="15.75" customHeight="1">
      <c r="A1138" s="11">
        <v>11881.0</v>
      </c>
      <c r="B1138" s="11" t="s">
        <v>1166</v>
      </c>
      <c r="C1138" s="12">
        <v>14449.0</v>
      </c>
      <c r="D1138" s="11" t="str">
        <f t="shared" si="1"/>
        <v> </v>
      </c>
      <c r="E1138" s="11" t="str">
        <f t="shared" si="2"/>
        <v> </v>
      </c>
    </row>
    <row r="1139" ht="15.75" customHeight="1">
      <c r="A1139" s="11">
        <v>11882.0</v>
      </c>
      <c r="B1139" s="11" t="s">
        <v>1167</v>
      </c>
      <c r="C1139" s="12">
        <v>20745.0</v>
      </c>
      <c r="D1139" s="11" t="str">
        <f t="shared" si="1"/>
        <v> </v>
      </c>
      <c r="E1139" s="11" t="str">
        <f t="shared" si="2"/>
        <v> </v>
      </c>
    </row>
    <row r="1140" ht="15.75" customHeight="1">
      <c r="A1140" s="11">
        <v>11883.0</v>
      </c>
      <c r="B1140" s="11" t="s">
        <v>1168</v>
      </c>
      <c r="C1140" s="12">
        <v>18355.0</v>
      </c>
      <c r="D1140" s="11" t="str">
        <f t="shared" si="1"/>
        <v> </v>
      </c>
      <c r="E1140" s="11" t="str">
        <f t="shared" si="2"/>
        <v> </v>
      </c>
    </row>
    <row r="1141" ht="15.75" customHeight="1">
      <c r="A1141" s="11">
        <v>11884.0</v>
      </c>
      <c r="B1141" s="11" t="s">
        <v>1169</v>
      </c>
      <c r="C1141" s="12">
        <v>23150.0</v>
      </c>
      <c r="D1141" s="11" t="str">
        <f t="shared" si="1"/>
        <v> </v>
      </c>
      <c r="E1141" s="11" t="str">
        <f t="shared" si="2"/>
        <v> </v>
      </c>
    </row>
    <row r="1142" ht="15.75" customHeight="1">
      <c r="A1142" s="11">
        <v>11885.0</v>
      </c>
      <c r="B1142" s="11" t="s">
        <v>1170</v>
      </c>
      <c r="C1142" s="12">
        <v>22135.0</v>
      </c>
      <c r="D1142" s="11" t="str">
        <f t="shared" si="1"/>
        <v> </v>
      </c>
      <c r="E1142" s="11" t="str">
        <f t="shared" si="2"/>
        <v> </v>
      </c>
    </row>
    <row r="1143" ht="15.75" customHeight="1">
      <c r="A1143" s="11">
        <v>11886.0</v>
      </c>
      <c r="B1143" s="11" t="s">
        <v>1171</v>
      </c>
      <c r="C1143" s="12">
        <v>25520.0</v>
      </c>
      <c r="D1143" s="11" t="str">
        <f t="shared" si="1"/>
        <v>Repeat</v>
      </c>
      <c r="E1143" s="11" t="str">
        <f t="shared" si="2"/>
        <v> </v>
      </c>
    </row>
    <row r="1144" ht="15.75" customHeight="1">
      <c r="A1144" s="11">
        <v>11887.0</v>
      </c>
      <c r="B1144" s="11" t="s">
        <v>1172</v>
      </c>
      <c r="C1144" s="12">
        <v>21513.0</v>
      </c>
      <c r="D1144" s="11" t="str">
        <f t="shared" si="1"/>
        <v> </v>
      </c>
      <c r="E1144" s="11" t="str">
        <f t="shared" si="2"/>
        <v> </v>
      </c>
    </row>
    <row r="1145" ht="15.75" customHeight="1">
      <c r="A1145" s="11">
        <v>11889.0</v>
      </c>
      <c r="B1145" s="11" t="s">
        <v>1173</v>
      </c>
      <c r="C1145" s="12">
        <v>23734.0</v>
      </c>
      <c r="D1145" s="11" t="str">
        <f t="shared" si="1"/>
        <v> </v>
      </c>
      <c r="E1145" s="11" t="str">
        <f t="shared" si="2"/>
        <v> </v>
      </c>
    </row>
    <row r="1146" ht="15.75" customHeight="1">
      <c r="A1146" s="11">
        <v>11891.0</v>
      </c>
      <c r="B1146" s="11" t="s">
        <v>1174</v>
      </c>
      <c r="C1146" s="12">
        <v>25961.0</v>
      </c>
      <c r="D1146" s="11" t="str">
        <f t="shared" si="1"/>
        <v> </v>
      </c>
      <c r="E1146" s="11" t="str">
        <f t="shared" si="2"/>
        <v> </v>
      </c>
    </row>
    <row r="1147" ht="15.75" customHeight="1">
      <c r="A1147" s="11">
        <v>11895.0</v>
      </c>
      <c r="B1147" s="11" t="s">
        <v>1175</v>
      </c>
      <c r="C1147" s="12">
        <v>23951.0</v>
      </c>
      <c r="D1147" s="11" t="str">
        <f t="shared" si="1"/>
        <v> </v>
      </c>
      <c r="E1147" s="11" t="str">
        <f t="shared" si="2"/>
        <v> </v>
      </c>
    </row>
    <row r="1148" ht="15.75" customHeight="1">
      <c r="A1148" s="11">
        <v>11901.0</v>
      </c>
      <c r="B1148" s="11" t="s">
        <v>1176</v>
      </c>
      <c r="C1148" s="12">
        <v>27212.0</v>
      </c>
      <c r="D1148" s="11" t="str">
        <f t="shared" si="1"/>
        <v> </v>
      </c>
      <c r="E1148" s="11" t="str">
        <f t="shared" si="2"/>
        <v> </v>
      </c>
    </row>
    <row r="1149" ht="15.75" customHeight="1">
      <c r="A1149" s="11">
        <v>11903.0</v>
      </c>
      <c r="B1149" s="11" t="s">
        <v>1177</v>
      </c>
      <c r="C1149" s="12">
        <v>21184.0</v>
      </c>
      <c r="D1149" s="11" t="str">
        <f t="shared" si="1"/>
        <v> </v>
      </c>
      <c r="E1149" s="11" t="str">
        <f t="shared" si="2"/>
        <v> </v>
      </c>
    </row>
    <row r="1150" ht="15.75" customHeight="1">
      <c r="A1150" s="11">
        <v>11904.0</v>
      </c>
      <c r="B1150" s="11" t="s">
        <v>1178</v>
      </c>
      <c r="C1150" s="12">
        <v>16394.0</v>
      </c>
      <c r="D1150" s="11" t="str">
        <f t="shared" si="1"/>
        <v> </v>
      </c>
      <c r="E1150" s="11" t="str">
        <f t="shared" si="2"/>
        <v> </v>
      </c>
    </row>
    <row r="1151" ht="15.75" customHeight="1">
      <c r="A1151" s="11">
        <v>11906.0</v>
      </c>
      <c r="B1151" s="11" t="s">
        <v>1179</v>
      </c>
      <c r="C1151" s="12">
        <v>22067.0</v>
      </c>
      <c r="D1151" s="11" t="str">
        <f t="shared" si="1"/>
        <v> </v>
      </c>
      <c r="E1151" s="11" t="str">
        <f t="shared" si="2"/>
        <v> </v>
      </c>
    </row>
    <row r="1152" ht="15.75" customHeight="1">
      <c r="A1152" s="11">
        <v>11907.0</v>
      </c>
      <c r="B1152" s="11" t="s">
        <v>1180</v>
      </c>
      <c r="C1152" s="12">
        <v>25420.0</v>
      </c>
      <c r="D1152" s="11" t="str">
        <f t="shared" si="1"/>
        <v> </v>
      </c>
      <c r="E1152" s="11" t="str">
        <f t="shared" si="2"/>
        <v> </v>
      </c>
    </row>
    <row r="1153" ht="15.75" customHeight="1">
      <c r="A1153" s="11">
        <v>11910.0</v>
      </c>
      <c r="B1153" s="11" t="s">
        <v>1181</v>
      </c>
      <c r="C1153" s="12">
        <v>25986.0</v>
      </c>
      <c r="D1153" s="11" t="str">
        <f t="shared" si="1"/>
        <v> </v>
      </c>
      <c r="E1153" s="11" t="str">
        <f t="shared" si="2"/>
        <v> </v>
      </c>
    </row>
    <row r="1154" ht="15.75" customHeight="1">
      <c r="A1154" s="11">
        <v>11913.0</v>
      </c>
      <c r="B1154" s="11" t="s">
        <v>1182</v>
      </c>
      <c r="C1154" s="12">
        <v>24727.0</v>
      </c>
      <c r="D1154" s="11" t="str">
        <f t="shared" si="1"/>
        <v> </v>
      </c>
      <c r="E1154" s="11" t="str">
        <f t="shared" si="2"/>
        <v> </v>
      </c>
    </row>
    <row r="1155" ht="15.75" customHeight="1">
      <c r="A1155" s="11">
        <v>11919.0</v>
      </c>
      <c r="B1155" s="11" t="s">
        <v>1183</v>
      </c>
      <c r="C1155" s="12">
        <v>13859.0</v>
      </c>
      <c r="D1155" s="11" t="str">
        <f t="shared" si="1"/>
        <v> </v>
      </c>
      <c r="E1155" s="11" t="str">
        <f t="shared" si="2"/>
        <v> </v>
      </c>
    </row>
    <row r="1156" ht="15.75" customHeight="1">
      <c r="A1156" s="11">
        <v>11921.0</v>
      </c>
      <c r="B1156" s="11" t="s">
        <v>1184</v>
      </c>
      <c r="C1156" s="12">
        <v>20656.0</v>
      </c>
      <c r="D1156" s="11" t="str">
        <f t="shared" si="1"/>
        <v> </v>
      </c>
      <c r="E1156" s="11" t="str">
        <f t="shared" si="2"/>
        <v> </v>
      </c>
    </row>
    <row r="1157" ht="15.75" customHeight="1">
      <c r="A1157" s="11">
        <v>11924.0</v>
      </c>
      <c r="B1157" s="11" t="s">
        <v>1185</v>
      </c>
      <c r="C1157" s="12">
        <v>30878.0</v>
      </c>
      <c r="D1157" s="11" t="str">
        <f t="shared" si="1"/>
        <v> </v>
      </c>
      <c r="E1157" s="11" t="str">
        <f t="shared" si="2"/>
        <v> </v>
      </c>
    </row>
    <row r="1158" ht="15.75" customHeight="1">
      <c r="A1158" s="11">
        <v>11925.0</v>
      </c>
      <c r="B1158" s="11" t="s">
        <v>1186</v>
      </c>
      <c r="C1158" s="12">
        <v>21786.0</v>
      </c>
      <c r="D1158" s="11" t="str">
        <f t="shared" si="1"/>
        <v> </v>
      </c>
      <c r="E1158" s="11" t="str">
        <f t="shared" si="2"/>
        <v> </v>
      </c>
    </row>
    <row r="1159" ht="15.75" customHeight="1">
      <c r="A1159" s="11">
        <v>11930.0</v>
      </c>
      <c r="B1159" s="11" t="s">
        <v>1187</v>
      </c>
      <c r="C1159" s="12">
        <v>13375.0</v>
      </c>
      <c r="D1159" s="11" t="str">
        <f t="shared" si="1"/>
        <v> </v>
      </c>
      <c r="E1159" s="11" t="str">
        <f t="shared" si="2"/>
        <v> </v>
      </c>
    </row>
    <row r="1160" ht="15.75" customHeight="1">
      <c r="A1160" s="11">
        <v>11931.0</v>
      </c>
      <c r="B1160" s="11" t="s">
        <v>1188</v>
      </c>
      <c r="C1160" s="12">
        <v>22360.0</v>
      </c>
      <c r="D1160" s="11" t="str">
        <f t="shared" si="1"/>
        <v> </v>
      </c>
      <c r="E1160" s="11" t="str">
        <f t="shared" si="2"/>
        <v> </v>
      </c>
    </row>
    <row r="1161" ht="15.75" customHeight="1">
      <c r="A1161" s="11">
        <v>11933.0</v>
      </c>
      <c r="B1161" s="11" t="s">
        <v>1189</v>
      </c>
      <c r="C1161" s="12">
        <v>26960.0</v>
      </c>
      <c r="D1161" s="11" t="str">
        <f t="shared" si="1"/>
        <v> </v>
      </c>
      <c r="E1161" s="11" t="str">
        <f t="shared" si="2"/>
        <v> </v>
      </c>
    </row>
    <row r="1162" ht="15.75" customHeight="1">
      <c r="A1162" s="11">
        <v>11937.0</v>
      </c>
      <c r="B1162" s="11" t="s">
        <v>1190</v>
      </c>
      <c r="C1162" s="12">
        <v>21616.0</v>
      </c>
      <c r="D1162" s="11" t="str">
        <f t="shared" si="1"/>
        <v> </v>
      </c>
      <c r="E1162" s="11" t="str">
        <f t="shared" si="2"/>
        <v> </v>
      </c>
    </row>
    <row r="1163" ht="15.75" customHeight="1">
      <c r="A1163" s="11">
        <v>11938.0</v>
      </c>
      <c r="B1163" s="11" t="s">
        <v>1191</v>
      </c>
      <c r="C1163" s="12">
        <v>19845.0</v>
      </c>
      <c r="D1163" s="11" t="str">
        <f t="shared" si="1"/>
        <v> </v>
      </c>
      <c r="E1163" s="11" t="str">
        <f t="shared" si="2"/>
        <v> </v>
      </c>
    </row>
    <row r="1164" ht="15.75" customHeight="1">
      <c r="A1164" s="11">
        <v>11939.0</v>
      </c>
      <c r="B1164" s="11" t="s">
        <v>1192</v>
      </c>
      <c r="C1164" s="12">
        <v>19261.0</v>
      </c>
      <c r="D1164" s="11" t="str">
        <f t="shared" si="1"/>
        <v> </v>
      </c>
      <c r="E1164" s="11" t="str">
        <f t="shared" si="2"/>
        <v> </v>
      </c>
    </row>
    <row r="1165" ht="15.75" customHeight="1">
      <c r="A1165" s="11">
        <v>11940.0</v>
      </c>
      <c r="B1165" s="11" t="s">
        <v>1193</v>
      </c>
      <c r="C1165" s="12">
        <v>20958.0</v>
      </c>
      <c r="D1165" s="11" t="str">
        <f t="shared" si="1"/>
        <v> </v>
      </c>
      <c r="E1165" s="11" t="str">
        <f t="shared" si="2"/>
        <v> </v>
      </c>
    </row>
    <row r="1166" ht="15.75" customHeight="1">
      <c r="A1166" s="11">
        <v>11945.0</v>
      </c>
      <c r="B1166" s="11" t="s">
        <v>1194</v>
      </c>
      <c r="C1166" s="12">
        <v>23287.0</v>
      </c>
      <c r="D1166" s="11" t="str">
        <f t="shared" si="1"/>
        <v> </v>
      </c>
      <c r="E1166" s="11" t="str">
        <f t="shared" si="2"/>
        <v> </v>
      </c>
    </row>
    <row r="1167" ht="15.75" customHeight="1">
      <c r="A1167" s="11">
        <v>11946.0</v>
      </c>
      <c r="B1167" s="11" t="s">
        <v>1195</v>
      </c>
      <c r="C1167" s="12">
        <v>31123.0</v>
      </c>
      <c r="D1167" s="11" t="str">
        <f t="shared" si="1"/>
        <v> </v>
      </c>
      <c r="E1167" s="11" t="str">
        <f t="shared" si="2"/>
        <v> </v>
      </c>
    </row>
    <row r="1168" ht="15.75" customHeight="1">
      <c r="A1168" s="11">
        <v>11947.0</v>
      </c>
      <c r="B1168" s="11" t="s">
        <v>1196</v>
      </c>
      <c r="C1168" s="12">
        <v>15577.0</v>
      </c>
      <c r="D1168" s="11" t="str">
        <f t="shared" si="1"/>
        <v> </v>
      </c>
      <c r="E1168" s="11" t="str">
        <f t="shared" si="2"/>
        <v> </v>
      </c>
    </row>
    <row r="1169" ht="15.75" customHeight="1">
      <c r="A1169" s="11">
        <v>11951.0</v>
      </c>
      <c r="B1169" s="11" t="s">
        <v>1197</v>
      </c>
      <c r="C1169" s="12">
        <v>29813.0</v>
      </c>
      <c r="D1169" s="11" t="str">
        <f t="shared" si="1"/>
        <v> </v>
      </c>
      <c r="E1169" s="11" t="str">
        <f t="shared" si="2"/>
        <v> </v>
      </c>
    </row>
    <row r="1170" ht="15.75" customHeight="1">
      <c r="A1170" s="11">
        <v>11953.0</v>
      </c>
      <c r="B1170" s="11" t="s">
        <v>1198</v>
      </c>
      <c r="C1170" s="12">
        <v>34763.0</v>
      </c>
      <c r="D1170" s="11" t="str">
        <f t="shared" si="1"/>
        <v> </v>
      </c>
      <c r="E1170" s="11" t="str">
        <f t="shared" si="2"/>
        <v> </v>
      </c>
    </row>
    <row r="1171" ht="15.75" customHeight="1">
      <c r="A1171" s="11">
        <v>11954.0</v>
      </c>
      <c r="B1171" s="11" t="s">
        <v>1199</v>
      </c>
      <c r="C1171" s="12">
        <v>21485.0</v>
      </c>
      <c r="D1171" s="11" t="str">
        <f t="shared" si="1"/>
        <v> </v>
      </c>
      <c r="E1171" s="11" t="str">
        <f t="shared" si="2"/>
        <v> </v>
      </c>
    </row>
    <row r="1172" ht="15.75" customHeight="1">
      <c r="A1172" s="11">
        <v>11957.0</v>
      </c>
      <c r="B1172" s="11" t="s">
        <v>1200</v>
      </c>
      <c r="C1172" s="12">
        <v>28564.0</v>
      </c>
      <c r="D1172" s="11" t="str">
        <f t="shared" si="1"/>
        <v> </v>
      </c>
      <c r="E1172" s="11" t="str">
        <f t="shared" si="2"/>
        <v> </v>
      </c>
    </row>
    <row r="1173" ht="15.75" customHeight="1">
      <c r="A1173" s="11">
        <v>11959.0</v>
      </c>
      <c r="B1173" s="11" t="s">
        <v>1201</v>
      </c>
      <c r="C1173" s="12">
        <v>15434.0</v>
      </c>
      <c r="D1173" s="11" t="str">
        <f t="shared" si="1"/>
        <v> </v>
      </c>
      <c r="E1173" s="11" t="str">
        <f t="shared" si="2"/>
        <v> </v>
      </c>
    </row>
    <row r="1174" ht="15.75" customHeight="1">
      <c r="A1174" s="11">
        <v>11964.0</v>
      </c>
      <c r="B1174" s="11" t="s">
        <v>1202</v>
      </c>
      <c r="C1174" s="12">
        <v>32262.0</v>
      </c>
      <c r="D1174" s="11" t="str">
        <f t="shared" si="1"/>
        <v> </v>
      </c>
      <c r="E1174" s="11" t="str">
        <f t="shared" si="2"/>
        <v> </v>
      </c>
    </row>
    <row r="1175" ht="15.75" customHeight="1">
      <c r="A1175" s="11">
        <v>11970.0</v>
      </c>
      <c r="B1175" s="11" t="s">
        <v>1203</v>
      </c>
      <c r="C1175" s="12">
        <v>22449.0</v>
      </c>
      <c r="D1175" s="11" t="str">
        <f t="shared" si="1"/>
        <v> </v>
      </c>
      <c r="E1175" s="11" t="str">
        <f t="shared" si="2"/>
        <v> </v>
      </c>
    </row>
    <row r="1176" ht="15.75" customHeight="1">
      <c r="A1176" s="11">
        <v>11972.0</v>
      </c>
      <c r="B1176" s="11" t="s">
        <v>1204</v>
      </c>
      <c r="C1176" s="12">
        <v>16559.0</v>
      </c>
      <c r="D1176" s="11" t="str">
        <f t="shared" si="1"/>
        <v> </v>
      </c>
      <c r="E1176" s="11" t="str">
        <f t="shared" si="2"/>
        <v> </v>
      </c>
    </row>
    <row r="1177" ht="15.75" customHeight="1">
      <c r="A1177" s="11">
        <v>11974.0</v>
      </c>
      <c r="B1177" s="11" t="s">
        <v>1205</v>
      </c>
      <c r="C1177" s="12">
        <v>17494.0</v>
      </c>
      <c r="D1177" s="11" t="str">
        <f t="shared" si="1"/>
        <v> </v>
      </c>
      <c r="E1177" s="11" t="str">
        <f t="shared" si="2"/>
        <v> </v>
      </c>
    </row>
    <row r="1178" ht="15.75" customHeight="1">
      <c r="A1178" s="11">
        <v>11976.0</v>
      </c>
      <c r="B1178" s="11" t="s">
        <v>1206</v>
      </c>
      <c r="C1178" s="12">
        <v>29572.0</v>
      </c>
      <c r="D1178" s="11" t="str">
        <f t="shared" si="1"/>
        <v> </v>
      </c>
      <c r="E1178" s="11" t="str">
        <f t="shared" si="2"/>
        <v> </v>
      </c>
    </row>
    <row r="1179" ht="15.75" customHeight="1">
      <c r="A1179" s="11">
        <v>11977.0</v>
      </c>
      <c r="B1179" s="11" t="s">
        <v>1207</v>
      </c>
      <c r="C1179" s="12">
        <v>20405.0</v>
      </c>
      <c r="D1179" s="11" t="str">
        <f t="shared" si="1"/>
        <v> </v>
      </c>
      <c r="E1179" s="11" t="str">
        <f t="shared" si="2"/>
        <v> </v>
      </c>
    </row>
    <row r="1180" ht="15.75" customHeight="1">
      <c r="A1180" s="11">
        <v>11979.0</v>
      </c>
      <c r="B1180" s="11" t="s">
        <v>1208</v>
      </c>
      <c r="C1180" s="12">
        <v>23186.0</v>
      </c>
      <c r="D1180" s="11" t="str">
        <f t="shared" si="1"/>
        <v> </v>
      </c>
      <c r="E1180" s="11" t="str">
        <f t="shared" si="2"/>
        <v> </v>
      </c>
    </row>
    <row r="1181" ht="15.75" customHeight="1">
      <c r="A1181" s="11">
        <v>11981.0</v>
      </c>
      <c r="B1181" s="11" t="s">
        <v>1209</v>
      </c>
      <c r="C1181" s="12">
        <v>24935.0</v>
      </c>
      <c r="D1181" s="11" t="str">
        <f t="shared" si="1"/>
        <v> </v>
      </c>
      <c r="E1181" s="11" t="str">
        <f t="shared" si="2"/>
        <v> </v>
      </c>
    </row>
    <row r="1182" ht="15.75" customHeight="1">
      <c r="A1182" s="11">
        <v>11983.0</v>
      </c>
      <c r="B1182" s="11" t="s">
        <v>1210</v>
      </c>
      <c r="C1182" s="12">
        <v>24183.0</v>
      </c>
      <c r="D1182" s="11" t="str">
        <f t="shared" si="1"/>
        <v> </v>
      </c>
      <c r="E1182" s="11" t="str">
        <f t="shared" si="2"/>
        <v> </v>
      </c>
    </row>
    <row r="1183" ht="15.75" customHeight="1">
      <c r="A1183" s="11">
        <v>11984.0</v>
      </c>
      <c r="B1183" s="11" t="s">
        <v>1211</v>
      </c>
      <c r="C1183" s="12">
        <v>21450.0</v>
      </c>
      <c r="D1183" s="11" t="str">
        <f t="shared" si="1"/>
        <v> </v>
      </c>
      <c r="E1183" s="11" t="str">
        <f t="shared" si="2"/>
        <v> </v>
      </c>
    </row>
    <row r="1184" ht="15.75" customHeight="1">
      <c r="A1184" s="11">
        <v>11986.0</v>
      </c>
      <c r="B1184" s="11" t="s">
        <v>1212</v>
      </c>
      <c r="C1184" s="12">
        <v>17008.0</v>
      </c>
      <c r="D1184" s="11" t="str">
        <f t="shared" si="1"/>
        <v> </v>
      </c>
      <c r="E1184" s="11" t="str">
        <f t="shared" si="2"/>
        <v> </v>
      </c>
    </row>
    <row r="1185" ht="15.75" customHeight="1">
      <c r="A1185" s="11">
        <v>11988.0</v>
      </c>
      <c r="B1185" s="11" t="s">
        <v>1213</v>
      </c>
      <c r="C1185" s="12">
        <v>21649.0</v>
      </c>
      <c r="D1185" s="11" t="str">
        <f t="shared" si="1"/>
        <v> </v>
      </c>
      <c r="E1185" s="11" t="str">
        <f t="shared" si="2"/>
        <v> </v>
      </c>
    </row>
    <row r="1186" ht="15.75" customHeight="1">
      <c r="A1186" s="11">
        <v>11989.0</v>
      </c>
      <c r="B1186" s="11" t="s">
        <v>1214</v>
      </c>
      <c r="C1186" s="12">
        <v>24467.0</v>
      </c>
      <c r="D1186" s="11" t="str">
        <f t="shared" si="1"/>
        <v> </v>
      </c>
      <c r="E1186" s="11" t="str">
        <f t="shared" si="2"/>
        <v> </v>
      </c>
    </row>
    <row r="1187" ht="15.75" customHeight="1">
      <c r="A1187" s="11">
        <v>11990.0</v>
      </c>
      <c r="B1187" s="11" t="s">
        <v>1215</v>
      </c>
      <c r="C1187" s="12">
        <v>12766.0</v>
      </c>
      <c r="D1187" s="11" t="str">
        <f t="shared" si="1"/>
        <v> </v>
      </c>
      <c r="E1187" s="11" t="str">
        <f t="shared" si="2"/>
        <v> </v>
      </c>
    </row>
    <row r="1188" ht="15.75" customHeight="1">
      <c r="A1188" s="11">
        <v>11994.0</v>
      </c>
      <c r="B1188" s="11" t="s">
        <v>1216</v>
      </c>
      <c r="C1188" s="12">
        <v>34036.0</v>
      </c>
      <c r="D1188" s="11" t="str">
        <f t="shared" si="1"/>
        <v> </v>
      </c>
      <c r="E1188" s="11" t="str">
        <f t="shared" si="2"/>
        <v> </v>
      </c>
    </row>
    <row r="1189" ht="15.75" customHeight="1">
      <c r="A1189" s="11">
        <v>11996.0</v>
      </c>
      <c r="B1189" s="11" t="s">
        <v>1217</v>
      </c>
      <c r="C1189" s="12">
        <v>30099.0</v>
      </c>
      <c r="D1189" s="11" t="str">
        <f t="shared" si="1"/>
        <v> </v>
      </c>
      <c r="E1189" s="11" t="str">
        <f t="shared" si="2"/>
        <v> </v>
      </c>
    </row>
    <row r="1190" ht="15.75" customHeight="1">
      <c r="A1190" s="11">
        <v>11998.0</v>
      </c>
      <c r="B1190" s="11" t="s">
        <v>1218</v>
      </c>
      <c r="C1190" s="12">
        <v>12569.0</v>
      </c>
      <c r="D1190" s="11" t="str">
        <f t="shared" si="1"/>
        <v> </v>
      </c>
      <c r="E1190" s="11" t="str">
        <f t="shared" si="2"/>
        <v> </v>
      </c>
    </row>
    <row r="1191" ht="15.75" customHeight="1">
      <c r="A1191" s="11">
        <v>11999.0</v>
      </c>
      <c r="B1191" s="11" t="s">
        <v>1219</v>
      </c>
      <c r="C1191" s="12">
        <v>18431.0</v>
      </c>
      <c r="D1191" s="11" t="str">
        <f t="shared" si="1"/>
        <v> </v>
      </c>
      <c r="E1191" s="11" t="str">
        <f t="shared" si="2"/>
        <v> </v>
      </c>
    </row>
    <row r="1192" ht="15.75" customHeight="1">
      <c r="A1192" s="11">
        <v>12000.0</v>
      </c>
      <c r="B1192" s="11" t="s">
        <v>1220</v>
      </c>
      <c r="C1192" s="12">
        <v>13704.0</v>
      </c>
      <c r="D1192" s="11" t="str">
        <f t="shared" si="1"/>
        <v>Repeat</v>
      </c>
      <c r="E1192" s="11" t="str">
        <f t="shared" si="2"/>
        <v> </v>
      </c>
    </row>
    <row r="1193" ht="15.75" customHeight="1">
      <c r="A1193" s="11">
        <v>12001.0</v>
      </c>
      <c r="B1193" s="11" t="s">
        <v>1221</v>
      </c>
      <c r="C1193" s="12">
        <v>29034.0</v>
      </c>
      <c r="D1193" s="11" t="str">
        <f t="shared" si="1"/>
        <v> </v>
      </c>
      <c r="E1193" s="11" t="str">
        <f t="shared" si="2"/>
        <v> </v>
      </c>
    </row>
    <row r="1194" ht="15.75" customHeight="1">
      <c r="A1194" s="11">
        <v>12002.0</v>
      </c>
      <c r="B1194" s="11" t="s">
        <v>1222</v>
      </c>
      <c r="C1194" s="12">
        <v>20279.0</v>
      </c>
      <c r="D1194" s="11" t="str">
        <f t="shared" si="1"/>
        <v> </v>
      </c>
      <c r="E1194" s="11" t="str">
        <f t="shared" si="2"/>
        <v> </v>
      </c>
    </row>
    <row r="1195" ht="15.75" customHeight="1">
      <c r="A1195" s="11">
        <v>12005.0</v>
      </c>
      <c r="B1195" s="11" t="s">
        <v>1223</v>
      </c>
      <c r="C1195" s="12">
        <v>11958.0</v>
      </c>
      <c r="D1195" s="11" t="str">
        <f t="shared" si="1"/>
        <v> </v>
      </c>
      <c r="E1195" s="11" t="str">
        <f t="shared" si="2"/>
        <v> </v>
      </c>
    </row>
    <row r="1196" ht="15.75" customHeight="1">
      <c r="A1196" s="11">
        <v>12006.0</v>
      </c>
      <c r="B1196" s="11" t="s">
        <v>1224</v>
      </c>
      <c r="C1196" s="12">
        <v>22151.0</v>
      </c>
      <c r="D1196" s="11" t="str">
        <f t="shared" si="1"/>
        <v> </v>
      </c>
      <c r="E1196" s="11" t="str">
        <f t="shared" si="2"/>
        <v> </v>
      </c>
    </row>
    <row r="1197" ht="15.75" customHeight="1">
      <c r="A1197" s="11">
        <v>12008.0</v>
      </c>
      <c r="B1197" s="11" t="s">
        <v>1225</v>
      </c>
      <c r="C1197" s="12">
        <v>22902.0</v>
      </c>
      <c r="D1197" s="11" t="str">
        <f t="shared" si="1"/>
        <v> </v>
      </c>
      <c r="E1197" s="11" t="str">
        <f t="shared" si="2"/>
        <v> </v>
      </c>
    </row>
    <row r="1198" ht="15.75" customHeight="1">
      <c r="A1198" s="11">
        <v>12011.0</v>
      </c>
      <c r="B1198" s="11" t="s">
        <v>1226</v>
      </c>
      <c r="C1198" s="12">
        <v>24765.0</v>
      </c>
      <c r="D1198" s="11" t="str">
        <f t="shared" si="1"/>
        <v> </v>
      </c>
      <c r="E1198" s="11" t="str">
        <f t="shared" si="2"/>
        <v> </v>
      </c>
    </row>
    <row r="1199" ht="15.75" customHeight="1">
      <c r="A1199" s="11">
        <v>12012.0</v>
      </c>
      <c r="B1199" s="11" t="s">
        <v>1227</v>
      </c>
      <c r="C1199" s="12">
        <v>18130.0</v>
      </c>
      <c r="D1199" s="11" t="str">
        <f t="shared" si="1"/>
        <v> </v>
      </c>
      <c r="E1199" s="11" t="str">
        <f t="shared" si="2"/>
        <v> </v>
      </c>
    </row>
    <row r="1200" ht="15.75" customHeight="1">
      <c r="A1200" s="11">
        <v>12016.0</v>
      </c>
      <c r="B1200" s="11" t="s">
        <v>1228</v>
      </c>
      <c r="C1200" s="12">
        <v>16439.0</v>
      </c>
      <c r="D1200" s="11" t="str">
        <f t="shared" si="1"/>
        <v> </v>
      </c>
      <c r="E1200" s="11" t="str">
        <f t="shared" si="2"/>
        <v> </v>
      </c>
    </row>
    <row r="1201" ht="15.75" customHeight="1">
      <c r="A1201" s="11">
        <v>12017.0</v>
      </c>
      <c r="B1201" s="11" t="s">
        <v>1229</v>
      </c>
      <c r="C1201" s="12">
        <v>34225.0</v>
      </c>
      <c r="D1201" s="11" t="str">
        <f t="shared" si="1"/>
        <v> </v>
      </c>
      <c r="E1201" s="11" t="str">
        <f t="shared" si="2"/>
        <v> </v>
      </c>
    </row>
    <row r="1202" ht="15.75" customHeight="1">
      <c r="A1202" s="11">
        <v>12019.0</v>
      </c>
      <c r="B1202" s="11" t="s">
        <v>1230</v>
      </c>
      <c r="C1202" s="12">
        <v>30308.0</v>
      </c>
      <c r="D1202" s="11" t="str">
        <f t="shared" si="1"/>
        <v> </v>
      </c>
      <c r="E1202" s="11" t="str">
        <f t="shared" si="2"/>
        <v> </v>
      </c>
    </row>
    <row r="1203" ht="15.75" customHeight="1">
      <c r="A1203" s="11">
        <v>12021.0</v>
      </c>
      <c r="B1203" s="11" t="s">
        <v>1231</v>
      </c>
      <c r="C1203" s="12">
        <v>18975.0</v>
      </c>
      <c r="D1203" s="11" t="str">
        <f t="shared" si="1"/>
        <v> </v>
      </c>
      <c r="E1203" s="11" t="str">
        <f t="shared" si="2"/>
        <v> </v>
      </c>
    </row>
    <row r="1204" ht="15.75" customHeight="1">
      <c r="A1204" s="11">
        <v>12022.0</v>
      </c>
      <c r="B1204" s="11" t="s">
        <v>1232</v>
      </c>
      <c r="C1204" s="12">
        <v>19386.0</v>
      </c>
      <c r="D1204" s="11" t="str">
        <f t="shared" si="1"/>
        <v> </v>
      </c>
      <c r="E1204" s="11" t="str">
        <f t="shared" si="2"/>
        <v> </v>
      </c>
    </row>
    <row r="1205" ht="15.75" customHeight="1">
      <c r="A1205" s="11">
        <v>12026.0</v>
      </c>
      <c r="B1205" s="11" t="s">
        <v>1233</v>
      </c>
      <c r="C1205" s="12">
        <v>16910.0</v>
      </c>
      <c r="D1205" s="11" t="str">
        <f t="shared" si="1"/>
        <v> </v>
      </c>
      <c r="E1205" s="11" t="str">
        <f t="shared" si="2"/>
        <v> </v>
      </c>
    </row>
    <row r="1206" ht="15.75" customHeight="1">
      <c r="A1206" s="11">
        <v>12027.0</v>
      </c>
      <c r="B1206" s="11" t="s">
        <v>1234</v>
      </c>
      <c r="C1206" s="12">
        <v>23428.0</v>
      </c>
      <c r="D1206" s="11" t="str">
        <f t="shared" si="1"/>
        <v> </v>
      </c>
      <c r="E1206" s="11" t="str">
        <f t="shared" si="2"/>
        <v> </v>
      </c>
    </row>
    <row r="1207" ht="15.75" customHeight="1">
      <c r="A1207" s="11">
        <v>12030.0</v>
      </c>
      <c r="B1207" s="11" t="s">
        <v>1235</v>
      </c>
      <c r="C1207" s="12">
        <v>30621.0</v>
      </c>
      <c r="D1207" s="11" t="str">
        <f t="shared" si="1"/>
        <v> </v>
      </c>
      <c r="E1207" s="11" t="str">
        <f t="shared" si="2"/>
        <v> </v>
      </c>
    </row>
    <row r="1208" ht="15.75" customHeight="1">
      <c r="A1208" s="11">
        <v>12031.0</v>
      </c>
      <c r="B1208" s="11" t="s">
        <v>1236</v>
      </c>
      <c r="C1208" s="12">
        <v>31495.0</v>
      </c>
      <c r="D1208" s="11" t="str">
        <f t="shared" si="1"/>
        <v> </v>
      </c>
      <c r="E1208" s="11" t="str">
        <f t="shared" si="2"/>
        <v> </v>
      </c>
    </row>
    <row r="1209" ht="15.75" customHeight="1">
      <c r="A1209" s="11">
        <v>12033.0</v>
      </c>
      <c r="B1209" s="11" t="s">
        <v>1237</v>
      </c>
      <c r="C1209" s="12">
        <v>24938.0</v>
      </c>
      <c r="D1209" s="11" t="str">
        <f t="shared" si="1"/>
        <v> </v>
      </c>
      <c r="E1209" s="11" t="str">
        <f t="shared" si="2"/>
        <v> </v>
      </c>
    </row>
    <row r="1210" ht="15.75" customHeight="1">
      <c r="A1210" s="11">
        <v>12036.0</v>
      </c>
      <c r="B1210" s="11" t="s">
        <v>1238</v>
      </c>
      <c r="C1210" s="12">
        <v>34287.0</v>
      </c>
      <c r="D1210" s="11" t="str">
        <f t="shared" si="1"/>
        <v> </v>
      </c>
      <c r="E1210" s="11" t="str">
        <f t="shared" si="2"/>
        <v> </v>
      </c>
    </row>
    <row r="1211" ht="15.75" customHeight="1">
      <c r="A1211" s="11">
        <v>12038.0</v>
      </c>
      <c r="B1211" s="11" t="s">
        <v>1239</v>
      </c>
      <c r="C1211" s="12">
        <v>23286.0</v>
      </c>
      <c r="D1211" s="11" t="str">
        <f t="shared" si="1"/>
        <v> </v>
      </c>
      <c r="E1211" s="11" t="str">
        <f t="shared" si="2"/>
        <v> </v>
      </c>
    </row>
    <row r="1212" ht="15.75" customHeight="1">
      <c r="A1212" s="11">
        <v>12039.0</v>
      </c>
      <c r="B1212" s="11" t="s">
        <v>1240</v>
      </c>
      <c r="C1212" s="12">
        <v>12724.0</v>
      </c>
      <c r="D1212" s="11" t="str">
        <f t="shared" si="1"/>
        <v> </v>
      </c>
      <c r="E1212" s="11" t="str">
        <f t="shared" si="2"/>
        <v> </v>
      </c>
    </row>
    <row r="1213" ht="15.75" customHeight="1">
      <c r="A1213" s="11">
        <v>12041.0</v>
      </c>
      <c r="B1213" s="11" t="s">
        <v>1241</v>
      </c>
      <c r="C1213" s="12">
        <v>22569.0</v>
      </c>
      <c r="D1213" s="11" t="str">
        <f t="shared" si="1"/>
        <v> </v>
      </c>
      <c r="E1213" s="11" t="str">
        <f t="shared" si="2"/>
        <v> </v>
      </c>
    </row>
    <row r="1214" ht="15.75" customHeight="1">
      <c r="A1214" s="11">
        <v>12043.0</v>
      </c>
      <c r="B1214" s="11" t="s">
        <v>1242</v>
      </c>
      <c r="C1214" s="12">
        <v>17105.0</v>
      </c>
      <c r="D1214" s="11" t="str">
        <f t="shared" si="1"/>
        <v> </v>
      </c>
      <c r="E1214" s="11" t="str">
        <f t="shared" si="2"/>
        <v> </v>
      </c>
    </row>
    <row r="1215" ht="15.75" customHeight="1">
      <c r="A1215" s="11">
        <v>12047.0</v>
      </c>
      <c r="B1215" s="11" t="s">
        <v>1243</v>
      </c>
      <c r="C1215" s="12">
        <v>24520.0</v>
      </c>
      <c r="D1215" s="11" t="str">
        <f t="shared" si="1"/>
        <v> </v>
      </c>
      <c r="E1215" s="11" t="str">
        <f t="shared" si="2"/>
        <v> </v>
      </c>
    </row>
    <row r="1216" ht="15.75" customHeight="1">
      <c r="A1216" s="11">
        <v>12048.0</v>
      </c>
      <c r="B1216" s="11" t="s">
        <v>1244</v>
      </c>
      <c r="C1216" s="12">
        <v>35690.0</v>
      </c>
      <c r="D1216" s="11" t="str">
        <f t="shared" si="1"/>
        <v> </v>
      </c>
      <c r="E1216" s="11" t="str">
        <f t="shared" si="2"/>
        <v> </v>
      </c>
    </row>
    <row r="1217" ht="15.75" customHeight="1">
      <c r="A1217" s="11">
        <v>12049.0</v>
      </c>
      <c r="B1217" s="11" t="s">
        <v>1245</v>
      </c>
      <c r="C1217" s="12">
        <v>24229.0</v>
      </c>
      <c r="D1217" s="11" t="str">
        <f t="shared" si="1"/>
        <v> </v>
      </c>
      <c r="E1217" s="11" t="str">
        <f t="shared" si="2"/>
        <v> </v>
      </c>
    </row>
    <row r="1218" ht="15.75" customHeight="1">
      <c r="A1218" s="11">
        <v>12054.0</v>
      </c>
      <c r="B1218" s="11" t="s">
        <v>1246</v>
      </c>
      <c r="C1218" s="12">
        <v>17607.0</v>
      </c>
      <c r="D1218" s="11" t="str">
        <f t="shared" si="1"/>
        <v> </v>
      </c>
      <c r="E1218" s="11" t="str">
        <f t="shared" si="2"/>
        <v> </v>
      </c>
    </row>
    <row r="1219" ht="15.75" customHeight="1">
      <c r="A1219" s="11">
        <v>12055.0</v>
      </c>
      <c r="B1219" s="11" t="s">
        <v>1247</v>
      </c>
      <c r="C1219" s="12">
        <v>31305.0</v>
      </c>
      <c r="D1219" s="11" t="str">
        <f t="shared" si="1"/>
        <v> </v>
      </c>
      <c r="E1219" s="11" t="str">
        <f t="shared" si="2"/>
        <v> </v>
      </c>
    </row>
    <row r="1220" ht="15.75" customHeight="1">
      <c r="A1220" s="11">
        <v>12057.0</v>
      </c>
      <c r="B1220" s="11" t="s">
        <v>1248</v>
      </c>
      <c r="C1220" s="12">
        <v>33956.0</v>
      </c>
      <c r="D1220" s="11" t="str">
        <f t="shared" si="1"/>
        <v> </v>
      </c>
      <c r="E1220" s="11" t="str">
        <f t="shared" si="2"/>
        <v> </v>
      </c>
    </row>
    <row r="1221" ht="15.75" customHeight="1">
      <c r="A1221" s="11">
        <v>12058.0</v>
      </c>
      <c r="B1221" s="11" t="s">
        <v>1249</v>
      </c>
      <c r="C1221" s="12">
        <v>18281.0</v>
      </c>
      <c r="D1221" s="11" t="str">
        <f t="shared" si="1"/>
        <v>Repeat</v>
      </c>
      <c r="E1221" s="11" t="str">
        <f t="shared" si="2"/>
        <v> </v>
      </c>
    </row>
    <row r="1222" ht="15.75" customHeight="1">
      <c r="A1222" s="11">
        <v>12062.0</v>
      </c>
      <c r="B1222" s="11" t="s">
        <v>1250</v>
      </c>
      <c r="C1222" s="12">
        <v>11801.0</v>
      </c>
      <c r="D1222" s="11" t="str">
        <f t="shared" si="1"/>
        <v> </v>
      </c>
      <c r="E1222" s="11" t="str">
        <f t="shared" si="2"/>
        <v> </v>
      </c>
    </row>
    <row r="1223" ht="15.75" customHeight="1">
      <c r="A1223" s="11">
        <v>12063.0</v>
      </c>
      <c r="B1223" s="11" t="s">
        <v>1251</v>
      </c>
      <c r="C1223" s="12">
        <v>29580.0</v>
      </c>
      <c r="D1223" s="11" t="str">
        <f t="shared" si="1"/>
        <v> </v>
      </c>
      <c r="E1223" s="11" t="str">
        <f t="shared" si="2"/>
        <v> </v>
      </c>
    </row>
    <row r="1224" ht="15.75" customHeight="1">
      <c r="A1224" s="11">
        <v>12064.0</v>
      </c>
      <c r="B1224" s="11" t="s">
        <v>1252</v>
      </c>
      <c r="C1224" s="12">
        <v>28482.0</v>
      </c>
      <c r="D1224" s="11" t="str">
        <f t="shared" si="1"/>
        <v> </v>
      </c>
      <c r="E1224" s="11" t="str">
        <f t="shared" si="2"/>
        <v> </v>
      </c>
    </row>
    <row r="1225" ht="15.75" customHeight="1">
      <c r="A1225" s="11">
        <v>12066.0</v>
      </c>
      <c r="B1225" s="11" t="s">
        <v>1253</v>
      </c>
      <c r="C1225" s="12">
        <v>21106.0</v>
      </c>
      <c r="D1225" s="11" t="str">
        <f t="shared" si="1"/>
        <v> </v>
      </c>
      <c r="E1225" s="11" t="str">
        <f t="shared" si="2"/>
        <v> </v>
      </c>
    </row>
    <row r="1226" ht="15.75" customHeight="1">
      <c r="A1226" s="11">
        <v>12070.0</v>
      </c>
      <c r="B1226" s="11" t="s">
        <v>1254</v>
      </c>
      <c r="C1226" s="12">
        <v>28810.0</v>
      </c>
      <c r="D1226" s="11" t="str">
        <f t="shared" si="1"/>
        <v> </v>
      </c>
      <c r="E1226" s="11" t="str">
        <f t="shared" si="2"/>
        <v> </v>
      </c>
    </row>
    <row r="1227" ht="15.75" customHeight="1">
      <c r="A1227" s="11">
        <v>12071.0</v>
      </c>
      <c r="B1227" s="11" t="s">
        <v>1255</v>
      </c>
      <c r="C1227" s="12">
        <v>21599.0</v>
      </c>
      <c r="D1227" s="11" t="str">
        <f t="shared" si="1"/>
        <v> </v>
      </c>
      <c r="E1227" s="11" t="str">
        <f t="shared" si="2"/>
        <v> </v>
      </c>
    </row>
    <row r="1228" ht="15.75" customHeight="1">
      <c r="A1228" s="11">
        <v>12072.0</v>
      </c>
      <c r="B1228" s="11" t="s">
        <v>1256</v>
      </c>
      <c r="C1228" s="12">
        <v>28487.0</v>
      </c>
      <c r="D1228" s="11" t="str">
        <f t="shared" si="1"/>
        <v>Repeat</v>
      </c>
      <c r="E1228" s="11" t="str">
        <f t="shared" si="2"/>
        <v> </v>
      </c>
    </row>
    <row r="1229" ht="15.75" customHeight="1">
      <c r="A1229" s="11">
        <v>12073.0</v>
      </c>
      <c r="B1229" s="11" t="s">
        <v>1257</v>
      </c>
      <c r="C1229" s="12">
        <v>22343.0</v>
      </c>
      <c r="D1229" s="11" t="str">
        <f t="shared" si="1"/>
        <v> </v>
      </c>
      <c r="E1229" s="11" t="str">
        <f t="shared" si="2"/>
        <v> </v>
      </c>
    </row>
    <row r="1230" ht="15.75" customHeight="1">
      <c r="A1230" s="11">
        <v>12074.0</v>
      </c>
      <c r="B1230" s="11" t="s">
        <v>1258</v>
      </c>
      <c r="C1230" s="12">
        <v>17547.0</v>
      </c>
      <c r="D1230" s="11" t="str">
        <f t="shared" si="1"/>
        <v> </v>
      </c>
      <c r="E1230" s="11" t="str">
        <f t="shared" si="2"/>
        <v> </v>
      </c>
    </row>
    <row r="1231" ht="15.75" customHeight="1">
      <c r="A1231" s="11">
        <v>12075.0</v>
      </c>
      <c r="B1231" s="11" t="s">
        <v>1259</v>
      </c>
      <c r="C1231" s="12">
        <v>24745.0</v>
      </c>
      <c r="D1231" s="11" t="str">
        <f t="shared" si="1"/>
        <v> </v>
      </c>
      <c r="E1231" s="11" t="str">
        <f t="shared" si="2"/>
        <v> </v>
      </c>
    </row>
    <row r="1232" ht="15.75" customHeight="1">
      <c r="A1232" s="11">
        <v>12076.0</v>
      </c>
      <c r="B1232" s="11" t="s">
        <v>1260</v>
      </c>
      <c r="C1232" s="12">
        <v>16057.0</v>
      </c>
      <c r="D1232" s="11" t="str">
        <f t="shared" si="1"/>
        <v> </v>
      </c>
      <c r="E1232" s="11" t="str">
        <f t="shared" si="2"/>
        <v> </v>
      </c>
    </row>
    <row r="1233" ht="15.75" customHeight="1">
      <c r="A1233" s="11">
        <v>12077.0</v>
      </c>
      <c r="B1233" s="11" t="s">
        <v>1261</v>
      </c>
      <c r="C1233" s="12">
        <v>12043.0</v>
      </c>
      <c r="D1233" s="11" t="str">
        <f t="shared" si="1"/>
        <v> </v>
      </c>
      <c r="E1233" s="11" t="str">
        <f t="shared" si="2"/>
        <v> </v>
      </c>
    </row>
    <row r="1234" ht="15.75" customHeight="1">
      <c r="A1234" s="11">
        <v>12078.0</v>
      </c>
      <c r="B1234" s="11" t="s">
        <v>1262</v>
      </c>
      <c r="C1234" s="12">
        <v>18369.0</v>
      </c>
      <c r="D1234" s="11" t="str">
        <f t="shared" si="1"/>
        <v> </v>
      </c>
      <c r="E1234" s="11" t="str">
        <f t="shared" si="2"/>
        <v> </v>
      </c>
    </row>
    <row r="1235" ht="15.75" customHeight="1">
      <c r="A1235" s="11">
        <v>12082.0</v>
      </c>
      <c r="B1235" s="11" t="s">
        <v>1263</v>
      </c>
      <c r="C1235" s="12">
        <v>22122.0</v>
      </c>
      <c r="D1235" s="11" t="str">
        <f t="shared" si="1"/>
        <v> </v>
      </c>
      <c r="E1235" s="11" t="str">
        <f t="shared" si="2"/>
        <v> </v>
      </c>
    </row>
    <row r="1236" ht="15.75" customHeight="1">
      <c r="A1236" s="11">
        <v>12083.0</v>
      </c>
      <c r="B1236" s="11" t="s">
        <v>1264</v>
      </c>
      <c r="C1236" s="12">
        <v>22041.0</v>
      </c>
      <c r="D1236" s="11" t="str">
        <f t="shared" si="1"/>
        <v> </v>
      </c>
      <c r="E1236" s="11" t="str">
        <f t="shared" si="2"/>
        <v> </v>
      </c>
    </row>
    <row r="1237" ht="15.75" customHeight="1">
      <c r="A1237" s="11">
        <v>12084.0</v>
      </c>
      <c r="B1237" s="11" t="s">
        <v>1265</v>
      </c>
      <c r="C1237" s="12">
        <v>27002.0</v>
      </c>
      <c r="D1237" s="11" t="str">
        <f t="shared" si="1"/>
        <v> </v>
      </c>
      <c r="E1237" s="11" t="str">
        <f t="shared" si="2"/>
        <v> </v>
      </c>
    </row>
    <row r="1238" ht="15.75" customHeight="1">
      <c r="A1238" s="11">
        <v>12085.0</v>
      </c>
      <c r="B1238" s="11" t="s">
        <v>1266</v>
      </c>
      <c r="C1238" s="12">
        <v>17940.0</v>
      </c>
      <c r="D1238" s="11" t="str">
        <f t="shared" si="1"/>
        <v> </v>
      </c>
      <c r="E1238" s="11" t="str">
        <f t="shared" si="2"/>
        <v> </v>
      </c>
    </row>
    <row r="1239" ht="15.75" customHeight="1">
      <c r="A1239" s="11">
        <v>12086.0</v>
      </c>
      <c r="B1239" s="11" t="s">
        <v>1267</v>
      </c>
      <c r="C1239" s="12">
        <v>19327.0</v>
      </c>
      <c r="D1239" s="11" t="str">
        <f t="shared" si="1"/>
        <v> </v>
      </c>
      <c r="E1239" s="11" t="str">
        <f t="shared" si="2"/>
        <v> </v>
      </c>
    </row>
    <row r="1240" ht="15.75" customHeight="1">
      <c r="A1240" s="11">
        <v>12088.0</v>
      </c>
      <c r="B1240" s="11" t="s">
        <v>1268</v>
      </c>
      <c r="C1240" s="12">
        <v>16056.0</v>
      </c>
      <c r="D1240" s="11" t="str">
        <f t="shared" si="1"/>
        <v> </v>
      </c>
      <c r="E1240" s="11" t="str">
        <f t="shared" si="2"/>
        <v> </v>
      </c>
    </row>
    <row r="1241" ht="15.75" customHeight="1">
      <c r="A1241" s="11">
        <v>12095.0</v>
      </c>
      <c r="B1241" s="11" t="s">
        <v>1269</v>
      </c>
      <c r="C1241" s="12">
        <v>25056.0</v>
      </c>
      <c r="D1241" s="11" t="str">
        <f t="shared" si="1"/>
        <v> </v>
      </c>
      <c r="E1241" s="11" t="str">
        <f t="shared" si="2"/>
        <v> </v>
      </c>
    </row>
    <row r="1242" ht="15.75" customHeight="1">
      <c r="A1242" s="11">
        <v>12096.0</v>
      </c>
      <c r="B1242" s="11" t="s">
        <v>1270</v>
      </c>
      <c r="C1242" s="12">
        <v>23971.0</v>
      </c>
      <c r="D1242" s="11" t="str">
        <f t="shared" si="1"/>
        <v> </v>
      </c>
      <c r="E1242" s="11" t="str">
        <f t="shared" si="2"/>
        <v> </v>
      </c>
    </row>
    <row r="1243" ht="15.75" customHeight="1">
      <c r="A1243" s="11">
        <v>12101.0</v>
      </c>
      <c r="B1243" s="11" t="s">
        <v>1271</v>
      </c>
      <c r="C1243" s="12">
        <v>23226.0</v>
      </c>
      <c r="D1243" s="11" t="str">
        <f t="shared" si="1"/>
        <v> </v>
      </c>
      <c r="E1243" s="11" t="str">
        <f t="shared" si="2"/>
        <v> </v>
      </c>
    </row>
    <row r="1244" ht="15.75" customHeight="1">
      <c r="A1244" s="11">
        <v>12102.0</v>
      </c>
      <c r="B1244" s="11" t="s">
        <v>1272</v>
      </c>
      <c r="C1244" s="12">
        <v>17055.0</v>
      </c>
      <c r="D1244" s="11" t="str">
        <f t="shared" si="1"/>
        <v> </v>
      </c>
      <c r="E1244" s="11" t="str">
        <f t="shared" si="2"/>
        <v> </v>
      </c>
    </row>
    <row r="1245" ht="15.75" customHeight="1">
      <c r="A1245" s="11">
        <v>12104.0</v>
      </c>
      <c r="B1245" s="11" t="s">
        <v>1273</v>
      </c>
      <c r="C1245" s="12">
        <v>26592.0</v>
      </c>
      <c r="D1245" s="11" t="str">
        <f t="shared" si="1"/>
        <v> </v>
      </c>
      <c r="E1245" s="11" t="str">
        <f t="shared" si="2"/>
        <v> </v>
      </c>
    </row>
    <row r="1246" ht="15.75" customHeight="1">
      <c r="A1246" s="11">
        <v>12107.0</v>
      </c>
      <c r="B1246" s="11" t="s">
        <v>1274</v>
      </c>
      <c r="C1246" s="12">
        <v>21084.0</v>
      </c>
      <c r="D1246" s="11" t="str">
        <f t="shared" si="1"/>
        <v> </v>
      </c>
      <c r="E1246" s="11" t="str">
        <f t="shared" si="2"/>
        <v> </v>
      </c>
    </row>
    <row r="1247" ht="15.75" customHeight="1">
      <c r="A1247" s="11">
        <v>12109.0</v>
      </c>
      <c r="B1247" s="11" t="s">
        <v>1275</v>
      </c>
      <c r="C1247" s="12">
        <v>23037.0</v>
      </c>
      <c r="D1247" s="11" t="str">
        <f t="shared" si="1"/>
        <v> </v>
      </c>
      <c r="E1247" s="11" t="str">
        <f t="shared" si="2"/>
        <v> </v>
      </c>
    </row>
    <row r="1248" ht="15.75" customHeight="1">
      <c r="A1248" s="11">
        <v>12110.0</v>
      </c>
      <c r="B1248" s="11" t="s">
        <v>1276</v>
      </c>
      <c r="C1248" s="12">
        <v>28706.0</v>
      </c>
      <c r="D1248" s="11" t="str">
        <f t="shared" si="1"/>
        <v> </v>
      </c>
      <c r="E1248" s="11" t="str">
        <f t="shared" si="2"/>
        <v> </v>
      </c>
    </row>
    <row r="1249" ht="15.75" customHeight="1">
      <c r="A1249" s="11">
        <v>12111.0</v>
      </c>
      <c r="B1249" s="11" t="s">
        <v>1277</v>
      </c>
      <c r="C1249" s="12">
        <v>29413.0</v>
      </c>
      <c r="D1249" s="11" t="str">
        <f t="shared" si="1"/>
        <v> </v>
      </c>
      <c r="E1249" s="11" t="str">
        <f t="shared" si="2"/>
        <v> </v>
      </c>
    </row>
    <row r="1250" ht="15.75" customHeight="1">
      <c r="A1250" s="11">
        <v>12115.0</v>
      </c>
      <c r="B1250" s="11" t="s">
        <v>1278</v>
      </c>
      <c r="C1250" s="12">
        <v>14717.0</v>
      </c>
      <c r="D1250" s="11" t="str">
        <f t="shared" si="1"/>
        <v> </v>
      </c>
      <c r="E1250" s="11" t="str">
        <f t="shared" si="2"/>
        <v> </v>
      </c>
    </row>
    <row r="1251" ht="15.75" customHeight="1">
      <c r="A1251" s="11">
        <v>12118.0</v>
      </c>
      <c r="B1251" s="11" t="s">
        <v>1279</v>
      </c>
      <c r="C1251" s="12">
        <v>34867.0</v>
      </c>
      <c r="D1251" s="11" t="str">
        <f t="shared" si="1"/>
        <v> </v>
      </c>
      <c r="E1251" s="11" t="str">
        <f t="shared" si="2"/>
        <v> </v>
      </c>
    </row>
    <row r="1252" ht="15.75" customHeight="1">
      <c r="A1252" s="11">
        <v>12122.0</v>
      </c>
      <c r="B1252" s="11" t="s">
        <v>1280</v>
      </c>
      <c r="C1252" s="12">
        <v>17510.0</v>
      </c>
      <c r="D1252" s="11" t="str">
        <f t="shared" si="1"/>
        <v> </v>
      </c>
      <c r="E1252" s="11" t="str">
        <f t="shared" si="2"/>
        <v> </v>
      </c>
    </row>
    <row r="1253" ht="15.75" customHeight="1">
      <c r="A1253" s="11">
        <v>12123.0</v>
      </c>
      <c r="B1253" s="11" t="s">
        <v>1281</v>
      </c>
      <c r="C1253" s="12">
        <v>10138.0</v>
      </c>
      <c r="D1253" s="11" t="str">
        <f t="shared" si="1"/>
        <v> </v>
      </c>
      <c r="E1253" s="11" t="str">
        <f t="shared" si="2"/>
        <v> </v>
      </c>
    </row>
    <row r="1254" ht="15.75" customHeight="1">
      <c r="A1254" s="11">
        <v>12124.0</v>
      </c>
      <c r="B1254" s="11" t="s">
        <v>1282</v>
      </c>
      <c r="C1254" s="12">
        <v>13850.0</v>
      </c>
      <c r="D1254" s="11" t="str">
        <f t="shared" si="1"/>
        <v> </v>
      </c>
      <c r="E1254" s="11" t="str">
        <f t="shared" si="2"/>
        <v> </v>
      </c>
    </row>
    <row r="1255" ht="15.75" customHeight="1">
      <c r="A1255" s="11">
        <v>12127.0</v>
      </c>
      <c r="B1255" s="11" t="s">
        <v>1283</v>
      </c>
      <c r="C1255" s="12">
        <v>20732.0</v>
      </c>
      <c r="D1255" s="11" t="str">
        <f t="shared" si="1"/>
        <v> </v>
      </c>
      <c r="E1255" s="11" t="str">
        <f t="shared" si="2"/>
        <v> </v>
      </c>
    </row>
    <row r="1256" ht="15.75" customHeight="1">
      <c r="A1256" s="11">
        <v>12129.0</v>
      </c>
      <c r="B1256" s="11" t="s">
        <v>1284</v>
      </c>
      <c r="C1256" s="12">
        <v>18081.0</v>
      </c>
      <c r="D1256" s="11" t="str">
        <f t="shared" si="1"/>
        <v> </v>
      </c>
      <c r="E1256" s="11" t="str">
        <f t="shared" si="2"/>
        <v> </v>
      </c>
    </row>
    <row r="1257" ht="15.75" customHeight="1">
      <c r="A1257" s="11">
        <v>12130.0</v>
      </c>
      <c r="B1257" s="11" t="s">
        <v>1285</v>
      </c>
      <c r="C1257" s="12">
        <v>14979.0</v>
      </c>
      <c r="D1257" s="11" t="str">
        <f t="shared" si="1"/>
        <v> </v>
      </c>
      <c r="E1257" s="11" t="str">
        <f t="shared" si="2"/>
        <v> </v>
      </c>
    </row>
    <row r="1258" ht="15.75" customHeight="1">
      <c r="A1258" s="11">
        <v>12131.0</v>
      </c>
      <c r="B1258" s="11" t="s">
        <v>1286</v>
      </c>
      <c r="C1258" s="12">
        <v>22551.0</v>
      </c>
      <c r="D1258" s="11" t="str">
        <f t="shared" si="1"/>
        <v> </v>
      </c>
      <c r="E1258" s="11" t="str">
        <f t="shared" si="2"/>
        <v> </v>
      </c>
    </row>
    <row r="1259" ht="15.75" customHeight="1">
      <c r="A1259" s="11">
        <v>12133.0</v>
      </c>
      <c r="B1259" s="11" t="s">
        <v>1287</v>
      </c>
      <c r="C1259" s="12">
        <v>29056.0</v>
      </c>
      <c r="D1259" s="11" t="str">
        <f t="shared" si="1"/>
        <v> </v>
      </c>
      <c r="E1259" s="11" t="str">
        <f t="shared" si="2"/>
        <v> </v>
      </c>
    </row>
    <row r="1260" ht="15.75" customHeight="1">
      <c r="A1260" s="11">
        <v>12134.0</v>
      </c>
      <c r="B1260" s="11" t="s">
        <v>1288</v>
      </c>
      <c r="C1260" s="12">
        <v>22224.0</v>
      </c>
      <c r="D1260" s="11" t="str">
        <f t="shared" si="1"/>
        <v> </v>
      </c>
      <c r="E1260" s="11" t="str">
        <f t="shared" si="2"/>
        <v> </v>
      </c>
    </row>
    <row r="1261" ht="15.75" customHeight="1">
      <c r="A1261" s="11">
        <v>12135.0</v>
      </c>
      <c r="B1261" s="11" t="s">
        <v>1289</v>
      </c>
      <c r="C1261" s="12">
        <v>26801.0</v>
      </c>
      <c r="D1261" s="11" t="str">
        <f t="shared" si="1"/>
        <v> </v>
      </c>
      <c r="E1261" s="11" t="str">
        <f t="shared" si="2"/>
        <v> </v>
      </c>
    </row>
    <row r="1262" ht="15.75" customHeight="1">
      <c r="A1262" s="11">
        <v>12136.0</v>
      </c>
      <c r="B1262" s="11" t="s">
        <v>1290</v>
      </c>
      <c r="C1262" s="12">
        <v>13019.0</v>
      </c>
      <c r="D1262" s="11" t="str">
        <f t="shared" si="1"/>
        <v> </v>
      </c>
      <c r="E1262" s="11" t="str">
        <f t="shared" si="2"/>
        <v> </v>
      </c>
    </row>
    <row r="1263" ht="15.75" customHeight="1">
      <c r="A1263" s="11">
        <v>12140.0</v>
      </c>
      <c r="B1263" s="11" t="s">
        <v>1291</v>
      </c>
      <c r="C1263" s="12">
        <v>18966.0</v>
      </c>
      <c r="D1263" s="11" t="str">
        <f t="shared" si="1"/>
        <v> </v>
      </c>
      <c r="E1263" s="11" t="str">
        <f t="shared" si="2"/>
        <v> </v>
      </c>
    </row>
    <row r="1264" ht="15.75" customHeight="1">
      <c r="A1264" s="11">
        <v>12141.0</v>
      </c>
      <c r="B1264" s="11" t="s">
        <v>1292</v>
      </c>
      <c r="C1264" s="12">
        <v>13887.0</v>
      </c>
      <c r="D1264" s="11" t="str">
        <f t="shared" si="1"/>
        <v> </v>
      </c>
      <c r="E1264" s="11" t="str">
        <f t="shared" si="2"/>
        <v> </v>
      </c>
    </row>
    <row r="1265" ht="15.75" customHeight="1">
      <c r="A1265" s="11">
        <v>12144.0</v>
      </c>
      <c r="B1265" s="11" t="s">
        <v>1293</v>
      </c>
      <c r="C1265" s="12">
        <v>19033.0</v>
      </c>
      <c r="D1265" s="11" t="str">
        <f t="shared" si="1"/>
        <v> </v>
      </c>
      <c r="E1265" s="11" t="str">
        <f t="shared" si="2"/>
        <v> </v>
      </c>
    </row>
    <row r="1266" ht="15.75" customHeight="1">
      <c r="A1266" s="11">
        <v>12145.0</v>
      </c>
      <c r="B1266" s="11" t="s">
        <v>1294</v>
      </c>
      <c r="C1266" s="12">
        <v>18446.0</v>
      </c>
      <c r="D1266" s="11" t="str">
        <f t="shared" si="1"/>
        <v> </v>
      </c>
      <c r="E1266" s="11" t="str">
        <f t="shared" si="2"/>
        <v> </v>
      </c>
    </row>
    <row r="1267" ht="15.75" customHeight="1">
      <c r="A1267" s="11">
        <v>12147.0</v>
      </c>
      <c r="B1267" s="11" t="s">
        <v>1295</v>
      </c>
      <c r="C1267" s="12">
        <v>26920.0</v>
      </c>
      <c r="D1267" s="11" t="str">
        <f t="shared" si="1"/>
        <v> </v>
      </c>
      <c r="E1267" s="11" t="str">
        <f t="shared" si="2"/>
        <v> </v>
      </c>
    </row>
    <row r="1268" ht="15.75" customHeight="1">
      <c r="A1268" s="11">
        <v>12151.0</v>
      </c>
      <c r="B1268" s="11" t="s">
        <v>1296</v>
      </c>
      <c r="C1268" s="12">
        <v>20139.0</v>
      </c>
      <c r="D1268" s="11" t="str">
        <f t="shared" si="1"/>
        <v> </v>
      </c>
      <c r="E1268" s="11" t="str">
        <f t="shared" si="2"/>
        <v> </v>
      </c>
    </row>
    <row r="1269" ht="15.75" customHeight="1">
      <c r="A1269" s="11">
        <v>12152.0</v>
      </c>
      <c r="B1269" s="11" t="s">
        <v>1297</v>
      </c>
      <c r="C1269" s="12">
        <v>19075.0</v>
      </c>
      <c r="D1269" s="11" t="str">
        <f t="shared" si="1"/>
        <v> </v>
      </c>
      <c r="E1269" s="11" t="str">
        <f t="shared" si="2"/>
        <v> </v>
      </c>
    </row>
    <row r="1270" ht="15.75" customHeight="1">
      <c r="A1270" s="11">
        <v>12153.0</v>
      </c>
      <c r="B1270" s="11" t="s">
        <v>1298</v>
      </c>
      <c r="C1270" s="12">
        <v>13779.0</v>
      </c>
      <c r="D1270" s="11" t="str">
        <f t="shared" si="1"/>
        <v> </v>
      </c>
      <c r="E1270" s="11" t="str">
        <f t="shared" si="2"/>
        <v> </v>
      </c>
    </row>
    <row r="1271" ht="15.75" customHeight="1">
      <c r="A1271" s="11">
        <v>12154.0</v>
      </c>
      <c r="B1271" s="11" t="s">
        <v>1299</v>
      </c>
      <c r="C1271" s="12">
        <v>21882.0</v>
      </c>
      <c r="D1271" s="11" t="str">
        <f t="shared" si="1"/>
        <v> </v>
      </c>
      <c r="E1271" s="11" t="str">
        <f t="shared" si="2"/>
        <v> </v>
      </c>
    </row>
    <row r="1272" ht="15.75" customHeight="1">
      <c r="A1272" s="11">
        <v>12159.0</v>
      </c>
      <c r="B1272" s="11" t="s">
        <v>1300</v>
      </c>
      <c r="C1272" s="12">
        <v>32770.0</v>
      </c>
      <c r="D1272" s="11" t="str">
        <f t="shared" si="1"/>
        <v> </v>
      </c>
      <c r="E1272" s="11" t="str">
        <f t="shared" si="2"/>
        <v> </v>
      </c>
    </row>
    <row r="1273" ht="15.75" customHeight="1">
      <c r="A1273" s="11">
        <v>12161.0</v>
      </c>
      <c r="B1273" s="11" t="s">
        <v>1301</v>
      </c>
      <c r="C1273" s="12">
        <v>27387.0</v>
      </c>
      <c r="D1273" s="11" t="str">
        <f t="shared" si="1"/>
        <v>Repeat</v>
      </c>
      <c r="E1273" s="11" t="str">
        <f t="shared" si="2"/>
        <v> </v>
      </c>
    </row>
    <row r="1274" ht="15.75" customHeight="1">
      <c r="A1274" s="11">
        <v>12167.0</v>
      </c>
      <c r="B1274" s="11" t="s">
        <v>1302</v>
      </c>
      <c r="C1274" s="12">
        <v>28330.0</v>
      </c>
      <c r="D1274" s="11" t="str">
        <f t="shared" si="1"/>
        <v> </v>
      </c>
      <c r="E1274" s="11" t="str">
        <f t="shared" si="2"/>
        <v> </v>
      </c>
    </row>
    <row r="1275" ht="15.75" customHeight="1">
      <c r="A1275" s="11">
        <v>12172.0</v>
      </c>
      <c r="B1275" s="11" t="s">
        <v>1303</v>
      </c>
      <c r="C1275" s="12">
        <v>19634.0</v>
      </c>
      <c r="D1275" s="11" t="str">
        <f t="shared" si="1"/>
        <v> </v>
      </c>
      <c r="E1275" s="11" t="str">
        <f t="shared" si="2"/>
        <v> </v>
      </c>
    </row>
    <row r="1276" ht="15.75" customHeight="1">
      <c r="A1276" s="11">
        <v>12173.0</v>
      </c>
      <c r="B1276" s="11" t="s">
        <v>1304</v>
      </c>
      <c r="C1276" s="12">
        <v>28860.0</v>
      </c>
      <c r="D1276" s="11" t="str">
        <f t="shared" si="1"/>
        <v> </v>
      </c>
      <c r="E1276" s="11" t="str">
        <f t="shared" si="2"/>
        <v> </v>
      </c>
    </row>
    <row r="1277" ht="15.75" customHeight="1">
      <c r="A1277" s="11">
        <v>12174.0</v>
      </c>
      <c r="B1277" s="11" t="s">
        <v>1305</v>
      </c>
      <c r="C1277" s="12">
        <v>17259.0</v>
      </c>
      <c r="D1277" s="11" t="str">
        <f t="shared" si="1"/>
        <v> </v>
      </c>
      <c r="E1277" s="11" t="str">
        <f t="shared" si="2"/>
        <v> </v>
      </c>
    </row>
    <row r="1278" ht="15.75" customHeight="1">
      <c r="A1278" s="11">
        <v>12175.0</v>
      </c>
      <c r="B1278" s="11" t="s">
        <v>1306</v>
      </c>
      <c r="C1278" s="12">
        <v>25069.0</v>
      </c>
      <c r="D1278" s="11" t="str">
        <f t="shared" si="1"/>
        <v>Repeat</v>
      </c>
      <c r="E1278" s="11" t="str">
        <f t="shared" si="2"/>
        <v> </v>
      </c>
    </row>
    <row r="1279" ht="15.75" customHeight="1">
      <c r="A1279" s="11">
        <v>12179.0</v>
      </c>
      <c r="B1279" s="11" t="s">
        <v>1307</v>
      </c>
      <c r="C1279" s="12">
        <v>22392.0</v>
      </c>
      <c r="D1279" s="11" t="str">
        <f t="shared" si="1"/>
        <v> </v>
      </c>
      <c r="E1279" s="11" t="str">
        <f t="shared" si="2"/>
        <v> </v>
      </c>
    </row>
    <row r="1280" ht="15.75" customHeight="1">
      <c r="A1280" s="11">
        <v>12180.0</v>
      </c>
      <c r="B1280" s="11" t="s">
        <v>1308</v>
      </c>
      <c r="C1280" s="12">
        <v>19481.0</v>
      </c>
      <c r="D1280" s="11" t="str">
        <f t="shared" si="1"/>
        <v> </v>
      </c>
      <c r="E1280" s="11" t="str">
        <f t="shared" si="2"/>
        <v> </v>
      </c>
    </row>
    <row r="1281" ht="15.75" customHeight="1">
      <c r="A1281" s="11">
        <v>12183.0</v>
      </c>
      <c r="B1281" s="11" t="s">
        <v>1309</v>
      </c>
      <c r="C1281" s="12">
        <v>21803.0</v>
      </c>
      <c r="D1281" s="11" t="str">
        <f t="shared" si="1"/>
        <v>Repeat</v>
      </c>
      <c r="E1281" s="11" t="str">
        <f t="shared" si="2"/>
        <v> </v>
      </c>
    </row>
    <row r="1282" ht="15.75" customHeight="1">
      <c r="A1282" s="11">
        <v>12184.0</v>
      </c>
      <c r="B1282" s="11" t="s">
        <v>1310</v>
      </c>
      <c r="C1282" s="12">
        <v>20052.0</v>
      </c>
      <c r="D1282" s="11" t="str">
        <f t="shared" si="1"/>
        <v> </v>
      </c>
      <c r="E1282" s="11" t="str">
        <f t="shared" si="2"/>
        <v> </v>
      </c>
    </row>
    <row r="1283" ht="15.75" customHeight="1">
      <c r="A1283" s="11">
        <v>12185.0</v>
      </c>
      <c r="B1283" s="11" t="s">
        <v>1311</v>
      </c>
      <c r="C1283" s="12">
        <v>31141.0</v>
      </c>
      <c r="D1283" s="11" t="str">
        <f t="shared" si="1"/>
        <v> </v>
      </c>
      <c r="E1283" s="11" t="str">
        <f t="shared" si="2"/>
        <v> </v>
      </c>
    </row>
    <row r="1284" ht="15.75" customHeight="1">
      <c r="A1284" s="11">
        <v>12189.0</v>
      </c>
      <c r="B1284" s="11" t="s">
        <v>1312</v>
      </c>
      <c r="C1284" s="12">
        <v>33661.0</v>
      </c>
      <c r="D1284" s="11" t="str">
        <f t="shared" si="1"/>
        <v> </v>
      </c>
      <c r="E1284" s="11" t="str">
        <f t="shared" si="2"/>
        <v> </v>
      </c>
    </row>
    <row r="1285" ht="15.75" customHeight="1">
      <c r="A1285" s="11">
        <v>12190.0</v>
      </c>
      <c r="B1285" s="11" t="s">
        <v>1313</v>
      </c>
      <c r="C1285" s="12">
        <v>16791.0</v>
      </c>
      <c r="D1285" s="11" t="str">
        <f t="shared" si="1"/>
        <v> </v>
      </c>
      <c r="E1285" s="11" t="str">
        <f t="shared" si="2"/>
        <v> </v>
      </c>
    </row>
    <row r="1286" ht="15.75" customHeight="1">
      <c r="A1286" s="11">
        <v>12194.0</v>
      </c>
      <c r="B1286" s="11" t="s">
        <v>1314</v>
      </c>
      <c r="C1286" s="12">
        <v>19387.0</v>
      </c>
      <c r="D1286" s="11" t="str">
        <f t="shared" si="1"/>
        <v> </v>
      </c>
      <c r="E1286" s="11" t="str">
        <f t="shared" si="2"/>
        <v> </v>
      </c>
    </row>
    <row r="1287" ht="15.75" customHeight="1">
      <c r="A1287" s="11">
        <v>12197.0</v>
      </c>
      <c r="B1287" s="11" t="s">
        <v>1315</v>
      </c>
      <c r="C1287" s="12">
        <v>20786.0</v>
      </c>
      <c r="D1287" s="11" t="str">
        <f t="shared" si="1"/>
        <v> </v>
      </c>
      <c r="E1287" s="11" t="str">
        <f t="shared" si="2"/>
        <v> </v>
      </c>
    </row>
    <row r="1288" ht="15.75" customHeight="1">
      <c r="A1288" s="11">
        <v>12200.0</v>
      </c>
      <c r="B1288" s="11" t="s">
        <v>1316</v>
      </c>
      <c r="C1288" s="12">
        <v>36550.0</v>
      </c>
      <c r="D1288" s="11" t="str">
        <f t="shared" si="1"/>
        <v> </v>
      </c>
      <c r="E1288" s="11" t="str">
        <f t="shared" si="2"/>
        <v> </v>
      </c>
    </row>
    <row r="1289" ht="15.75" customHeight="1">
      <c r="A1289" s="11">
        <v>12202.0</v>
      </c>
      <c r="B1289" s="11" t="s">
        <v>1317</v>
      </c>
      <c r="C1289" s="12">
        <v>19617.0</v>
      </c>
      <c r="D1289" s="11" t="str">
        <f t="shared" si="1"/>
        <v> </v>
      </c>
      <c r="E1289" s="11" t="str">
        <f t="shared" si="2"/>
        <v> </v>
      </c>
    </row>
    <row r="1290" ht="15.75" customHeight="1">
      <c r="A1290" s="11">
        <v>12203.0</v>
      </c>
      <c r="B1290" s="11" t="s">
        <v>1318</v>
      </c>
      <c r="C1290" s="12">
        <v>18382.0</v>
      </c>
      <c r="D1290" s="11" t="str">
        <f t="shared" si="1"/>
        <v> </v>
      </c>
      <c r="E1290" s="11" t="str">
        <f t="shared" si="2"/>
        <v> </v>
      </c>
    </row>
    <row r="1291" ht="15.75" customHeight="1">
      <c r="A1291" s="11">
        <v>12204.0</v>
      </c>
      <c r="B1291" s="11" t="s">
        <v>1319</v>
      </c>
      <c r="C1291" s="12">
        <v>28608.0</v>
      </c>
      <c r="D1291" s="11" t="str">
        <f t="shared" si="1"/>
        <v> </v>
      </c>
      <c r="E1291" s="11" t="str">
        <f t="shared" si="2"/>
        <v> </v>
      </c>
    </row>
    <row r="1292" ht="15.75" customHeight="1">
      <c r="A1292" s="11">
        <v>12205.0</v>
      </c>
      <c r="B1292" s="11" t="s">
        <v>1320</v>
      </c>
      <c r="C1292" s="12">
        <v>23687.0</v>
      </c>
      <c r="D1292" s="11" t="str">
        <f t="shared" si="1"/>
        <v> </v>
      </c>
      <c r="E1292" s="11" t="str">
        <f t="shared" si="2"/>
        <v> </v>
      </c>
    </row>
    <row r="1293" ht="15.75" customHeight="1">
      <c r="A1293" s="11">
        <v>12208.0</v>
      </c>
      <c r="B1293" s="11" t="s">
        <v>1321</v>
      </c>
      <c r="C1293" s="12">
        <v>15804.0</v>
      </c>
      <c r="D1293" s="11" t="str">
        <f t="shared" si="1"/>
        <v> </v>
      </c>
      <c r="E1293" s="11" t="str">
        <f t="shared" si="2"/>
        <v> </v>
      </c>
    </row>
    <row r="1294" ht="15.75" customHeight="1">
      <c r="A1294" s="11">
        <v>12209.0</v>
      </c>
      <c r="B1294" s="11" t="s">
        <v>1322</v>
      </c>
      <c r="C1294" s="12">
        <v>16462.0</v>
      </c>
      <c r="D1294" s="11" t="str">
        <f t="shared" si="1"/>
        <v> </v>
      </c>
      <c r="E1294" s="11" t="str">
        <f t="shared" si="2"/>
        <v> </v>
      </c>
    </row>
    <row r="1295" ht="15.75" customHeight="1">
      <c r="A1295" s="11">
        <v>12212.0</v>
      </c>
      <c r="B1295" s="11" t="s">
        <v>1323</v>
      </c>
      <c r="C1295" s="12">
        <v>19493.0</v>
      </c>
      <c r="D1295" s="11" t="str">
        <f t="shared" si="1"/>
        <v> </v>
      </c>
      <c r="E1295" s="11" t="str">
        <f t="shared" si="2"/>
        <v> </v>
      </c>
    </row>
    <row r="1296" ht="15.75" customHeight="1">
      <c r="A1296" s="11">
        <v>12215.0</v>
      </c>
      <c r="B1296" s="11" t="s">
        <v>1324</v>
      </c>
      <c r="C1296" s="12">
        <v>35491.0</v>
      </c>
      <c r="D1296" s="11" t="str">
        <f t="shared" si="1"/>
        <v> </v>
      </c>
      <c r="E1296" s="11" t="str">
        <f t="shared" si="2"/>
        <v> </v>
      </c>
    </row>
    <row r="1297" ht="15.75" customHeight="1">
      <c r="A1297" s="11">
        <v>12219.0</v>
      </c>
      <c r="B1297" s="11" t="s">
        <v>1325</v>
      </c>
      <c r="C1297" s="12">
        <v>20938.0</v>
      </c>
      <c r="D1297" s="11" t="str">
        <f t="shared" si="1"/>
        <v> </v>
      </c>
      <c r="E1297" s="11" t="str">
        <f t="shared" si="2"/>
        <v> </v>
      </c>
    </row>
    <row r="1298" ht="15.75" customHeight="1">
      <c r="A1298" s="11">
        <v>12220.0</v>
      </c>
      <c r="B1298" s="11" t="s">
        <v>1326</v>
      </c>
      <c r="C1298" s="12">
        <v>14923.0</v>
      </c>
      <c r="D1298" s="11" t="str">
        <f t="shared" si="1"/>
        <v> </v>
      </c>
      <c r="E1298" s="11" t="str">
        <f t="shared" si="2"/>
        <v> </v>
      </c>
    </row>
    <row r="1299" ht="15.75" customHeight="1">
      <c r="A1299" s="11">
        <v>12222.0</v>
      </c>
      <c r="B1299" s="11" t="s">
        <v>1327</v>
      </c>
      <c r="C1299" s="12">
        <v>21705.0</v>
      </c>
      <c r="D1299" s="11" t="str">
        <f t="shared" si="1"/>
        <v> </v>
      </c>
      <c r="E1299" s="11" t="str">
        <f t="shared" si="2"/>
        <v> </v>
      </c>
    </row>
    <row r="1300" ht="15.75" customHeight="1">
      <c r="A1300" s="11">
        <v>12224.0</v>
      </c>
      <c r="B1300" s="11" t="s">
        <v>1328</v>
      </c>
      <c r="C1300" s="12">
        <v>28683.0</v>
      </c>
      <c r="D1300" s="11" t="str">
        <f t="shared" si="1"/>
        <v> </v>
      </c>
      <c r="E1300" s="11" t="str">
        <f t="shared" si="2"/>
        <v> </v>
      </c>
    </row>
    <row r="1301" ht="15.75" customHeight="1">
      <c r="A1301" s="11">
        <v>12225.0</v>
      </c>
      <c r="B1301" s="11" t="s">
        <v>1329</v>
      </c>
      <c r="C1301" s="12">
        <v>24220.0</v>
      </c>
      <c r="D1301" s="11" t="str">
        <f t="shared" si="1"/>
        <v> </v>
      </c>
      <c r="E1301" s="11" t="str">
        <f t="shared" si="2"/>
        <v> </v>
      </c>
    </row>
    <row r="1302" ht="15.75" customHeight="1">
      <c r="A1302" s="11">
        <v>12227.0</v>
      </c>
      <c r="B1302" s="11" t="s">
        <v>1330</v>
      </c>
      <c r="C1302" s="12">
        <v>21761.0</v>
      </c>
      <c r="D1302" s="11" t="str">
        <f t="shared" si="1"/>
        <v> </v>
      </c>
      <c r="E1302" s="11" t="str">
        <f t="shared" si="2"/>
        <v> </v>
      </c>
    </row>
    <row r="1303" ht="15.75" customHeight="1">
      <c r="A1303" s="11">
        <v>12233.0</v>
      </c>
      <c r="B1303" s="11" t="s">
        <v>1331</v>
      </c>
      <c r="C1303" s="12">
        <v>24861.0</v>
      </c>
      <c r="D1303" s="11" t="str">
        <f t="shared" si="1"/>
        <v> </v>
      </c>
      <c r="E1303" s="11" t="str">
        <f t="shared" si="2"/>
        <v> </v>
      </c>
    </row>
    <row r="1304" ht="15.75" customHeight="1">
      <c r="A1304" s="11">
        <v>12235.0</v>
      </c>
      <c r="B1304" s="11" t="s">
        <v>1332</v>
      </c>
      <c r="C1304" s="12">
        <v>19969.0</v>
      </c>
      <c r="D1304" s="11" t="str">
        <f t="shared" si="1"/>
        <v> </v>
      </c>
      <c r="E1304" s="11" t="str">
        <f t="shared" si="2"/>
        <v> </v>
      </c>
    </row>
    <row r="1305" ht="15.75" customHeight="1">
      <c r="A1305" s="11">
        <v>12236.0</v>
      </c>
      <c r="B1305" s="11" t="s">
        <v>1333</v>
      </c>
      <c r="C1305" s="12">
        <v>21463.0</v>
      </c>
      <c r="D1305" s="11" t="str">
        <f t="shared" si="1"/>
        <v> </v>
      </c>
      <c r="E1305" s="11" t="str">
        <f t="shared" si="2"/>
        <v> </v>
      </c>
    </row>
    <row r="1306" ht="15.75" customHeight="1">
      <c r="A1306" s="11">
        <v>12238.0</v>
      </c>
      <c r="B1306" s="11" t="s">
        <v>1334</v>
      </c>
      <c r="C1306" s="12">
        <v>35155.0</v>
      </c>
      <c r="D1306" s="11" t="str">
        <f t="shared" si="1"/>
        <v> </v>
      </c>
      <c r="E1306" s="11" t="str">
        <f t="shared" si="2"/>
        <v> </v>
      </c>
    </row>
    <row r="1307" ht="15.75" customHeight="1">
      <c r="A1307" s="11">
        <v>12242.0</v>
      </c>
      <c r="B1307" s="11" t="s">
        <v>1335</v>
      </c>
      <c r="C1307" s="12">
        <v>31646.0</v>
      </c>
      <c r="D1307" s="11" t="str">
        <f t="shared" si="1"/>
        <v> </v>
      </c>
      <c r="E1307" s="11" t="str">
        <f t="shared" si="2"/>
        <v> </v>
      </c>
    </row>
    <row r="1308" ht="15.75" customHeight="1">
      <c r="A1308" s="11">
        <v>12243.0</v>
      </c>
      <c r="B1308" s="11" t="s">
        <v>1336</v>
      </c>
      <c r="C1308" s="12">
        <v>19139.0</v>
      </c>
      <c r="D1308" s="11" t="str">
        <f t="shared" si="1"/>
        <v> </v>
      </c>
      <c r="E1308" s="11" t="str">
        <f t="shared" si="2"/>
        <v> </v>
      </c>
    </row>
    <row r="1309" ht="15.75" customHeight="1">
      <c r="A1309" s="11">
        <v>12245.0</v>
      </c>
      <c r="B1309" s="11" t="s">
        <v>1337</v>
      </c>
      <c r="C1309" s="12">
        <v>20146.0</v>
      </c>
      <c r="D1309" s="11" t="str">
        <f t="shared" si="1"/>
        <v> </v>
      </c>
      <c r="E1309" s="11" t="str">
        <f t="shared" si="2"/>
        <v> </v>
      </c>
    </row>
    <row r="1310" ht="15.75" customHeight="1">
      <c r="A1310" s="11">
        <v>12246.0</v>
      </c>
      <c r="B1310" s="11" t="s">
        <v>1338</v>
      </c>
      <c r="C1310" s="12">
        <v>27076.0</v>
      </c>
      <c r="D1310" s="11" t="str">
        <f t="shared" si="1"/>
        <v> </v>
      </c>
      <c r="E1310" s="11" t="str">
        <f t="shared" si="2"/>
        <v> </v>
      </c>
    </row>
    <row r="1311" ht="15.75" customHeight="1">
      <c r="A1311" s="11">
        <v>12247.0</v>
      </c>
      <c r="B1311" s="11" t="s">
        <v>1339</v>
      </c>
      <c r="C1311" s="12">
        <v>16149.0</v>
      </c>
      <c r="D1311" s="11" t="str">
        <f t="shared" si="1"/>
        <v> </v>
      </c>
      <c r="E1311" s="11" t="str">
        <f t="shared" si="2"/>
        <v> </v>
      </c>
    </row>
    <row r="1312" ht="15.75" customHeight="1">
      <c r="A1312" s="11">
        <v>12248.0</v>
      </c>
      <c r="B1312" s="11" t="s">
        <v>1340</v>
      </c>
      <c r="C1312" s="12">
        <v>19554.0</v>
      </c>
      <c r="D1312" s="11" t="str">
        <f t="shared" si="1"/>
        <v> </v>
      </c>
      <c r="E1312" s="11" t="str">
        <f t="shared" si="2"/>
        <v> </v>
      </c>
    </row>
    <row r="1313" ht="15.75" customHeight="1">
      <c r="A1313" s="11">
        <v>12250.0</v>
      </c>
      <c r="B1313" s="11" t="s">
        <v>1341</v>
      </c>
      <c r="C1313" s="12">
        <v>23723.0</v>
      </c>
      <c r="D1313" s="11" t="str">
        <f t="shared" si="1"/>
        <v> </v>
      </c>
      <c r="E1313" s="11" t="str">
        <f t="shared" si="2"/>
        <v> </v>
      </c>
    </row>
    <row r="1314" ht="15.75" customHeight="1">
      <c r="A1314" s="11">
        <v>12253.0</v>
      </c>
      <c r="B1314" s="11" t="s">
        <v>1342</v>
      </c>
      <c r="C1314" s="12">
        <v>28903.0</v>
      </c>
      <c r="D1314" s="11" t="str">
        <f t="shared" si="1"/>
        <v> </v>
      </c>
      <c r="E1314" s="11" t="str">
        <f t="shared" si="2"/>
        <v> </v>
      </c>
    </row>
    <row r="1315" ht="15.75" customHeight="1">
      <c r="A1315" s="11">
        <v>12254.0</v>
      </c>
      <c r="B1315" s="11" t="s">
        <v>1343</v>
      </c>
      <c r="C1315" s="12">
        <v>17578.0</v>
      </c>
      <c r="D1315" s="11" t="str">
        <f t="shared" si="1"/>
        <v> </v>
      </c>
      <c r="E1315" s="11" t="str">
        <f t="shared" si="2"/>
        <v> </v>
      </c>
    </row>
    <row r="1316" ht="15.75" customHeight="1">
      <c r="A1316" s="11">
        <v>12258.0</v>
      </c>
      <c r="B1316" s="11" t="s">
        <v>1344</v>
      </c>
      <c r="C1316" s="12">
        <v>17047.0</v>
      </c>
      <c r="D1316" s="11" t="str">
        <f t="shared" si="1"/>
        <v> </v>
      </c>
      <c r="E1316" s="11" t="str">
        <f t="shared" si="2"/>
        <v> </v>
      </c>
    </row>
    <row r="1317" ht="15.75" customHeight="1">
      <c r="A1317" s="11">
        <v>12259.0</v>
      </c>
      <c r="B1317" s="11" t="s">
        <v>1345</v>
      </c>
      <c r="C1317" s="12">
        <v>19026.0</v>
      </c>
      <c r="D1317" s="11" t="str">
        <f t="shared" si="1"/>
        <v> </v>
      </c>
      <c r="E1317" s="11" t="str">
        <f t="shared" si="2"/>
        <v> </v>
      </c>
    </row>
    <row r="1318" ht="15.75" customHeight="1">
      <c r="A1318" s="11">
        <v>12264.0</v>
      </c>
      <c r="B1318" s="11" t="s">
        <v>1346</v>
      </c>
      <c r="C1318" s="12">
        <v>13630.0</v>
      </c>
      <c r="D1318" s="11" t="str">
        <f t="shared" si="1"/>
        <v> </v>
      </c>
      <c r="E1318" s="11" t="str">
        <f t="shared" si="2"/>
        <v> </v>
      </c>
    </row>
    <row r="1319" ht="15.75" customHeight="1">
      <c r="A1319" s="11">
        <v>12266.0</v>
      </c>
      <c r="B1319" s="11" t="s">
        <v>1347</v>
      </c>
      <c r="C1319" s="12">
        <v>27652.0</v>
      </c>
      <c r="D1319" s="11" t="str">
        <f t="shared" si="1"/>
        <v> </v>
      </c>
      <c r="E1319" s="11" t="str">
        <f t="shared" si="2"/>
        <v> </v>
      </c>
    </row>
    <row r="1320" ht="15.75" customHeight="1">
      <c r="A1320" s="11">
        <v>12267.0</v>
      </c>
      <c r="B1320" s="11" t="s">
        <v>1348</v>
      </c>
      <c r="C1320" s="12">
        <v>23969.0</v>
      </c>
      <c r="D1320" s="11" t="str">
        <f t="shared" si="1"/>
        <v> </v>
      </c>
      <c r="E1320" s="11" t="str">
        <f t="shared" si="2"/>
        <v> </v>
      </c>
    </row>
    <row r="1321" ht="15.75" customHeight="1">
      <c r="A1321" s="11">
        <v>12268.0</v>
      </c>
      <c r="B1321" s="11" t="s">
        <v>1349</v>
      </c>
      <c r="C1321" s="12">
        <v>25453.0</v>
      </c>
      <c r="D1321" s="11" t="str">
        <f t="shared" si="1"/>
        <v> </v>
      </c>
      <c r="E1321" s="11" t="str">
        <f t="shared" si="2"/>
        <v> </v>
      </c>
    </row>
    <row r="1322" ht="15.75" customHeight="1">
      <c r="A1322" s="11">
        <v>12269.0</v>
      </c>
      <c r="B1322" s="11" t="s">
        <v>1350</v>
      </c>
      <c r="C1322" s="12">
        <v>30557.0</v>
      </c>
      <c r="D1322" s="11" t="str">
        <f t="shared" si="1"/>
        <v> </v>
      </c>
      <c r="E1322" s="11" t="str">
        <f t="shared" si="2"/>
        <v> </v>
      </c>
    </row>
    <row r="1323" ht="15.75" customHeight="1">
      <c r="A1323" s="11">
        <v>12270.0</v>
      </c>
      <c r="B1323" s="11" t="s">
        <v>1351</v>
      </c>
      <c r="C1323" s="12">
        <v>23565.0</v>
      </c>
      <c r="D1323" s="11" t="str">
        <f t="shared" si="1"/>
        <v> </v>
      </c>
      <c r="E1323" s="11" t="str">
        <f t="shared" si="2"/>
        <v> </v>
      </c>
    </row>
    <row r="1324" ht="15.75" customHeight="1">
      <c r="A1324" s="11">
        <v>12273.0</v>
      </c>
      <c r="B1324" s="11" t="s">
        <v>1352</v>
      </c>
      <c r="C1324" s="12">
        <v>20419.0</v>
      </c>
      <c r="D1324" s="11" t="str">
        <f t="shared" si="1"/>
        <v> </v>
      </c>
      <c r="E1324" s="11" t="str">
        <f t="shared" si="2"/>
        <v> </v>
      </c>
    </row>
    <row r="1325" ht="15.75" customHeight="1">
      <c r="A1325" s="11">
        <v>12274.0</v>
      </c>
      <c r="B1325" s="11" t="s">
        <v>1353</v>
      </c>
      <c r="C1325" s="12">
        <v>27219.0</v>
      </c>
      <c r="D1325" s="11" t="str">
        <f t="shared" si="1"/>
        <v> </v>
      </c>
      <c r="E1325" s="11" t="str">
        <f t="shared" si="2"/>
        <v> </v>
      </c>
    </row>
    <row r="1326" ht="15.75" customHeight="1">
      <c r="A1326" s="11">
        <v>12275.0</v>
      </c>
      <c r="B1326" s="11" t="s">
        <v>1354</v>
      </c>
      <c r="C1326" s="12">
        <v>14237.0</v>
      </c>
      <c r="D1326" s="11" t="str">
        <f t="shared" si="1"/>
        <v> </v>
      </c>
      <c r="E1326" s="11" t="str">
        <f t="shared" si="2"/>
        <v> </v>
      </c>
    </row>
    <row r="1327" ht="15.75" customHeight="1">
      <c r="A1327" s="11">
        <v>12278.0</v>
      </c>
      <c r="B1327" s="11" t="s">
        <v>1355</v>
      </c>
      <c r="C1327" s="12">
        <v>14516.0</v>
      </c>
      <c r="D1327" s="11" t="str">
        <f t="shared" si="1"/>
        <v> </v>
      </c>
      <c r="E1327" s="11" t="str">
        <f t="shared" si="2"/>
        <v> </v>
      </c>
    </row>
    <row r="1328" ht="15.75" customHeight="1">
      <c r="A1328" s="11">
        <v>12279.0</v>
      </c>
      <c r="B1328" s="11" t="s">
        <v>1356</v>
      </c>
      <c r="C1328" s="12">
        <v>23865.0</v>
      </c>
      <c r="D1328" s="11" t="str">
        <f t="shared" si="1"/>
        <v> </v>
      </c>
      <c r="E1328" s="11" t="str">
        <f t="shared" si="2"/>
        <v> </v>
      </c>
    </row>
    <row r="1329" ht="15.75" customHeight="1">
      <c r="A1329" s="11">
        <v>12280.0</v>
      </c>
      <c r="B1329" s="11" t="s">
        <v>1357</v>
      </c>
      <c r="C1329" s="12">
        <v>24940.0</v>
      </c>
      <c r="D1329" s="11" t="str">
        <f t="shared" si="1"/>
        <v> </v>
      </c>
      <c r="E1329" s="11" t="str">
        <f t="shared" si="2"/>
        <v> </v>
      </c>
    </row>
    <row r="1330" ht="15.75" customHeight="1">
      <c r="A1330" s="11">
        <v>12282.0</v>
      </c>
      <c r="B1330" s="11" t="s">
        <v>1358</v>
      </c>
      <c r="C1330" s="12">
        <v>16444.0</v>
      </c>
      <c r="D1330" s="11" t="str">
        <f t="shared" si="1"/>
        <v> </v>
      </c>
      <c r="E1330" s="11" t="str">
        <f t="shared" si="2"/>
        <v> </v>
      </c>
    </row>
    <row r="1331" ht="15.75" customHeight="1">
      <c r="A1331" s="11">
        <v>12283.0</v>
      </c>
      <c r="B1331" s="11" t="s">
        <v>1359</v>
      </c>
      <c r="C1331" s="12">
        <v>29642.0</v>
      </c>
      <c r="D1331" s="11" t="str">
        <f t="shared" si="1"/>
        <v> </v>
      </c>
      <c r="E1331" s="11" t="str">
        <f t="shared" si="2"/>
        <v> </v>
      </c>
    </row>
    <row r="1332" ht="15.75" customHeight="1">
      <c r="A1332" s="11">
        <v>12284.0</v>
      </c>
      <c r="B1332" s="11" t="s">
        <v>1360</v>
      </c>
      <c r="C1332" s="12">
        <v>27661.0</v>
      </c>
      <c r="D1332" s="11" t="str">
        <f t="shared" si="1"/>
        <v> </v>
      </c>
      <c r="E1332" s="11" t="str">
        <f t="shared" si="2"/>
        <v> </v>
      </c>
    </row>
    <row r="1333" ht="15.75" customHeight="1">
      <c r="A1333" s="11">
        <v>12285.0</v>
      </c>
      <c r="B1333" s="11" t="s">
        <v>1361</v>
      </c>
      <c r="C1333" s="12">
        <v>16501.0</v>
      </c>
      <c r="D1333" s="11" t="str">
        <f t="shared" si="1"/>
        <v> </v>
      </c>
      <c r="E1333" s="11" t="str">
        <f t="shared" si="2"/>
        <v> </v>
      </c>
    </row>
    <row r="1334" ht="15.75" customHeight="1">
      <c r="A1334" s="11">
        <v>12286.0</v>
      </c>
      <c r="B1334" s="11" t="s">
        <v>1362</v>
      </c>
      <c r="C1334" s="12">
        <v>15780.0</v>
      </c>
      <c r="D1334" s="11" t="str">
        <f t="shared" si="1"/>
        <v> </v>
      </c>
      <c r="E1334" s="11" t="str">
        <f t="shared" si="2"/>
        <v> </v>
      </c>
    </row>
    <row r="1335" ht="15.75" customHeight="1">
      <c r="A1335" s="11">
        <v>12287.0</v>
      </c>
      <c r="B1335" s="11" t="s">
        <v>1363</v>
      </c>
      <c r="C1335" s="12">
        <v>26721.0</v>
      </c>
      <c r="D1335" s="11" t="str">
        <f t="shared" si="1"/>
        <v> </v>
      </c>
      <c r="E1335" s="11" t="str">
        <f t="shared" si="2"/>
        <v> </v>
      </c>
    </row>
    <row r="1336" ht="15.75" customHeight="1">
      <c r="A1336" s="11">
        <v>12288.0</v>
      </c>
      <c r="B1336" s="11" t="s">
        <v>1364</v>
      </c>
      <c r="C1336" s="12">
        <v>20060.0</v>
      </c>
      <c r="D1336" s="11" t="str">
        <f t="shared" si="1"/>
        <v> </v>
      </c>
      <c r="E1336" s="11" t="str">
        <f t="shared" si="2"/>
        <v> </v>
      </c>
    </row>
    <row r="1337" ht="15.75" customHeight="1">
      <c r="A1337" s="11">
        <v>12289.0</v>
      </c>
      <c r="B1337" s="11" t="s">
        <v>1365</v>
      </c>
      <c r="C1337" s="12">
        <v>15105.0</v>
      </c>
      <c r="D1337" s="11" t="str">
        <f t="shared" si="1"/>
        <v> </v>
      </c>
      <c r="E1337" s="11" t="str">
        <f t="shared" si="2"/>
        <v> </v>
      </c>
    </row>
    <row r="1338" ht="15.75" customHeight="1">
      <c r="A1338" s="11">
        <v>12291.0</v>
      </c>
      <c r="B1338" s="11" t="s">
        <v>1366</v>
      </c>
      <c r="C1338" s="12">
        <v>12412.0</v>
      </c>
      <c r="D1338" s="11" t="str">
        <f t="shared" si="1"/>
        <v> </v>
      </c>
      <c r="E1338" s="11" t="str">
        <f t="shared" si="2"/>
        <v> </v>
      </c>
    </row>
    <row r="1339" ht="15.75" customHeight="1">
      <c r="A1339" s="11">
        <v>12292.0</v>
      </c>
      <c r="B1339" s="11" t="s">
        <v>1367</v>
      </c>
      <c r="C1339" s="12">
        <v>20548.0</v>
      </c>
      <c r="D1339" s="11" t="str">
        <f t="shared" si="1"/>
        <v> </v>
      </c>
      <c r="E1339" s="11" t="str">
        <f t="shared" si="2"/>
        <v> </v>
      </c>
    </row>
    <row r="1340" ht="15.75" customHeight="1">
      <c r="A1340" s="11">
        <v>12295.0</v>
      </c>
      <c r="B1340" s="11" t="s">
        <v>1368</v>
      </c>
      <c r="C1340" s="12">
        <v>29631.0</v>
      </c>
      <c r="D1340" s="11" t="str">
        <f t="shared" si="1"/>
        <v> </v>
      </c>
      <c r="E1340" s="11" t="str">
        <f t="shared" si="2"/>
        <v> </v>
      </c>
    </row>
    <row r="1341" ht="15.75" customHeight="1">
      <c r="A1341" s="11">
        <v>12296.0</v>
      </c>
      <c r="B1341" s="11" t="s">
        <v>1369</v>
      </c>
      <c r="C1341" s="12">
        <v>21176.0</v>
      </c>
      <c r="D1341" s="11" t="str">
        <f t="shared" si="1"/>
        <v> </v>
      </c>
      <c r="E1341" s="11" t="str">
        <f t="shared" si="2"/>
        <v> </v>
      </c>
    </row>
    <row r="1342" ht="15.75" customHeight="1">
      <c r="A1342" s="11">
        <v>12297.0</v>
      </c>
      <c r="B1342" s="11" t="s">
        <v>1370</v>
      </c>
      <c r="C1342" s="12">
        <v>26007.0</v>
      </c>
      <c r="D1342" s="11" t="str">
        <f t="shared" si="1"/>
        <v> </v>
      </c>
      <c r="E1342" s="11" t="str">
        <f t="shared" si="2"/>
        <v> </v>
      </c>
    </row>
    <row r="1343" ht="15.75" customHeight="1">
      <c r="A1343" s="11">
        <v>12299.0</v>
      </c>
      <c r="B1343" s="11" t="s">
        <v>1371</v>
      </c>
      <c r="C1343" s="12">
        <v>27985.0</v>
      </c>
      <c r="D1343" s="11" t="str">
        <f t="shared" si="1"/>
        <v> </v>
      </c>
      <c r="E1343" s="11" t="str">
        <f t="shared" si="2"/>
        <v> </v>
      </c>
    </row>
    <row r="1344" ht="15.75" customHeight="1">
      <c r="A1344" s="11">
        <v>12300.0</v>
      </c>
      <c r="B1344" s="11" t="s">
        <v>1372</v>
      </c>
      <c r="C1344" s="12">
        <v>21475.0</v>
      </c>
      <c r="D1344" s="11" t="str">
        <f t="shared" si="1"/>
        <v> </v>
      </c>
      <c r="E1344" s="11" t="str">
        <f t="shared" si="2"/>
        <v> </v>
      </c>
    </row>
    <row r="1345" ht="15.75" customHeight="1">
      <c r="A1345" s="11">
        <v>12301.0</v>
      </c>
      <c r="B1345" s="11" t="s">
        <v>1373</v>
      </c>
      <c r="C1345" s="12">
        <v>17184.0</v>
      </c>
      <c r="D1345" s="11" t="str">
        <f t="shared" si="1"/>
        <v> </v>
      </c>
      <c r="E1345" s="11" t="str">
        <f t="shared" si="2"/>
        <v> </v>
      </c>
    </row>
    <row r="1346" ht="15.75" customHeight="1">
      <c r="A1346" s="11">
        <v>12303.0</v>
      </c>
      <c r="B1346" s="11" t="s">
        <v>1374</v>
      </c>
      <c r="C1346" s="12">
        <v>26384.0</v>
      </c>
      <c r="D1346" s="11" t="str">
        <f t="shared" si="1"/>
        <v> </v>
      </c>
      <c r="E1346" s="11" t="str">
        <f t="shared" si="2"/>
        <v> </v>
      </c>
    </row>
    <row r="1347" ht="15.75" customHeight="1">
      <c r="A1347" s="11">
        <v>12305.0</v>
      </c>
      <c r="B1347" s="11" t="s">
        <v>1375</v>
      </c>
      <c r="C1347" s="12">
        <v>21728.0</v>
      </c>
      <c r="D1347" s="11" t="str">
        <f t="shared" si="1"/>
        <v> </v>
      </c>
      <c r="E1347" s="11" t="str">
        <f t="shared" si="2"/>
        <v> </v>
      </c>
    </row>
    <row r="1348" ht="15.75" customHeight="1">
      <c r="A1348" s="11">
        <v>12306.0</v>
      </c>
      <c r="B1348" s="11" t="s">
        <v>1376</v>
      </c>
      <c r="C1348" s="12">
        <v>24687.0</v>
      </c>
      <c r="D1348" s="11" t="str">
        <f t="shared" si="1"/>
        <v> </v>
      </c>
      <c r="E1348" s="11" t="str">
        <f t="shared" si="2"/>
        <v> </v>
      </c>
    </row>
    <row r="1349" ht="15.75" customHeight="1">
      <c r="A1349" s="11">
        <v>12308.0</v>
      </c>
      <c r="B1349" s="11" t="s">
        <v>1377</v>
      </c>
      <c r="C1349" s="12">
        <v>25252.0</v>
      </c>
      <c r="D1349" s="11" t="str">
        <f t="shared" si="1"/>
        <v> </v>
      </c>
      <c r="E1349" s="11" t="str">
        <f t="shared" si="2"/>
        <v> </v>
      </c>
    </row>
    <row r="1350" ht="15.75" customHeight="1">
      <c r="A1350" s="11">
        <v>12309.0</v>
      </c>
      <c r="B1350" s="11" t="s">
        <v>1378</v>
      </c>
      <c r="C1350" s="12">
        <v>16897.0</v>
      </c>
      <c r="D1350" s="11" t="str">
        <f t="shared" si="1"/>
        <v> </v>
      </c>
      <c r="E1350" s="11" t="str">
        <f t="shared" si="2"/>
        <v> </v>
      </c>
    </row>
    <row r="1351" ht="15.75" customHeight="1">
      <c r="A1351" s="11">
        <v>12311.0</v>
      </c>
      <c r="B1351" s="11" t="s">
        <v>1379</v>
      </c>
      <c r="C1351" s="12">
        <v>24960.0</v>
      </c>
      <c r="D1351" s="11" t="str">
        <f t="shared" si="1"/>
        <v> </v>
      </c>
      <c r="E1351" s="11" t="str">
        <f t="shared" si="2"/>
        <v> </v>
      </c>
    </row>
    <row r="1352" ht="15.75" customHeight="1">
      <c r="A1352" s="11">
        <v>12314.0</v>
      </c>
      <c r="B1352" s="11" t="s">
        <v>1380</v>
      </c>
      <c r="C1352" s="12">
        <v>30045.0</v>
      </c>
      <c r="D1352" s="11" t="str">
        <f t="shared" si="1"/>
        <v> </v>
      </c>
      <c r="E1352" s="11" t="str">
        <f t="shared" si="2"/>
        <v> </v>
      </c>
    </row>
    <row r="1353" ht="15.75" customHeight="1">
      <c r="A1353" s="11">
        <v>12315.0</v>
      </c>
      <c r="B1353" s="11" t="s">
        <v>1381</v>
      </c>
      <c r="C1353" s="12">
        <v>26801.0</v>
      </c>
      <c r="D1353" s="11" t="str">
        <f t="shared" si="1"/>
        <v> </v>
      </c>
      <c r="E1353" s="11" t="str">
        <f t="shared" si="2"/>
        <v> </v>
      </c>
    </row>
    <row r="1354" ht="15.75" customHeight="1">
      <c r="A1354" s="11">
        <v>12316.0</v>
      </c>
      <c r="B1354" s="11" t="s">
        <v>1382</v>
      </c>
      <c r="C1354" s="12">
        <v>21955.0</v>
      </c>
      <c r="D1354" s="11" t="str">
        <f t="shared" si="1"/>
        <v> </v>
      </c>
      <c r="E1354" s="11" t="str">
        <f t="shared" si="2"/>
        <v> </v>
      </c>
    </row>
    <row r="1355" ht="15.75" customHeight="1">
      <c r="A1355" s="11">
        <v>12317.0</v>
      </c>
      <c r="B1355" s="11" t="s">
        <v>1383</v>
      </c>
      <c r="C1355" s="12">
        <v>18043.0</v>
      </c>
      <c r="D1355" s="11" t="str">
        <f t="shared" si="1"/>
        <v> </v>
      </c>
      <c r="E1355" s="11" t="str">
        <f t="shared" si="2"/>
        <v> </v>
      </c>
    </row>
    <row r="1356" ht="15.75" customHeight="1">
      <c r="A1356" s="11">
        <v>12318.0</v>
      </c>
      <c r="B1356" s="11" t="s">
        <v>1384</v>
      </c>
      <c r="C1356" s="12">
        <v>20463.0</v>
      </c>
      <c r="D1356" s="11" t="str">
        <f t="shared" si="1"/>
        <v> </v>
      </c>
      <c r="E1356" s="11" t="str">
        <f t="shared" si="2"/>
        <v> </v>
      </c>
    </row>
    <row r="1357" ht="15.75" customHeight="1">
      <c r="A1357" s="11">
        <v>12319.0</v>
      </c>
      <c r="B1357" s="11" t="s">
        <v>1385</v>
      </c>
      <c r="C1357" s="12">
        <v>16281.0</v>
      </c>
      <c r="D1357" s="11" t="str">
        <f t="shared" si="1"/>
        <v> </v>
      </c>
      <c r="E1357" s="11" t="str">
        <f t="shared" si="2"/>
        <v> </v>
      </c>
    </row>
    <row r="1358" ht="15.75" customHeight="1">
      <c r="A1358" s="11">
        <v>12320.0</v>
      </c>
      <c r="B1358" s="11" t="s">
        <v>1386</v>
      </c>
      <c r="C1358" s="12">
        <v>20092.0</v>
      </c>
      <c r="D1358" s="11" t="str">
        <f t="shared" si="1"/>
        <v> </v>
      </c>
      <c r="E1358" s="11" t="str">
        <f t="shared" si="2"/>
        <v> </v>
      </c>
    </row>
    <row r="1359" ht="15.75" customHeight="1">
      <c r="A1359" s="11">
        <v>12321.0</v>
      </c>
      <c r="B1359" s="11" t="s">
        <v>1387</v>
      </c>
      <c r="C1359" s="12">
        <v>26233.0</v>
      </c>
      <c r="D1359" s="11" t="str">
        <f t="shared" si="1"/>
        <v> </v>
      </c>
      <c r="E1359" s="11" t="str">
        <f t="shared" si="2"/>
        <v> </v>
      </c>
    </row>
    <row r="1360" ht="15.75" customHeight="1">
      <c r="A1360" s="11">
        <v>12322.0</v>
      </c>
      <c r="B1360" s="11" t="s">
        <v>1388</v>
      </c>
      <c r="C1360" s="12">
        <v>24917.0</v>
      </c>
      <c r="D1360" s="11" t="str">
        <f t="shared" si="1"/>
        <v> </v>
      </c>
      <c r="E1360" s="11" t="str">
        <f t="shared" si="2"/>
        <v> </v>
      </c>
    </row>
    <row r="1361" ht="15.75" customHeight="1">
      <c r="A1361" s="11">
        <v>12323.0</v>
      </c>
      <c r="B1361" s="11" t="s">
        <v>1389</v>
      </c>
      <c r="C1361" s="12">
        <v>19587.0</v>
      </c>
      <c r="D1361" s="11" t="str">
        <f t="shared" si="1"/>
        <v> </v>
      </c>
      <c r="E1361" s="11" t="str">
        <f t="shared" si="2"/>
        <v> </v>
      </c>
    </row>
    <row r="1362" ht="15.75" customHeight="1">
      <c r="A1362" s="11">
        <v>12324.0</v>
      </c>
      <c r="B1362" s="11" t="s">
        <v>1390</v>
      </c>
      <c r="C1362" s="12">
        <v>17414.0</v>
      </c>
      <c r="D1362" s="11" t="str">
        <f t="shared" si="1"/>
        <v> </v>
      </c>
      <c r="E1362" s="11" t="str">
        <f t="shared" si="2"/>
        <v> </v>
      </c>
    </row>
    <row r="1363" ht="15.75" customHeight="1">
      <c r="A1363" s="11">
        <v>12325.0</v>
      </c>
      <c r="B1363" s="11" t="s">
        <v>1391</v>
      </c>
      <c r="C1363" s="12">
        <v>20223.0</v>
      </c>
      <c r="D1363" s="11" t="str">
        <f t="shared" si="1"/>
        <v> </v>
      </c>
      <c r="E1363" s="11" t="str">
        <f t="shared" si="2"/>
        <v> </v>
      </c>
    </row>
    <row r="1364" ht="15.75" customHeight="1">
      <c r="A1364" s="11">
        <v>12327.0</v>
      </c>
      <c r="B1364" s="11" t="s">
        <v>1392</v>
      </c>
      <c r="C1364" s="12">
        <v>35605.0</v>
      </c>
      <c r="D1364" s="11" t="str">
        <f t="shared" si="1"/>
        <v> </v>
      </c>
      <c r="E1364" s="11" t="str">
        <f t="shared" si="2"/>
        <v> </v>
      </c>
    </row>
    <row r="1365" ht="15.75" customHeight="1">
      <c r="A1365" s="11">
        <v>12328.0</v>
      </c>
      <c r="B1365" s="11" t="s">
        <v>1393</v>
      </c>
      <c r="C1365" s="12">
        <v>18799.0</v>
      </c>
      <c r="D1365" s="11" t="str">
        <f t="shared" si="1"/>
        <v> </v>
      </c>
      <c r="E1365" s="11" t="str">
        <f t="shared" si="2"/>
        <v> </v>
      </c>
    </row>
    <row r="1366" ht="15.75" customHeight="1">
      <c r="A1366" s="11">
        <v>12329.0</v>
      </c>
      <c r="B1366" s="11" t="s">
        <v>1394</v>
      </c>
      <c r="C1366" s="12">
        <v>16328.0</v>
      </c>
      <c r="D1366" s="11" t="str">
        <f t="shared" si="1"/>
        <v> </v>
      </c>
      <c r="E1366" s="11" t="str">
        <f t="shared" si="2"/>
        <v> </v>
      </c>
    </row>
    <row r="1367" ht="15.75" customHeight="1">
      <c r="A1367" s="11">
        <v>12330.0</v>
      </c>
      <c r="B1367" s="11" t="s">
        <v>1395</v>
      </c>
      <c r="C1367" s="12">
        <v>20028.0</v>
      </c>
      <c r="D1367" s="11" t="str">
        <f t="shared" si="1"/>
        <v> </v>
      </c>
      <c r="E1367" s="11" t="str">
        <f t="shared" si="2"/>
        <v> </v>
      </c>
    </row>
    <row r="1368" ht="15.75" customHeight="1">
      <c r="A1368" s="11">
        <v>12331.0</v>
      </c>
      <c r="B1368" s="11" t="s">
        <v>1396</v>
      </c>
      <c r="C1368" s="12">
        <v>23218.0</v>
      </c>
      <c r="D1368" s="11" t="str">
        <f t="shared" si="1"/>
        <v> </v>
      </c>
      <c r="E1368" s="11" t="str">
        <f t="shared" si="2"/>
        <v> </v>
      </c>
    </row>
    <row r="1369" ht="15.75" customHeight="1">
      <c r="A1369" s="11">
        <v>12332.0</v>
      </c>
      <c r="B1369" s="11" t="s">
        <v>1397</v>
      </c>
      <c r="C1369" s="12">
        <v>20646.0</v>
      </c>
      <c r="D1369" s="11" t="str">
        <f t="shared" si="1"/>
        <v> </v>
      </c>
      <c r="E1369" s="11" t="str">
        <f t="shared" si="2"/>
        <v> </v>
      </c>
    </row>
    <row r="1370" ht="15.75" customHeight="1">
      <c r="A1370" s="11">
        <v>12334.0</v>
      </c>
      <c r="B1370" s="11" t="s">
        <v>1398</v>
      </c>
      <c r="C1370" s="12">
        <v>23149.0</v>
      </c>
      <c r="D1370" s="11" t="str">
        <f t="shared" si="1"/>
        <v> </v>
      </c>
      <c r="E1370" s="11" t="str">
        <f t="shared" si="2"/>
        <v> </v>
      </c>
    </row>
    <row r="1371" ht="15.75" customHeight="1">
      <c r="A1371" s="11">
        <v>12336.0</v>
      </c>
      <c r="B1371" s="11" t="s">
        <v>1399</v>
      </c>
      <c r="C1371" s="12">
        <v>20626.0</v>
      </c>
      <c r="D1371" s="11" t="str">
        <f t="shared" si="1"/>
        <v> </v>
      </c>
      <c r="E1371" s="11" t="str">
        <f t="shared" si="2"/>
        <v> </v>
      </c>
    </row>
    <row r="1372" ht="15.75" customHeight="1">
      <c r="A1372" s="11">
        <v>12338.0</v>
      </c>
      <c r="B1372" s="11" t="s">
        <v>1400</v>
      </c>
      <c r="C1372" s="12">
        <v>29201.0</v>
      </c>
      <c r="D1372" s="11" t="str">
        <f t="shared" si="1"/>
        <v> </v>
      </c>
      <c r="E1372" s="11" t="str">
        <f t="shared" si="2"/>
        <v> </v>
      </c>
    </row>
    <row r="1373" ht="15.75" customHeight="1">
      <c r="A1373" s="11">
        <v>12339.0</v>
      </c>
      <c r="B1373" s="11" t="s">
        <v>1401</v>
      </c>
      <c r="C1373" s="12">
        <v>21702.0</v>
      </c>
      <c r="D1373" s="11" t="str">
        <f t="shared" si="1"/>
        <v>Repeat</v>
      </c>
      <c r="E1373" s="11" t="str">
        <f t="shared" si="2"/>
        <v> </v>
      </c>
    </row>
    <row r="1374" ht="15.75" customHeight="1">
      <c r="A1374" s="11">
        <v>12340.0</v>
      </c>
      <c r="B1374" s="11" t="s">
        <v>1402</v>
      </c>
      <c r="C1374" s="12">
        <v>18088.0</v>
      </c>
      <c r="D1374" s="11" t="str">
        <f t="shared" si="1"/>
        <v> </v>
      </c>
      <c r="E1374" s="11" t="str">
        <f t="shared" si="2"/>
        <v> </v>
      </c>
    </row>
    <row r="1375" ht="15.75" customHeight="1">
      <c r="A1375" s="11">
        <v>12341.0</v>
      </c>
      <c r="B1375" s="11" t="s">
        <v>1403</v>
      </c>
      <c r="C1375" s="12">
        <v>19393.0</v>
      </c>
      <c r="D1375" s="11" t="str">
        <f t="shared" si="1"/>
        <v> </v>
      </c>
      <c r="E1375" s="11" t="str">
        <f t="shared" si="2"/>
        <v> </v>
      </c>
    </row>
    <row r="1376" ht="15.75" customHeight="1">
      <c r="A1376" s="11">
        <v>12345.0</v>
      </c>
      <c r="B1376" s="11" t="s">
        <v>1404</v>
      </c>
      <c r="C1376" s="12">
        <v>35321.0</v>
      </c>
      <c r="D1376" s="11" t="str">
        <f t="shared" si="1"/>
        <v> </v>
      </c>
      <c r="E1376" s="11" t="str">
        <f t="shared" si="2"/>
        <v> </v>
      </c>
    </row>
    <row r="1377" ht="15.75" customHeight="1">
      <c r="A1377" s="11">
        <v>12346.0</v>
      </c>
      <c r="B1377" s="11" t="s">
        <v>1405</v>
      </c>
      <c r="C1377" s="12">
        <v>24264.0</v>
      </c>
      <c r="D1377" s="11" t="str">
        <f t="shared" si="1"/>
        <v> </v>
      </c>
      <c r="E1377" s="11" t="str">
        <f t="shared" si="2"/>
        <v> </v>
      </c>
    </row>
    <row r="1378" ht="15.75" customHeight="1">
      <c r="A1378" s="11">
        <v>12347.0</v>
      </c>
      <c r="B1378" s="11" t="s">
        <v>1406</v>
      </c>
      <c r="C1378" s="12">
        <v>19119.0</v>
      </c>
      <c r="D1378" s="11" t="str">
        <f t="shared" si="1"/>
        <v> </v>
      </c>
      <c r="E1378" s="11" t="str">
        <f t="shared" si="2"/>
        <v> </v>
      </c>
    </row>
    <row r="1379" ht="15.75" customHeight="1">
      <c r="A1379" s="11">
        <v>12349.0</v>
      </c>
      <c r="B1379" s="11" t="s">
        <v>1407</v>
      </c>
      <c r="C1379" s="12">
        <v>27318.0</v>
      </c>
      <c r="D1379" s="11" t="str">
        <f t="shared" si="1"/>
        <v> </v>
      </c>
      <c r="E1379" s="11" t="str">
        <f t="shared" si="2"/>
        <v> </v>
      </c>
    </row>
    <row r="1380" ht="15.75" customHeight="1">
      <c r="A1380" s="11">
        <v>12355.0</v>
      </c>
      <c r="B1380" s="11" t="s">
        <v>1408</v>
      </c>
      <c r="C1380" s="12">
        <v>19441.0</v>
      </c>
      <c r="D1380" s="11" t="str">
        <f t="shared" si="1"/>
        <v>Repeat</v>
      </c>
      <c r="E1380" s="11" t="str">
        <f t="shared" si="2"/>
        <v> </v>
      </c>
    </row>
    <row r="1381" ht="15.75" customHeight="1">
      <c r="A1381" s="11">
        <v>12358.0</v>
      </c>
      <c r="B1381" s="11" t="s">
        <v>1409</v>
      </c>
      <c r="C1381" s="12">
        <v>16260.0</v>
      </c>
      <c r="D1381" s="11" t="str">
        <f t="shared" si="1"/>
        <v> </v>
      </c>
      <c r="E1381" s="11" t="str">
        <f t="shared" si="2"/>
        <v> </v>
      </c>
    </row>
    <row r="1382" ht="15.75" customHeight="1">
      <c r="A1382" s="11">
        <v>12360.0</v>
      </c>
      <c r="B1382" s="11" t="s">
        <v>1410</v>
      </c>
      <c r="C1382" s="12">
        <v>27366.0</v>
      </c>
      <c r="D1382" s="11" t="str">
        <f t="shared" si="1"/>
        <v> </v>
      </c>
      <c r="E1382" s="11" t="str">
        <f t="shared" si="2"/>
        <v> </v>
      </c>
    </row>
    <row r="1383" ht="15.75" customHeight="1">
      <c r="A1383" s="11">
        <v>12361.0</v>
      </c>
      <c r="B1383" s="11" t="s">
        <v>1411</v>
      </c>
      <c r="C1383" s="12">
        <v>21035.0</v>
      </c>
      <c r="D1383" s="11" t="str">
        <f t="shared" si="1"/>
        <v> </v>
      </c>
      <c r="E1383" s="11" t="str">
        <f t="shared" si="2"/>
        <v> </v>
      </c>
    </row>
    <row r="1384" ht="15.75" customHeight="1">
      <c r="A1384" s="11">
        <v>12362.0</v>
      </c>
      <c r="B1384" s="11" t="s">
        <v>1412</v>
      </c>
      <c r="C1384" s="12">
        <v>19975.0</v>
      </c>
      <c r="D1384" s="11" t="str">
        <f t="shared" si="1"/>
        <v> </v>
      </c>
      <c r="E1384" s="11" t="str">
        <f t="shared" si="2"/>
        <v> </v>
      </c>
    </row>
    <row r="1385" ht="15.75" customHeight="1">
      <c r="A1385" s="11">
        <v>12363.0</v>
      </c>
      <c r="B1385" s="11" t="s">
        <v>1413</v>
      </c>
      <c r="C1385" s="12">
        <v>23307.0</v>
      </c>
      <c r="D1385" s="11" t="str">
        <f t="shared" si="1"/>
        <v> </v>
      </c>
      <c r="E1385" s="11" t="str">
        <f t="shared" si="2"/>
        <v> </v>
      </c>
    </row>
    <row r="1386" ht="15.75" customHeight="1">
      <c r="A1386" s="11">
        <v>12367.0</v>
      </c>
      <c r="B1386" s="11" t="s">
        <v>1414</v>
      </c>
      <c r="C1386" s="12">
        <v>19657.0</v>
      </c>
      <c r="D1386" s="11" t="str">
        <f t="shared" si="1"/>
        <v> </v>
      </c>
      <c r="E1386" s="11" t="str">
        <f t="shared" si="2"/>
        <v> </v>
      </c>
    </row>
    <row r="1387" ht="15.75" customHeight="1">
      <c r="A1387" s="11">
        <v>12368.0</v>
      </c>
      <c r="B1387" s="11" t="s">
        <v>1415</v>
      </c>
      <c r="C1387" s="12">
        <v>16930.0</v>
      </c>
      <c r="D1387" s="11" t="str">
        <f t="shared" si="1"/>
        <v> </v>
      </c>
      <c r="E1387" s="11" t="str">
        <f t="shared" si="2"/>
        <v> </v>
      </c>
    </row>
    <row r="1388" ht="15.75" customHeight="1">
      <c r="A1388" s="11">
        <v>12370.0</v>
      </c>
      <c r="B1388" s="11" t="s">
        <v>1416</v>
      </c>
      <c r="C1388" s="12">
        <v>29544.0</v>
      </c>
      <c r="D1388" s="11" t="str">
        <f t="shared" si="1"/>
        <v> </v>
      </c>
      <c r="E1388" s="11" t="str">
        <f t="shared" si="2"/>
        <v> </v>
      </c>
    </row>
    <row r="1389" ht="15.75" customHeight="1">
      <c r="A1389" s="11">
        <v>12373.0</v>
      </c>
      <c r="B1389" s="11" t="s">
        <v>1417</v>
      </c>
      <c r="C1389" s="12">
        <v>10977.0</v>
      </c>
      <c r="D1389" s="11" t="str">
        <f t="shared" si="1"/>
        <v> </v>
      </c>
      <c r="E1389" s="11" t="str">
        <f t="shared" si="2"/>
        <v> </v>
      </c>
    </row>
    <row r="1390" ht="15.75" customHeight="1">
      <c r="A1390" s="11">
        <v>12374.0</v>
      </c>
      <c r="B1390" s="11" t="s">
        <v>1418</v>
      </c>
      <c r="C1390" s="12">
        <v>24523.0</v>
      </c>
      <c r="D1390" s="11" t="str">
        <f t="shared" si="1"/>
        <v> </v>
      </c>
      <c r="E1390" s="11" t="str">
        <f t="shared" si="2"/>
        <v> </v>
      </c>
    </row>
    <row r="1391" ht="15.75" customHeight="1">
      <c r="A1391" s="11">
        <v>12375.0</v>
      </c>
      <c r="B1391" s="11" t="s">
        <v>1419</v>
      </c>
      <c r="C1391" s="12">
        <v>25838.0</v>
      </c>
      <c r="D1391" s="11" t="str">
        <f t="shared" si="1"/>
        <v>Repeat</v>
      </c>
      <c r="E1391" s="11" t="str">
        <f t="shared" si="2"/>
        <v> </v>
      </c>
    </row>
    <row r="1392" ht="15.75" customHeight="1">
      <c r="A1392" s="11">
        <v>12376.0</v>
      </c>
      <c r="B1392" s="11" t="s">
        <v>1420</v>
      </c>
      <c r="C1392" s="12">
        <v>26645.0</v>
      </c>
      <c r="D1392" s="11" t="str">
        <f t="shared" si="1"/>
        <v> </v>
      </c>
      <c r="E1392" s="11" t="str">
        <f t="shared" si="2"/>
        <v> </v>
      </c>
    </row>
    <row r="1393" ht="15.75" customHeight="1">
      <c r="A1393" s="11">
        <v>12377.0</v>
      </c>
      <c r="B1393" s="11" t="s">
        <v>1421</v>
      </c>
      <c r="C1393" s="12">
        <v>16991.0</v>
      </c>
      <c r="D1393" s="11" t="str">
        <f t="shared" si="1"/>
        <v> </v>
      </c>
      <c r="E1393" s="11" t="str">
        <f t="shared" si="2"/>
        <v> </v>
      </c>
    </row>
    <row r="1394" ht="15.75" customHeight="1">
      <c r="A1394" s="11">
        <v>12381.0</v>
      </c>
      <c r="B1394" s="11" t="s">
        <v>1422</v>
      </c>
      <c r="C1394" s="12">
        <v>26666.0</v>
      </c>
      <c r="D1394" s="11" t="str">
        <f t="shared" si="1"/>
        <v> </v>
      </c>
      <c r="E1394" s="11" t="str">
        <f t="shared" si="2"/>
        <v> </v>
      </c>
    </row>
    <row r="1395" ht="15.75" customHeight="1">
      <c r="A1395" s="11">
        <v>12382.0</v>
      </c>
      <c r="B1395" s="11" t="s">
        <v>1423</v>
      </c>
      <c r="C1395" s="12">
        <v>32750.0</v>
      </c>
      <c r="D1395" s="11" t="str">
        <f t="shared" si="1"/>
        <v> </v>
      </c>
      <c r="E1395" s="11" t="str">
        <f t="shared" si="2"/>
        <v> </v>
      </c>
    </row>
    <row r="1396" ht="15.75" customHeight="1">
      <c r="A1396" s="11">
        <v>12383.0</v>
      </c>
      <c r="B1396" s="11" t="s">
        <v>1424</v>
      </c>
      <c r="C1396" s="12">
        <v>26443.0</v>
      </c>
      <c r="D1396" s="11" t="str">
        <f t="shared" si="1"/>
        <v> </v>
      </c>
      <c r="E1396" s="11" t="str">
        <f t="shared" si="2"/>
        <v> </v>
      </c>
    </row>
    <row r="1397" ht="15.75" customHeight="1">
      <c r="A1397" s="11">
        <v>12384.0</v>
      </c>
      <c r="B1397" s="11" t="s">
        <v>1425</v>
      </c>
      <c r="C1397" s="12">
        <v>23758.0</v>
      </c>
      <c r="D1397" s="11" t="str">
        <f t="shared" si="1"/>
        <v> </v>
      </c>
      <c r="E1397" s="11" t="str">
        <f t="shared" si="2"/>
        <v> </v>
      </c>
    </row>
    <row r="1398" ht="15.75" customHeight="1">
      <c r="A1398" s="11">
        <v>12385.0</v>
      </c>
      <c r="B1398" s="11" t="s">
        <v>1426</v>
      </c>
      <c r="C1398" s="12">
        <v>17502.0</v>
      </c>
      <c r="D1398" s="11" t="str">
        <f t="shared" si="1"/>
        <v> </v>
      </c>
      <c r="E1398" s="11" t="str">
        <f t="shared" si="2"/>
        <v> </v>
      </c>
    </row>
    <row r="1399" ht="15.75" customHeight="1">
      <c r="A1399" s="11">
        <v>12389.0</v>
      </c>
      <c r="B1399" s="11" t="s">
        <v>1427</v>
      </c>
      <c r="C1399" s="12">
        <v>29152.0</v>
      </c>
      <c r="D1399" s="11" t="str">
        <f t="shared" si="1"/>
        <v> </v>
      </c>
      <c r="E1399" s="11" t="str">
        <f t="shared" si="2"/>
        <v> </v>
      </c>
    </row>
    <row r="1400" ht="15.75" customHeight="1">
      <c r="A1400" s="11">
        <v>12390.0</v>
      </c>
      <c r="B1400" s="11" t="s">
        <v>1428</v>
      </c>
      <c r="C1400" s="12">
        <v>21314.0</v>
      </c>
      <c r="D1400" s="11" t="str">
        <f t="shared" si="1"/>
        <v> </v>
      </c>
      <c r="E1400" s="11" t="str">
        <f t="shared" si="2"/>
        <v> </v>
      </c>
    </row>
    <row r="1401" ht="15.75" customHeight="1">
      <c r="A1401" s="11">
        <v>12391.0</v>
      </c>
      <c r="B1401" s="11" t="s">
        <v>1429</v>
      </c>
      <c r="C1401" s="12">
        <v>28136.0</v>
      </c>
      <c r="D1401" s="11" t="str">
        <f t="shared" si="1"/>
        <v> </v>
      </c>
      <c r="E1401" s="11" t="str">
        <f t="shared" si="2"/>
        <v> </v>
      </c>
    </row>
    <row r="1402" ht="15.75" customHeight="1">
      <c r="A1402" s="11">
        <v>12392.0</v>
      </c>
      <c r="B1402" s="11" t="s">
        <v>1430</v>
      </c>
      <c r="C1402" s="12">
        <v>22928.0</v>
      </c>
      <c r="D1402" s="11" t="str">
        <f t="shared" si="1"/>
        <v> </v>
      </c>
      <c r="E1402" s="11" t="str">
        <f t="shared" si="2"/>
        <v> </v>
      </c>
    </row>
    <row r="1403" ht="15.75" customHeight="1">
      <c r="A1403" s="11">
        <v>12395.0</v>
      </c>
      <c r="B1403" s="11" t="s">
        <v>1431</v>
      </c>
      <c r="C1403" s="12">
        <v>17539.0</v>
      </c>
      <c r="D1403" s="11" t="str">
        <f t="shared" si="1"/>
        <v> </v>
      </c>
      <c r="E1403" s="11" t="str">
        <f t="shared" si="2"/>
        <v> </v>
      </c>
    </row>
    <row r="1404" ht="15.75" customHeight="1">
      <c r="A1404" s="11">
        <v>12396.0</v>
      </c>
      <c r="B1404" s="11" t="s">
        <v>1432</v>
      </c>
      <c r="C1404" s="12">
        <v>23046.0</v>
      </c>
      <c r="D1404" s="11" t="str">
        <f t="shared" si="1"/>
        <v> </v>
      </c>
      <c r="E1404" s="11" t="str">
        <f t="shared" si="2"/>
        <v> </v>
      </c>
    </row>
    <row r="1405" ht="15.75" customHeight="1">
      <c r="A1405" s="11">
        <v>12397.0</v>
      </c>
      <c r="B1405" s="11" t="s">
        <v>1433</v>
      </c>
      <c r="C1405" s="12">
        <v>24151.0</v>
      </c>
      <c r="D1405" s="11" t="str">
        <f t="shared" si="1"/>
        <v> </v>
      </c>
      <c r="E1405" s="11" t="str">
        <f t="shared" si="2"/>
        <v> </v>
      </c>
    </row>
    <row r="1406" ht="15.75" customHeight="1">
      <c r="A1406" s="11">
        <v>12398.0</v>
      </c>
      <c r="B1406" s="11" t="s">
        <v>1434</v>
      </c>
      <c r="C1406" s="12">
        <v>35363.0</v>
      </c>
      <c r="D1406" s="11" t="str">
        <f t="shared" si="1"/>
        <v> </v>
      </c>
      <c r="E1406" s="11" t="str">
        <f t="shared" si="2"/>
        <v> </v>
      </c>
    </row>
    <row r="1407" ht="15.75" customHeight="1">
      <c r="A1407" s="11">
        <v>12402.0</v>
      </c>
      <c r="B1407" s="11" t="s">
        <v>1435</v>
      </c>
      <c r="C1407" s="12">
        <v>13912.0</v>
      </c>
      <c r="D1407" s="11" t="str">
        <f t="shared" si="1"/>
        <v> </v>
      </c>
      <c r="E1407" s="11" t="str">
        <f t="shared" si="2"/>
        <v> </v>
      </c>
    </row>
    <row r="1408" ht="15.75" customHeight="1">
      <c r="A1408" s="11">
        <v>12403.0</v>
      </c>
      <c r="B1408" s="11" t="s">
        <v>1436</v>
      </c>
      <c r="C1408" s="12">
        <v>35492.0</v>
      </c>
      <c r="D1408" s="11" t="str">
        <f t="shared" si="1"/>
        <v> </v>
      </c>
      <c r="E1408" s="11" t="str">
        <f t="shared" si="2"/>
        <v> </v>
      </c>
    </row>
    <row r="1409" ht="15.75" customHeight="1">
      <c r="A1409" s="11">
        <v>12404.0</v>
      </c>
      <c r="B1409" s="11" t="s">
        <v>1437</v>
      </c>
      <c r="C1409" s="12">
        <v>32100.0</v>
      </c>
      <c r="D1409" s="11" t="str">
        <f t="shared" si="1"/>
        <v> </v>
      </c>
      <c r="E1409" s="11" t="str">
        <f t="shared" si="2"/>
        <v> </v>
      </c>
    </row>
    <row r="1410" ht="15.75" customHeight="1">
      <c r="A1410" s="11">
        <v>12408.0</v>
      </c>
      <c r="B1410" s="11" t="s">
        <v>1438</v>
      </c>
      <c r="C1410" s="12">
        <v>23198.0</v>
      </c>
      <c r="D1410" s="11" t="str">
        <f t="shared" si="1"/>
        <v> </v>
      </c>
      <c r="E1410" s="11" t="str">
        <f t="shared" si="2"/>
        <v> </v>
      </c>
    </row>
    <row r="1411" ht="15.75" customHeight="1">
      <c r="A1411" s="11">
        <v>12409.0</v>
      </c>
      <c r="B1411" s="11" t="s">
        <v>1439</v>
      </c>
      <c r="C1411" s="12">
        <v>27442.0</v>
      </c>
      <c r="D1411" s="11" t="str">
        <f t="shared" si="1"/>
        <v> </v>
      </c>
      <c r="E1411" s="11" t="str">
        <f t="shared" si="2"/>
        <v> </v>
      </c>
    </row>
    <row r="1412" ht="15.75" customHeight="1">
      <c r="A1412" s="11">
        <v>12412.0</v>
      </c>
      <c r="B1412" s="11" t="s">
        <v>1440</v>
      </c>
      <c r="C1412" s="12">
        <v>21267.0</v>
      </c>
      <c r="D1412" s="11" t="str">
        <f t="shared" si="1"/>
        <v> </v>
      </c>
      <c r="E1412" s="11" t="str">
        <f t="shared" si="2"/>
        <v> </v>
      </c>
    </row>
    <row r="1413" ht="15.75" customHeight="1">
      <c r="A1413" s="11">
        <v>12415.0</v>
      </c>
      <c r="B1413" s="11" t="s">
        <v>1441</v>
      </c>
      <c r="C1413" s="12">
        <v>20084.0</v>
      </c>
      <c r="D1413" s="11" t="str">
        <f t="shared" si="1"/>
        <v> </v>
      </c>
      <c r="E1413" s="11" t="str">
        <f t="shared" si="2"/>
        <v> </v>
      </c>
    </row>
    <row r="1414" ht="15.75" customHeight="1">
      <c r="A1414" s="11">
        <v>12416.0</v>
      </c>
      <c r="B1414" s="11" t="s">
        <v>1442</v>
      </c>
      <c r="C1414" s="12">
        <v>14204.0</v>
      </c>
      <c r="D1414" s="11" t="str">
        <f t="shared" si="1"/>
        <v> </v>
      </c>
      <c r="E1414" s="11" t="str">
        <f t="shared" si="2"/>
        <v> </v>
      </c>
    </row>
    <row r="1415" ht="15.75" customHeight="1">
      <c r="A1415" s="11">
        <v>12419.0</v>
      </c>
      <c r="B1415" s="11" t="s">
        <v>1443</v>
      </c>
      <c r="C1415" s="12">
        <v>18425.0</v>
      </c>
      <c r="D1415" s="11" t="str">
        <f t="shared" si="1"/>
        <v> </v>
      </c>
      <c r="E1415" s="11" t="str">
        <f t="shared" si="2"/>
        <v> </v>
      </c>
    </row>
    <row r="1416" ht="15.75" customHeight="1">
      <c r="A1416" s="11">
        <v>12420.0</v>
      </c>
      <c r="B1416" s="11" t="s">
        <v>1444</v>
      </c>
      <c r="C1416" s="12">
        <v>25800.0</v>
      </c>
      <c r="D1416" s="11" t="str">
        <f t="shared" si="1"/>
        <v> </v>
      </c>
      <c r="E1416" s="11" t="str">
        <f t="shared" si="2"/>
        <v> </v>
      </c>
    </row>
    <row r="1417" ht="15.75" customHeight="1">
      <c r="A1417" s="11">
        <v>12421.0</v>
      </c>
      <c r="B1417" s="11" t="s">
        <v>1445</v>
      </c>
      <c r="C1417" s="12">
        <v>26705.0</v>
      </c>
      <c r="D1417" s="11" t="str">
        <f t="shared" si="1"/>
        <v> </v>
      </c>
      <c r="E1417" s="11" t="str">
        <f t="shared" si="2"/>
        <v> </v>
      </c>
    </row>
    <row r="1418" ht="15.75" customHeight="1">
      <c r="A1418" s="11">
        <v>12423.0</v>
      </c>
      <c r="B1418" s="11" t="s">
        <v>1446</v>
      </c>
      <c r="C1418" s="12">
        <v>13601.0</v>
      </c>
      <c r="D1418" s="11" t="str">
        <f t="shared" si="1"/>
        <v> </v>
      </c>
      <c r="E1418" s="11" t="str">
        <f t="shared" si="2"/>
        <v> </v>
      </c>
    </row>
    <row r="1419" ht="15.75" customHeight="1">
      <c r="A1419" s="11">
        <v>12424.0</v>
      </c>
      <c r="B1419" s="11" t="s">
        <v>1447</v>
      </c>
      <c r="C1419" s="12">
        <v>18316.0</v>
      </c>
      <c r="D1419" s="11" t="str">
        <f t="shared" si="1"/>
        <v> </v>
      </c>
      <c r="E1419" s="11" t="str">
        <f t="shared" si="2"/>
        <v> </v>
      </c>
    </row>
    <row r="1420" ht="15.75" customHeight="1">
      <c r="A1420" s="11">
        <v>12425.0</v>
      </c>
      <c r="B1420" s="11" t="s">
        <v>1448</v>
      </c>
      <c r="C1420" s="12">
        <v>30228.0</v>
      </c>
      <c r="D1420" s="11" t="str">
        <f t="shared" si="1"/>
        <v> </v>
      </c>
      <c r="E1420" s="11" t="str">
        <f t="shared" si="2"/>
        <v> </v>
      </c>
    </row>
    <row r="1421" ht="15.75" customHeight="1">
      <c r="A1421" s="11">
        <v>12426.0</v>
      </c>
      <c r="B1421" s="11" t="s">
        <v>1449</v>
      </c>
      <c r="C1421" s="12">
        <v>16218.0</v>
      </c>
      <c r="D1421" s="11" t="str">
        <f t="shared" si="1"/>
        <v> </v>
      </c>
      <c r="E1421" s="11" t="str">
        <f t="shared" si="2"/>
        <v> </v>
      </c>
    </row>
    <row r="1422" ht="15.75" customHeight="1">
      <c r="A1422" s="11">
        <v>12427.0</v>
      </c>
      <c r="B1422" s="11" t="s">
        <v>1450</v>
      </c>
      <c r="C1422" s="12">
        <v>30171.0</v>
      </c>
      <c r="D1422" s="11" t="str">
        <f t="shared" si="1"/>
        <v> </v>
      </c>
      <c r="E1422" s="11" t="str">
        <f t="shared" si="2"/>
        <v> </v>
      </c>
    </row>
    <row r="1423" ht="15.75" customHeight="1">
      <c r="A1423" s="11">
        <v>12428.0</v>
      </c>
      <c r="B1423" s="11" t="s">
        <v>1451</v>
      </c>
      <c r="C1423" s="12">
        <v>24072.0</v>
      </c>
      <c r="D1423" s="11" t="str">
        <f t="shared" si="1"/>
        <v> </v>
      </c>
      <c r="E1423" s="11" t="str">
        <f t="shared" si="2"/>
        <v> </v>
      </c>
    </row>
    <row r="1424" ht="15.75" customHeight="1">
      <c r="A1424" s="11">
        <v>12429.0</v>
      </c>
      <c r="B1424" s="11" t="s">
        <v>1452</v>
      </c>
      <c r="C1424" s="12">
        <v>21926.0</v>
      </c>
      <c r="D1424" s="11" t="str">
        <f t="shared" si="1"/>
        <v> </v>
      </c>
      <c r="E1424" s="11" t="str">
        <f t="shared" si="2"/>
        <v> </v>
      </c>
    </row>
    <row r="1425" ht="15.75" customHeight="1">
      <c r="A1425" s="11">
        <v>12430.0</v>
      </c>
      <c r="B1425" s="11" t="s">
        <v>1453</v>
      </c>
      <c r="C1425" s="12">
        <v>23225.0</v>
      </c>
      <c r="D1425" s="11" t="str">
        <f t="shared" si="1"/>
        <v> </v>
      </c>
      <c r="E1425" s="11" t="str">
        <f t="shared" si="2"/>
        <v> </v>
      </c>
    </row>
    <row r="1426" ht="15.75" customHeight="1">
      <c r="A1426" s="11">
        <v>12435.0</v>
      </c>
      <c r="B1426" s="11" t="s">
        <v>1454</v>
      </c>
      <c r="C1426" s="12">
        <v>26962.0</v>
      </c>
      <c r="D1426" s="11" t="str">
        <f t="shared" si="1"/>
        <v> </v>
      </c>
      <c r="E1426" s="11" t="str">
        <f t="shared" si="2"/>
        <v> </v>
      </c>
    </row>
    <row r="1427" ht="15.75" customHeight="1">
      <c r="A1427" s="11">
        <v>12436.0</v>
      </c>
      <c r="B1427" s="11" t="s">
        <v>1455</v>
      </c>
      <c r="C1427" s="12">
        <v>28422.0</v>
      </c>
      <c r="D1427" s="11" t="str">
        <f t="shared" si="1"/>
        <v> </v>
      </c>
      <c r="E1427" s="11" t="str">
        <f t="shared" si="2"/>
        <v> </v>
      </c>
    </row>
    <row r="1428" ht="15.75" customHeight="1">
      <c r="A1428" s="11">
        <v>12437.0</v>
      </c>
      <c r="B1428" s="11" t="s">
        <v>1456</v>
      </c>
      <c r="C1428" s="12">
        <v>26220.0</v>
      </c>
      <c r="D1428" s="11" t="str">
        <f t="shared" si="1"/>
        <v> </v>
      </c>
      <c r="E1428" s="11" t="str">
        <f t="shared" si="2"/>
        <v> </v>
      </c>
    </row>
    <row r="1429" ht="15.75" customHeight="1">
      <c r="A1429" s="11">
        <v>12440.0</v>
      </c>
      <c r="B1429" s="11" t="s">
        <v>1457</v>
      </c>
      <c r="C1429" s="12">
        <v>18158.0</v>
      </c>
      <c r="D1429" s="11" t="str">
        <f t="shared" si="1"/>
        <v> </v>
      </c>
      <c r="E1429" s="11" t="str">
        <f t="shared" si="2"/>
        <v> </v>
      </c>
    </row>
    <row r="1430" ht="15.75" customHeight="1">
      <c r="A1430" s="11">
        <v>12441.0</v>
      </c>
      <c r="B1430" s="11" t="s">
        <v>1458</v>
      </c>
      <c r="C1430" s="12">
        <v>15335.0</v>
      </c>
      <c r="D1430" s="11" t="str">
        <f t="shared" si="1"/>
        <v> </v>
      </c>
      <c r="E1430" s="11" t="str">
        <f t="shared" si="2"/>
        <v> </v>
      </c>
    </row>
    <row r="1431" ht="15.75" customHeight="1">
      <c r="A1431" s="11">
        <v>12444.0</v>
      </c>
      <c r="B1431" s="11" t="s">
        <v>1459</v>
      </c>
      <c r="C1431" s="12">
        <v>13254.0</v>
      </c>
      <c r="D1431" s="11" t="str">
        <f t="shared" si="1"/>
        <v> </v>
      </c>
      <c r="E1431" s="11" t="str">
        <f t="shared" si="2"/>
        <v> </v>
      </c>
    </row>
    <row r="1432" ht="15.75" customHeight="1">
      <c r="A1432" s="11">
        <v>12446.0</v>
      </c>
      <c r="B1432" s="11" t="s">
        <v>1460</v>
      </c>
      <c r="C1432" s="12">
        <v>33168.0</v>
      </c>
      <c r="D1432" s="11" t="str">
        <f t="shared" si="1"/>
        <v> </v>
      </c>
      <c r="E1432" s="11" t="str">
        <f t="shared" si="2"/>
        <v> </v>
      </c>
    </row>
    <row r="1433" ht="15.75" customHeight="1">
      <c r="A1433" s="11">
        <v>12447.0</v>
      </c>
      <c r="B1433" s="11" t="s">
        <v>1461</v>
      </c>
      <c r="C1433" s="12">
        <v>19264.0</v>
      </c>
      <c r="D1433" s="11" t="str">
        <f t="shared" si="1"/>
        <v> </v>
      </c>
      <c r="E1433" s="11" t="str">
        <f t="shared" si="2"/>
        <v> </v>
      </c>
    </row>
    <row r="1434" ht="15.75" customHeight="1">
      <c r="A1434" s="11">
        <v>12448.0</v>
      </c>
      <c r="B1434" s="11" t="s">
        <v>1462</v>
      </c>
      <c r="C1434" s="12">
        <v>28823.0</v>
      </c>
      <c r="D1434" s="11" t="str">
        <f t="shared" si="1"/>
        <v> </v>
      </c>
      <c r="E1434" s="11" t="str">
        <f t="shared" si="2"/>
        <v> </v>
      </c>
    </row>
    <row r="1435" ht="15.75" customHeight="1">
      <c r="A1435" s="11">
        <v>12449.0</v>
      </c>
      <c r="B1435" s="11" t="s">
        <v>1463</v>
      </c>
      <c r="C1435" s="12">
        <v>28211.0</v>
      </c>
      <c r="D1435" s="11" t="str">
        <f t="shared" si="1"/>
        <v> </v>
      </c>
      <c r="E1435" s="11" t="str">
        <f t="shared" si="2"/>
        <v> </v>
      </c>
    </row>
    <row r="1436" ht="15.75" customHeight="1">
      <c r="A1436" s="11">
        <v>12450.0</v>
      </c>
      <c r="B1436" s="11" t="s">
        <v>1464</v>
      </c>
      <c r="C1436" s="12">
        <v>31928.0</v>
      </c>
      <c r="D1436" s="11" t="str">
        <f t="shared" si="1"/>
        <v> </v>
      </c>
      <c r="E1436" s="11" t="str">
        <f t="shared" si="2"/>
        <v> </v>
      </c>
    </row>
    <row r="1437" ht="15.75" customHeight="1">
      <c r="A1437" s="11">
        <v>12451.0</v>
      </c>
      <c r="B1437" s="11" t="s">
        <v>1465</v>
      </c>
      <c r="C1437" s="12">
        <v>24856.0</v>
      </c>
      <c r="D1437" s="11" t="str">
        <f t="shared" si="1"/>
        <v> </v>
      </c>
      <c r="E1437" s="11" t="str">
        <f t="shared" si="2"/>
        <v> </v>
      </c>
    </row>
    <row r="1438" ht="15.75" customHeight="1">
      <c r="A1438" s="11">
        <v>12452.0</v>
      </c>
      <c r="B1438" s="11" t="s">
        <v>1466</v>
      </c>
      <c r="C1438" s="12">
        <v>23678.0</v>
      </c>
      <c r="D1438" s="11" t="str">
        <f t="shared" si="1"/>
        <v> </v>
      </c>
      <c r="E1438" s="11" t="str">
        <f t="shared" si="2"/>
        <v> </v>
      </c>
    </row>
    <row r="1439" ht="15.75" customHeight="1">
      <c r="A1439" s="11">
        <v>12454.0</v>
      </c>
      <c r="B1439" s="11" t="s">
        <v>1467</v>
      </c>
      <c r="C1439" s="12">
        <v>18970.0</v>
      </c>
      <c r="D1439" s="11" t="str">
        <f t="shared" si="1"/>
        <v> </v>
      </c>
      <c r="E1439" s="11" t="str">
        <f t="shared" si="2"/>
        <v> </v>
      </c>
    </row>
    <row r="1440" ht="15.75" customHeight="1">
      <c r="A1440" s="11">
        <v>12456.0</v>
      </c>
      <c r="B1440" s="11" t="s">
        <v>1468</v>
      </c>
      <c r="C1440" s="12">
        <v>21224.0</v>
      </c>
      <c r="D1440" s="11" t="str">
        <f t="shared" si="1"/>
        <v> </v>
      </c>
      <c r="E1440" s="11" t="str">
        <f t="shared" si="2"/>
        <v> </v>
      </c>
    </row>
    <row r="1441" ht="15.75" customHeight="1">
      <c r="A1441" s="11">
        <v>12457.0</v>
      </c>
      <c r="B1441" s="11" t="s">
        <v>1469</v>
      </c>
      <c r="C1441" s="12">
        <v>16652.0</v>
      </c>
      <c r="D1441" s="11" t="str">
        <f t="shared" si="1"/>
        <v> </v>
      </c>
      <c r="E1441" s="11" t="str">
        <f t="shared" si="2"/>
        <v> </v>
      </c>
    </row>
    <row r="1442" ht="15.75" customHeight="1">
      <c r="A1442" s="11">
        <v>12458.0</v>
      </c>
      <c r="B1442" s="11" t="s">
        <v>1470</v>
      </c>
      <c r="C1442" s="12">
        <v>18119.0</v>
      </c>
      <c r="D1442" s="11" t="str">
        <f t="shared" si="1"/>
        <v> </v>
      </c>
      <c r="E1442" s="11" t="str">
        <f t="shared" si="2"/>
        <v> </v>
      </c>
    </row>
    <row r="1443" ht="15.75" customHeight="1">
      <c r="A1443" s="11">
        <v>12459.0</v>
      </c>
      <c r="B1443" s="11" t="s">
        <v>1471</v>
      </c>
      <c r="C1443" s="12">
        <v>23886.0</v>
      </c>
      <c r="D1443" s="11" t="str">
        <f t="shared" si="1"/>
        <v> </v>
      </c>
      <c r="E1443" s="11" t="str">
        <f t="shared" si="2"/>
        <v> </v>
      </c>
    </row>
    <row r="1444" ht="15.75" customHeight="1">
      <c r="A1444" s="11">
        <v>12461.0</v>
      </c>
      <c r="B1444" s="11" t="s">
        <v>1472</v>
      </c>
      <c r="C1444" s="12">
        <v>36129.0</v>
      </c>
      <c r="D1444" s="11" t="str">
        <f t="shared" si="1"/>
        <v> </v>
      </c>
      <c r="E1444" s="11" t="str">
        <f t="shared" si="2"/>
        <v> </v>
      </c>
    </row>
    <row r="1445" ht="15.75" customHeight="1">
      <c r="A1445" s="11">
        <v>12463.0</v>
      </c>
      <c r="B1445" s="11" t="s">
        <v>1473</v>
      </c>
      <c r="C1445" s="12">
        <v>26067.0</v>
      </c>
      <c r="D1445" s="11" t="str">
        <f t="shared" si="1"/>
        <v> </v>
      </c>
      <c r="E1445" s="11" t="str">
        <f t="shared" si="2"/>
        <v> </v>
      </c>
    </row>
    <row r="1446" ht="15.75" customHeight="1">
      <c r="A1446" s="11">
        <v>12464.0</v>
      </c>
      <c r="B1446" s="11" t="s">
        <v>1474</v>
      </c>
      <c r="C1446" s="12">
        <v>16294.0</v>
      </c>
      <c r="D1446" s="11" t="str">
        <f t="shared" si="1"/>
        <v> </v>
      </c>
      <c r="E1446" s="11" t="str">
        <f t="shared" si="2"/>
        <v> </v>
      </c>
    </row>
    <row r="1447" ht="15.75" customHeight="1">
      <c r="A1447" s="11">
        <v>12465.0</v>
      </c>
      <c r="B1447" s="11" t="s">
        <v>1475</v>
      </c>
      <c r="C1447" s="12">
        <v>15274.0</v>
      </c>
      <c r="D1447" s="11" t="str">
        <f t="shared" si="1"/>
        <v>Repeat</v>
      </c>
      <c r="E1447" s="11" t="str">
        <f t="shared" si="2"/>
        <v> </v>
      </c>
    </row>
    <row r="1448" ht="15.75" customHeight="1">
      <c r="A1448" s="11">
        <v>12466.0</v>
      </c>
      <c r="B1448" s="11" t="s">
        <v>1476</v>
      </c>
      <c r="C1448" s="12">
        <v>27209.0</v>
      </c>
      <c r="D1448" s="11" t="str">
        <f t="shared" si="1"/>
        <v> </v>
      </c>
      <c r="E1448" s="11" t="str">
        <f t="shared" si="2"/>
        <v> </v>
      </c>
    </row>
    <row r="1449" ht="15.75" customHeight="1">
      <c r="A1449" s="11">
        <v>12467.0</v>
      </c>
      <c r="B1449" s="11" t="s">
        <v>1477</v>
      </c>
      <c r="C1449" s="12">
        <v>20416.0</v>
      </c>
      <c r="D1449" s="11" t="str">
        <f t="shared" si="1"/>
        <v> </v>
      </c>
      <c r="E1449" s="11" t="str">
        <f t="shared" si="2"/>
        <v> </v>
      </c>
    </row>
    <row r="1450" ht="15.75" customHeight="1">
      <c r="A1450" s="11">
        <v>12469.0</v>
      </c>
      <c r="B1450" s="11" t="s">
        <v>1478</v>
      </c>
      <c r="C1450" s="12">
        <v>16911.0</v>
      </c>
      <c r="D1450" s="11" t="str">
        <f t="shared" si="1"/>
        <v> </v>
      </c>
      <c r="E1450" s="11" t="str">
        <f t="shared" si="2"/>
        <v> </v>
      </c>
    </row>
    <row r="1451" ht="15.75" customHeight="1">
      <c r="A1451" s="11">
        <v>12471.0</v>
      </c>
      <c r="B1451" s="11" t="s">
        <v>1479</v>
      </c>
      <c r="C1451" s="12">
        <v>30666.0</v>
      </c>
      <c r="D1451" s="11" t="str">
        <f t="shared" si="1"/>
        <v> </v>
      </c>
      <c r="E1451" s="11" t="str">
        <f t="shared" si="2"/>
        <v> </v>
      </c>
    </row>
    <row r="1452" ht="15.75" customHeight="1">
      <c r="A1452" s="11">
        <v>12472.0</v>
      </c>
      <c r="B1452" s="11" t="s">
        <v>1480</v>
      </c>
      <c r="C1452" s="12">
        <v>28994.0</v>
      </c>
      <c r="D1452" s="11" t="str">
        <f t="shared" si="1"/>
        <v> </v>
      </c>
      <c r="E1452" s="11" t="str">
        <f t="shared" si="2"/>
        <v> </v>
      </c>
    </row>
    <row r="1453" ht="15.75" customHeight="1">
      <c r="A1453" s="11">
        <v>12473.0</v>
      </c>
      <c r="B1453" s="11" t="s">
        <v>1481</v>
      </c>
      <c r="C1453" s="12">
        <v>23807.0</v>
      </c>
      <c r="D1453" s="11" t="str">
        <f t="shared" si="1"/>
        <v> </v>
      </c>
      <c r="E1453" s="11" t="str">
        <f t="shared" si="2"/>
        <v> </v>
      </c>
    </row>
    <row r="1454" ht="15.75" customHeight="1">
      <c r="A1454" s="11">
        <v>12474.0</v>
      </c>
      <c r="B1454" s="11" t="s">
        <v>1482</v>
      </c>
      <c r="C1454" s="12">
        <v>31394.0</v>
      </c>
      <c r="D1454" s="11" t="str">
        <f t="shared" si="1"/>
        <v> </v>
      </c>
      <c r="E1454" s="11" t="str">
        <f t="shared" si="2"/>
        <v> </v>
      </c>
    </row>
    <row r="1455" ht="15.75" customHeight="1">
      <c r="A1455" s="11">
        <v>12475.0</v>
      </c>
      <c r="B1455" s="11" t="s">
        <v>1483</v>
      </c>
      <c r="C1455" s="12">
        <v>22250.0</v>
      </c>
      <c r="D1455" s="11" t="str">
        <f t="shared" si="1"/>
        <v> </v>
      </c>
      <c r="E1455" s="11" t="str">
        <f t="shared" si="2"/>
        <v> </v>
      </c>
    </row>
    <row r="1456" ht="15.75" customHeight="1">
      <c r="A1456" s="11">
        <v>12476.0</v>
      </c>
      <c r="B1456" s="11" t="s">
        <v>1484</v>
      </c>
      <c r="C1456" s="12">
        <v>29641.0</v>
      </c>
      <c r="D1456" s="11" t="str">
        <f t="shared" si="1"/>
        <v> </v>
      </c>
      <c r="E1456" s="11" t="str">
        <f t="shared" si="2"/>
        <v> </v>
      </c>
    </row>
    <row r="1457" ht="15.75" customHeight="1">
      <c r="A1457" s="11">
        <v>12477.0</v>
      </c>
      <c r="B1457" s="11" t="s">
        <v>1485</v>
      </c>
      <c r="C1457" s="12">
        <v>24073.0</v>
      </c>
      <c r="D1457" s="11" t="str">
        <f t="shared" si="1"/>
        <v> </v>
      </c>
      <c r="E1457" s="11" t="str">
        <f t="shared" si="2"/>
        <v> </v>
      </c>
    </row>
    <row r="1458" ht="15.75" customHeight="1">
      <c r="A1458" s="11">
        <v>12481.0</v>
      </c>
      <c r="B1458" s="11" t="s">
        <v>1486</v>
      </c>
      <c r="C1458" s="12">
        <v>24769.0</v>
      </c>
      <c r="D1458" s="11" t="str">
        <f t="shared" si="1"/>
        <v> </v>
      </c>
      <c r="E1458" s="11" t="str">
        <f t="shared" si="2"/>
        <v> </v>
      </c>
    </row>
    <row r="1459" ht="15.75" customHeight="1">
      <c r="A1459" s="11">
        <v>12482.0</v>
      </c>
      <c r="B1459" s="11" t="s">
        <v>1487</v>
      </c>
      <c r="C1459" s="12">
        <v>27982.0</v>
      </c>
      <c r="D1459" s="11" t="str">
        <f t="shared" si="1"/>
        <v> </v>
      </c>
      <c r="E1459" s="11" t="str">
        <f t="shared" si="2"/>
        <v> </v>
      </c>
    </row>
    <row r="1460" ht="15.75" customHeight="1">
      <c r="A1460" s="11">
        <v>12484.0</v>
      </c>
      <c r="B1460" s="11" t="s">
        <v>1488</v>
      </c>
      <c r="C1460" s="12">
        <v>19567.0</v>
      </c>
      <c r="D1460" s="11" t="str">
        <f t="shared" si="1"/>
        <v> </v>
      </c>
      <c r="E1460" s="11" t="str">
        <f t="shared" si="2"/>
        <v> </v>
      </c>
    </row>
    <row r="1461" ht="15.75" customHeight="1">
      <c r="A1461" s="11">
        <v>12485.0</v>
      </c>
      <c r="B1461" s="11" t="s">
        <v>1489</v>
      </c>
      <c r="C1461" s="12">
        <v>21995.0</v>
      </c>
      <c r="D1461" s="11" t="str">
        <f t="shared" si="1"/>
        <v> </v>
      </c>
      <c r="E1461" s="11" t="str">
        <f t="shared" si="2"/>
        <v> </v>
      </c>
    </row>
    <row r="1462" ht="15.75" customHeight="1">
      <c r="A1462" s="11">
        <v>12488.0</v>
      </c>
      <c r="B1462" s="11" t="s">
        <v>1490</v>
      </c>
      <c r="C1462" s="12">
        <v>19002.0</v>
      </c>
      <c r="D1462" s="11" t="str">
        <f t="shared" si="1"/>
        <v> </v>
      </c>
      <c r="E1462" s="11" t="str">
        <f t="shared" si="2"/>
        <v> </v>
      </c>
    </row>
    <row r="1463" ht="15.75" customHeight="1">
      <c r="A1463" s="11">
        <v>12489.0</v>
      </c>
      <c r="B1463" s="11" t="s">
        <v>1491</v>
      </c>
      <c r="C1463" s="12">
        <v>21111.0</v>
      </c>
      <c r="D1463" s="11" t="str">
        <f t="shared" si="1"/>
        <v> </v>
      </c>
      <c r="E1463" s="11" t="str">
        <f t="shared" si="2"/>
        <v> </v>
      </c>
    </row>
    <row r="1464" ht="15.75" customHeight="1">
      <c r="A1464" s="11">
        <v>12490.0</v>
      </c>
      <c r="B1464" s="11" t="s">
        <v>1492</v>
      </c>
      <c r="C1464" s="12">
        <v>21578.0</v>
      </c>
      <c r="D1464" s="11" t="str">
        <f t="shared" si="1"/>
        <v> </v>
      </c>
      <c r="E1464" s="11" t="str">
        <f t="shared" si="2"/>
        <v> </v>
      </c>
    </row>
    <row r="1465" ht="15.75" customHeight="1">
      <c r="A1465" s="11">
        <v>12491.0</v>
      </c>
      <c r="B1465" s="11" t="s">
        <v>1493</v>
      </c>
      <c r="C1465" s="12">
        <v>22407.0</v>
      </c>
      <c r="D1465" s="11" t="str">
        <f t="shared" si="1"/>
        <v> </v>
      </c>
      <c r="E1465" s="11" t="str">
        <f t="shared" si="2"/>
        <v> </v>
      </c>
    </row>
    <row r="1466" ht="15.75" customHeight="1">
      <c r="A1466" s="11">
        <v>12492.0</v>
      </c>
      <c r="B1466" s="11" t="s">
        <v>1494</v>
      </c>
      <c r="C1466" s="12">
        <v>20836.0</v>
      </c>
      <c r="D1466" s="11" t="str">
        <f t="shared" si="1"/>
        <v> </v>
      </c>
      <c r="E1466" s="11" t="str">
        <f t="shared" si="2"/>
        <v> </v>
      </c>
    </row>
    <row r="1467" ht="15.75" customHeight="1">
      <c r="A1467" s="11">
        <v>12493.0</v>
      </c>
      <c r="B1467" s="11" t="s">
        <v>1495</v>
      </c>
      <c r="C1467" s="12">
        <v>17349.0</v>
      </c>
      <c r="D1467" s="11" t="str">
        <f t="shared" si="1"/>
        <v> </v>
      </c>
      <c r="E1467" s="11" t="str">
        <f t="shared" si="2"/>
        <v> </v>
      </c>
    </row>
    <row r="1468" ht="15.75" customHeight="1">
      <c r="A1468" s="11">
        <v>12497.0</v>
      </c>
      <c r="B1468" s="11" t="s">
        <v>1496</v>
      </c>
      <c r="C1468" s="12">
        <v>17295.0</v>
      </c>
      <c r="D1468" s="11" t="str">
        <f t="shared" si="1"/>
        <v> </v>
      </c>
      <c r="E1468" s="11" t="str">
        <f t="shared" si="2"/>
        <v> </v>
      </c>
    </row>
    <row r="1469" ht="15.75" customHeight="1">
      <c r="A1469" s="11">
        <v>12499.0</v>
      </c>
      <c r="B1469" s="11" t="s">
        <v>1497</v>
      </c>
      <c r="C1469" s="12">
        <v>20699.0</v>
      </c>
      <c r="D1469" s="11" t="str">
        <f t="shared" si="1"/>
        <v> </v>
      </c>
      <c r="E1469" s="11" t="str">
        <f t="shared" si="2"/>
        <v> </v>
      </c>
    </row>
    <row r="1470" ht="15.75" customHeight="1">
      <c r="A1470" s="11">
        <v>12504.0</v>
      </c>
      <c r="B1470" s="11" t="s">
        <v>1498</v>
      </c>
      <c r="C1470" s="12">
        <v>20161.0</v>
      </c>
      <c r="D1470" s="11" t="str">
        <f t="shared" si="1"/>
        <v> </v>
      </c>
      <c r="E1470" s="11" t="str">
        <f t="shared" si="2"/>
        <v> </v>
      </c>
    </row>
    <row r="1471" ht="15.75" customHeight="1">
      <c r="A1471" s="11">
        <v>12505.0</v>
      </c>
      <c r="B1471" s="11" t="s">
        <v>1499</v>
      </c>
      <c r="C1471" s="12">
        <v>23065.0</v>
      </c>
      <c r="D1471" s="11" t="str">
        <f t="shared" si="1"/>
        <v> </v>
      </c>
      <c r="E1471" s="11" t="str">
        <f t="shared" si="2"/>
        <v> </v>
      </c>
    </row>
    <row r="1472" ht="15.75" customHeight="1">
      <c r="A1472" s="11">
        <v>12506.0</v>
      </c>
      <c r="B1472" s="11" t="s">
        <v>1500</v>
      </c>
      <c r="C1472" s="12">
        <v>17159.0</v>
      </c>
      <c r="D1472" s="11" t="str">
        <f t="shared" si="1"/>
        <v> </v>
      </c>
      <c r="E1472" s="11" t="str">
        <f t="shared" si="2"/>
        <v> </v>
      </c>
    </row>
    <row r="1473" ht="15.75" customHeight="1">
      <c r="A1473" s="11">
        <v>12507.0</v>
      </c>
      <c r="B1473" s="11" t="s">
        <v>1501</v>
      </c>
      <c r="C1473" s="12">
        <v>21811.0</v>
      </c>
      <c r="D1473" s="11" t="str">
        <f t="shared" si="1"/>
        <v> </v>
      </c>
      <c r="E1473" s="11" t="str">
        <f t="shared" si="2"/>
        <v> </v>
      </c>
    </row>
    <row r="1474" ht="15.75" customHeight="1">
      <c r="A1474" s="11">
        <v>12508.0</v>
      </c>
      <c r="B1474" s="11" t="s">
        <v>1502</v>
      </c>
      <c r="C1474" s="12">
        <v>18129.0</v>
      </c>
      <c r="D1474" s="11" t="str">
        <f t="shared" si="1"/>
        <v> </v>
      </c>
      <c r="E1474" s="11" t="str">
        <f t="shared" si="2"/>
        <v> </v>
      </c>
    </row>
    <row r="1475" ht="15.75" customHeight="1">
      <c r="A1475" s="11">
        <v>12509.0</v>
      </c>
      <c r="B1475" s="11" t="s">
        <v>1503</v>
      </c>
      <c r="C1475" s="12">
        <v>19482.0</v>
      </c>
      <c r="D1475" s="11" t="str">
        <f t="shared" si="1"/>
        <v> </v>
      </c>
      <c r="E1475" s="11" t="str">
        <f t="shared" si="2"/>
        <v> </v>
      </c>
    </row>
    <row r="1476" ht="15.75" customHeight="1">
      <c r="A1476" s="11">
        <v>12510.0</v>
      </c>
      <c r="B1476" s="11" t="s">
        <v>1504</v>
      </c>
      <c r="C1476" s="12">
        <v>23966.0</v>
      </c>
      <c r="D1476" s="11" t="str">
        <f t="shared" si="1"/>
        <v> </v>
      </c>
      <c r="E1476" s="11" t="str">
        <f t="shared" si="2"/>
        <v> </v>
      </c>
    </row>
    <row r="1477" ht="15.75" customHeight="1">
      <c r="A1477" s="11">
        <v>12511.0</v>
      </c>
      <c r="B1477" s="11" t="s">
        <v>1505</v>
      </c>
      <c r="C1477" s="12">
        <v>26019.0</v>
      </c>
      <c r="D1477" s="11" t="str">
        <f t="shared" si="1"/>
        <v> </v>
      </c>
      <c r="E1477" s="11" t="str">
        <f t="shared" si="2"/>
        <v> </v>
      </c>
    </row>
    <row r="1478" ht="15.75" customHeight="1">
      <c r="A1478" s="11">
        <v>12512.0</v>
      </c>
      <c r="B1478" s="11" t="s">
        <v>1506</v>
      </c>
      <c r="C1478" s="12">
        <v>28787.0</v>
      </c>
      <c r="D1478" s="11" t="str">
        <f t="shared" si="1"/>
        <v> </v>
      </c>
      <c r="E1478" s="11" t="str">
        <f t="shared" si="2"/>
        <v> </v>
      </c>
    </row>
    <row r="1479" ht="15.75" customHeight="1">
      <c r="A1479" s="11">
        <v>12517.0</v>
      </c>
      <c r="B1479" s="11" t="s">
        <v>1507</v>
      </c>
      <c r="C1479" s="12">
        <v>15173.0</v>
      </c>
      <c r="D1479" s="11" t="str">
        <f t="shared" si="1"/>
        <v> </v>
      </c>
      <c r="E1479" s="11" t="str">
        <f t="shared" si="2"/>
        <v> </v>
      </c>
    </row>
    <row r="1480" ht="15.75" customHeight="1">
      <c r="A1480" s="11">
        <v>12519.0</v>
      </c>
      <c r="B1480" s="11" t="s">
        <v>1508</v>
      </c>
      <c r="C1480" s="12">
        <v>22009.0</v>
      </c>
      <c r="D1480" s="11" t="str">
        <f t="shared" si="1"/>
        <v> </v>
      </c>
      <c r="E1480" s="11" t="str">
        <f t="shared" si="2"/>
        <v> </v>
      </c>
    </row>
    <row r="1481" ht="15.75" customHeight="1">
      <c r="A1481" s="11">
        <v>12521.0</v>
      </c>
      <c r="B1481" s="11" t="s">
        <v>1509</v>
      </c>
      <c r="C1481" s="12">
        <v>37464.0</v>
      </c>
      <c r="D1481" s="11" t="str">
        <f t="shared" si="1"/>
        <v> </v>
      </c>
      <c r="E1481" s="11" t="str">
        <f t="shared" si="2"/>
        <v> </v>
      </c>
    </row>
    <row r="1482" ht="15.75" customHeight="1">
      <c r="A1482" s="11">
        <v>12523.0</v>
      </c>
      <c r="B1482" s="11" t="s">
        <v>1510</v>
      </c>
      <c r="C1482" s="12">
        <v>25359.0</v>
      </c>
      <c r="D1482" s="11" t="str">
        <f t="shared" si="1"/>
        <v> </v>
      </c>
      <c r="E1482" s="11" t="str">
        <f t="shared" si="2"/>
        <v> </v>
      </c>
    </row>
    <row r="1483" ht="15.75" customHeight="1">
      <c r="A1483" s="11">
        <v>12526.0</v>
      </c>
      <c r="B1483" s="11" t="s">
        <v>1511</v>
      </c>
      <c r="C1483" s="12">
        <v>17903.0</v>
      </c>
      <c r="D1483" s="11" t="str">
        <f t="shared" si="1"/>
        <v> </v>
      </c>
      <c r="E1483" s="11" t="str">
        <f t="shared" si="2"/>
        <v> </v>
      </c>
    </row>
    <row r="1484" ht="15.75" customHeight="1">
      <c r="A1484" s="11">
        <v>12527.0</v>
      </c>
      <c r="B1484" s="11" t="s">
        <v>1512</v>
      </c>
      <c r="C1484" s="12">
        <v>32194.0</v>
      </c>
      <c r="D1484" s="11" t="str">
        <f t="shared" si="1"/>
        <v> </v>
      </c>
      <c r="E1484" s="11" t="str">
        <f t="shared" si="2"/>
        <v> </v>
      </c>
    </row>
    <row r="1485" ht="15.75" customHeight="1">
      <c r="A1485" s="11">
        <v>12529.0</v>
      </c>
      <c r="B1485" s="11" t="s">
        <v>1513</v>
      </c>
      <c r="C1485" s="12">
        <v>37077.0</v>
      </c>
      <c r="D1485" s="11" t="str">
        <f t="shared" si="1"/>
        <v> </v>
      </c>
      <c r="E1485" s="11" t="str">
        <f t="shared" si="2"/>
        <v> </v>
      </c>
    </row>
    <row r="1486" ht="15.75" customHeight="1">
      <c r="A1486" s="11">
        <v>12530.0</v>
      </c>
      <c r="B1486" s="11" t="s">
        <v>1514</v>
      </c>
      <c r="C1486" s="12">
        <v>16675.0</v>
      </c>
      <c r="D1486" s="11" t="str">
        <f t="shared" si="1"/>
        <v> </v>
      </c>
      <c r="E1486" s="11" t="str">
        <f t="shared" si="2"/>
        <v> </v>
      </c>
    </row>
    <row r="1487" ht="15.75" customHeight="1">
      <c r="A1487" s="11">
        <v>12531.0</v>
      </c>
      <c r="B1487" s="11" t="s">
        <v>1515</v>
      </c>
      <c r="C1487" s="12">
        <v>18176.0</v>
      </c>
      <c r="D1487" s="11" t="str">
        <f t="shared" si="1"/>
        <v> </v>
      </c>
      <c r="E1487" s="11" t="str">
        <f t="shared" si="2"/>
        <v> </v>
      </c>
    </row>
    <row r="1488" ht="15.75" customHeight="1">
      <c r="A1488" s="11">
        <v>12533.0</v>
      </c>
      <c r="B1488" s="11" t="s">
        <v>1516</v>
      </c>
      <c r="C1488" s="12">
        <v>30538.0</v>
      </c>
      <c r="D1488" s="11" t="str">
        <f t="shared" si="1"/>
        <v> </v>
      </c>
      <c r="E1488" s="11" t="str">
        <f t="shared" si="2"/>
        <v> </v>
      </c>
    </row>
    <row r="1489" ht="15.75" customHeight="1">
      <c r="A1489" s="11">
        <v>12535.0</v>
      </c>
      <c r="B1489" s="11" t="s">
        <v>1517</v>
      </c>
      <c r="C1489" s="12">
        <v>19129.0</v>
      </c>
      <c r="D1489" s="11" t="str">
        <f t="shared" si="1"/>
        <v> </v>
      </c>
      <c r="E1489" s="11" t="str">
        <f t="shared" si="2"/>
        <v> </v>
      </c>
    </row>
    <row r="1490" ht="15.75" customHeight="1">
      <c r="A1490" s="11">
        <v>12537.0</v>
      </c>
      <c r="B1490" s="11" t="s">
        <v>1518</v>
      </c>
      <c r="C1490" s="12">
        <v>22208.0</v>
      </c>
      <c r="D1490" s="11" t="str">
        <f t="shared" si="1"/>
        <v> </v>
      </c>
      <c r="E1490" s="11" t="str">
        <f t="shared" si="2"/>
        <v> </v>
      </c>
    </row>
    <row r="1491" ht="15.75" customHeight="1">
      <c r="A1491" s="11">
        <v>12538.0</v>
      </c>
      <c r="B1491" s="11" t="s">
        <v>1519</v>
      </c>
      <c r="C1491" s="12">
        <v>18832.0</v>
      </c>
      <c r="D1491" s="11" t="str">
        <f t="shared" si="1"/>
        <v> </v>
      </c>
      <c r="E1491" s="11" t="str">
        <f t="shared" si="2"/>
        <v> </v>
      </c>
    </row>
    <row r="1492" ht="15.75" customHeight="1">
      <c r="A1492" s="11">
        <v>12539.0</v>
      </c>
      <c r="B1492" s="11" t="s">
        <v>1520</v>
      </c>
      <c r="C1492" s="12">
        <v>20467.0</v>
      </c>
      <c r="D1492" s="11" t="str">
        <f t="shared" si="1"/>
        <v> </v>
      </c>
      <c r="E1492" s="11" t="str">
        <f t="shared" si="2"/>
        <v> </v>
      </c>
    </row>
    <row r="1493" ht="15.75" customHeight="1">
      <c r="A1493" s="11">
        <v>12541.0</v>
      </c>
      <c r="B1493" s="11" t="s">
        <v>1521</v>
      </c>
      <c r="C1493" s="12">
        <v>18069.0</v>
      </c>
      <c r="D1493" s="11" t="str">
        <f t="shared" si="1"/>
        <v> </v>
      </c>
      <c r="E1493" s="11" t="str">
        <f t="shared" si="2"/>
        <v> </v>
      </c>
    </row>
    <row r="1494" ht="15.75" customHeight="1">
      <c r="A1494" s="11">
        <v>12542.0</v>
      </c>
      <c r="B1494" s="11" t="s">
        <v>1522</v>
      </c>
      <c r="C1494" s="12">
        <v>17993.0</v>
      </c>
      <c r="D1494" s="11" t="str">
        <f t="shared" si="1"/>
        <v> </v>
      </c>
      <c r="E1494" s="11" t="str">
        <f t="shared" si="2"/>
        <v> </v>
      </c>
    </row>
    <row r="1495" ht="15.75" customHeight="1">
      <c r="A1495" s="11">
        <v>12543.0</v>
      </c>
      <c r="B1495" s="11" t="s">
        <v>1523</v>
      </c>
      <c r="C1495" s="12">
        <v>22657.0</v>
      </c>
      <c r="D1495" s="11" t="str">
        <f t="shared" si="1"/>
        <v> </v>
      </c>
      <c r="E1495" s="11" t="str">
        <f t="shared" si="2"/>
        <v> </v>
      </c>
    </row>
    <row r="1496" ht="15.75" customHeight="1">
      <c r="A1496" s="11">
        <v>12544.0</v>
      </c>
      <c r="B1496" s="11" t="s">
        <v>1524</v>
      </c>
      <c r="C1496" s="12">
        <v>12988.0</v>
      </c>
      <c r="D1496" s="11" t="str">
        <f t="shared" si="1"/>
        <v> </v>
      </c>
      <c r="E1496" s="11" t="str">
        <f t="shared" si="2"/>
        <v> </v>
      </c>
    </row>
    <row r="1497" ht="15.75" customHeight="1">
      <c r="A1497" s="11">
        <v>12545.0</v>
      </c>
      <c r="B1497" s="11" t="s">
        <v>1525</v>
      </c>
      <c r="C1497" s="12">
        <v>19855.0</v>
      </c>
      <c r="D1497" s="11" t="str">
        <f t="shared" si="1"/>
        <v> </v>
      </c>
      <c r="E1497" s="11" t="str">
        <f t="shared" si="2"/>
        <v> </v>
      </c>
    </row>
    <row r="1498" ht="15.75" customHeight="1">
      <c r="A1498" s="11">
        <v>12546.0</v>
      </c>
      <c r="B1498" s="11" t="s">
        <v>1526</v>
      </c>
      <c r="C1498" s="12">
        <v>32327.0</v>
      </c>
      <c r="D1498" s="11" t="str">
        <f t="shared" si="1"/>
        <v> </v>
      </c>
      <c r="E1498" s="11" t="str">
        <f t="shared" si="2"/>
        <v> </v>
      </c>
    </row>
    <row r="1499" ht="15.75" customHeight="1">
      <c r="A1499" s="11">
        <v>12547.0</v>
      </c>
      <c r="B1499" s="11" t="s">
        <v>1527</v>
      </c>
      <c r="C1499" s="12">
        <v>22416.0</v>
      </c>
      <c r="D1499" s="11" t="str">
        <f t="shared" si="1"/>
        <v> </v>
      </c>
      <c r="E1499" s="11" t="str">
        <f t="shared" si="2"/>
        <v> </v>
      </c>
    </row>
    <row r="1500" ht="15.75" customHeight="1">
      <c r="A1500" s="11">
        <v>12549.0</v>
      </c>
      <c r="B1500" s="11" t="s">
        <v>1528</v>
      </c>
      <c r="C1500" s="12">
        <v>33915.0</v>
      </c>
      <c r="D1500" s="11" t="str">
        <f t="shared" si="1"/>
        <v> </v>
      </c>
      <c r="E1500" s="11" t="str">
        <f t="shared" si="2"/>
        <v> </v>
      </c>
    </row>
    <row r="1501" ht="15.75" customHeight="1">
      <c r="A1501" s="11">
        <v>12550.0</v>
      </c>
      <c r="B1501" s="11" t="s">
        <v>1529</v>
      </c>
      <c r="C1501" s="12">
        <v>26194.0</v>
      </c>
      <c r="D1501" s="11" t="str">
        <f t="shared" si="1"/>
        <v> </v>
      </c>
      <c r="E1501" s="11" t="str">
        <f t="shared" si="2"/>
        <v> </v>
      </c>
    </row>
    <row r="1502" ht="15.75" customHeight="1">
      <c r="A1502" s="11">
        <v>12551.0</v>
      </c>
      <c r="B1502" s="11" t="s">
        <v>1530</v>
      </c>
      <c r="C1502" s="12">
        <v>19372.0</v>
      </c>
      <c r="D1502" s="11" t="str">
        <f t="shared" si="1"/>
        <v> </v>
      </c>
      <c r="E1502" s="11" t="str">
        <f t="shared" si="2"/>
        <v> </v>
      </c>
    </row>
    <row r="1503" ht="15.75" customHeight="1">
      <c r="A1503" s="11">
        <v>12552.0</v>
      </c>
      <c r="B1503" s="11" t="s">
        <v>1531</v>
      </c>
      <c r="C1503" s="12">
        <v>28248.0</v>
      </c>
      <c r="D1503" s="11" t="str">
        <f t="shared" si="1"/>
        <v> </v>
      </c>
      <c r="E1503" s="11" t="str">
        <f t="shared" si="2"/>
        <v> </v>
      </c>
    </row>
    <row r="1504" ht="15.75" customHeight="1">
      <c r="A1504" s="11">
        <v>12555.0</v>
      </c>
      <c r="B1504" s="11" t="s">
        <v>1532</v>
      </c>
      <c r="C1504" s="12">
        <v>24529.0</v>
      </c>
      <c r="D1504" s="11" t="str">
        <f t="shared" si="1"/>
        <v> </v>
      </c>
      <c r="E1504" s="11" t="str">
        <f t="shared" si="2"/>
        <v> </v>
      </c>
    </row>
    <row r="1505" ht="15.75" customHeight="1">
      <c r="A1505" s="11">
        <v>12556.0</v>
      </c>
      <c r="B1505" s="11" t="s">
        <v>1533</v>
      </c>
      <c r="C1505" s="12">
        <v>17986.0</v>
      </c>
      <c r="D1505" s="11" t="str">
        <f t="shared" si="1"/>
        <v> </v>
      </c>
      <c r="E1505" s="11" t="str">
        <f t="shared" si="2"/>
        <v> </v>
      </c>
    </row>
    <row r="1506" ht="15.75" customHeight="1">
      <c r="A1506" s="11">
        <v>12557.0</v>
      </c>
      <c r="B1506" s="11" t="s">
        <v>1534</v>
      </c>
      <c r="C1506" s="12">
        <v>30090.0</v>
      </c>
      <c r="D1506" s="11" t="str">
        <f t="shared" si="1"/>
        <v> </v>
      </c>
      <c r="E1506" s="11" t="str">
        <f t="shared" si="2"/>
        <v> </v>
      </c>
    </row>
    <row r="1507" ht="15.75" customHeight="1">
      <c r="A1507" s="11">
        <v>12558.0</v>
      </c>
      <c r="B1507" s="11" t="s">
        <v>1535</v>
      </c>
      <c r="C1507" s="12">
        <v>17226.0</v>
      </c>
      <c r="D1507" s="11" t="str">
        <f t="shared" si="1"/>
        <v> </v>
      </c>
      <c r="E1507" s="11" t="str">
        <f t="shared" si="2"/>
        <v> </v>
      </c>
    </row>
    <row r="1508" ht="15.75" customHeight="1">
      <c r="A1508" s="11">
        <v>12559.0</v>
      </c>
      <c r="B1508" s="11" t="s">
        <v>1536</v>
      </c>
      <c r="C1508" s="12">
        <v>25189.0</v>
      </c>
      <c r="D1508" s="11" t="str">
        <f t="shared" si="1"/>
        <v> </v>
      </c>
      <c r="E1508" s="11" t="str">
        <f t="shared" si="2"/>
        <v> </v>
      </c>
    </row>
    <row r="1509" ht="15.75" customHeight="1">
      <c r="A1509" s="11">
        <v>12560.0</v>
      </c>
      <c r="B1509" s="11" t="s">
        <v>1537</v>
      </c>
      <c r="C1509" s="12">
        <v>26372.0</v>
      </c>
      <c r="D1509" s="11" t="str">
        <f t="shared" si="1"/>
        <v> </v>
      </c>
      <c r="E1509" s="11" t="str">
        <f t="shared" si="2"/>
        <v> </v>
      </c>
    </row>
    <row r="1510" ht="15.75" customHeight="1">
      <c r="A1510" s="11">
        <v>12561.0</v>
      </c>
      <c r="B1510" s="11" t="s">
        <v>1538</v>
      </c>
      <c r="C1510" s="12">
        <v>18463.0</v>
      </c>
      <c r="D1510" s="11" t="str">
        <f t="shared" si="1"/>
        <v> </v>
      </c>
      <c r="E1510" s="11" t="str">
        <f t="shared" si="2"/>
        <v> </v>
      </c>
    </row>
    <row r="1511" ht="15.75" customHeight="1">
      <c r="A1511" s="11">
        <v>12562.0</v>
      </c>
      <c r="B1511" s="11" t="s">
        <v>1539</v>
      </c>
      <c r="C1511" s="12">
        <v>14451.0</v>
      </c>
      <c r="D1511" s="11" t="str">
        <f t="shared" si="1"/>
        <v> </v>
      </c>
      <c r="E1511" s="11" t="str">
        <f t="shared" si="2"/>
        <v> </v>
      </c>
    </row>
    <row r="1512" ht="15.75" customHeight="1">
      <c r="A1512" s="11">
        <v>12563.0</v>
      </c>
      <c r="B1512" s="11" t="s">
        <v>1540</v>
      </c>
      <c r="C1512" s="12">
        <v>26912.0</v>
      </c>
      <c r="D1512" s="11" t="str">
        <f t="shared" si="1"/>
        <v> </v>
      </c>
      <c r="E1512" s="11" t="str">
        <f t="shared" si="2"/>
        <v> </v>
      </c>
    </row>
    <row r="1513" ht="15.75" customHeight="1">
      <c r="A1513" s="11">
        <v>12564.0</v>
      </c>
      <c r="B1513" s="11" t="s">
        <v>1541</v>
      </c>
      <c r="C1513" s="12">
        <v>12162.0</v>
      </c>
      <c r="D1513" s="11" t="str">
        <f t="shared" si="1"/>
        <v> </v>
      </c>
      <c r="E1513" s="11" t="str">
        <f t="shared" si="2"/>
        <v> </v>
      </c>
    </row>
    <row r="1514" ht="15.75" customHeight="1">
      <c r="A1514" s="11">
        <v>12565.0</v>
      </c>
      <c r="B1514" s="11" t="s">
        <v>1542</v>
      </c>
      <c r="C1514" s="12">
        <v>11713.0</v>
      </c>
      <c r="D1514" s="11" t="str">
        <f t="shared" si="1"/>
        <v> </v>
      </c>
      <c r="E1514" s="11" t="str">
        <f t="shared" si="2"/>
        <v> </v>
      </c>
    </row>
    <row r="1515" ht="15.75" customHeight="1">
      <c r="A1515" s="11">
        <v>12566.0</v>
      </c>
      <c r="B1515" s="11" t="s">
        <v>1543</v>
      </c>
      <c r="C1515" s="12">
        <v>12070.0</v>
      </c>
      <c r="D1515" s="11" t="str">
        <f t="shared" si="1"/>
        <v> </v>
      </c>
      <c r="E1515" s="11" t="str">
        <f t="shared" si="2"/>
        <v> </v>
      </c>
    </row>
    <row r="1516" ht="15.75" customHeight="1">
      <c r="A1516" s="11">
        <v>12567.0</v>
      </c>
      <c r="B1516" s="11" t="s">
        <v>1544</v>
      </c>
      <c r="C1516" s="12">
        <v>21873.0</v>
      </c>
      <c r="D1516" s="11" t="str">
        <f t="shared" si="1"/>
        <v> </v>
      </c>
      <c r="E1516" s="11" t="str">
        <f t="shared" si="2"/>
        <v> </v>
      </c>
    </row>
    <row r="1517" ht="15.75" customHeight="1">
      <c r="A1517" s="11">
        <v>12569.0</v>
      </c>
      <c r="B1517" s="11" t="s">
        <v>1545</v>
      </c>
      <c r="C1517" s="12">
        <v>20620.0</v>
      </c>
      <c r="D1517" s="11" t="str">
        <f t="shared" si="1"/>
        <v> </v>
      </c>
      <c r="E1517" s="11" t="str">
        <f t="shared" si="2"/>
        <v> </v>
      </c>
    </row>
    <row r="1518" ht="15.75" customHeight="1">
      <c r="A1518" s="11">
        <v>12570.0</v>
      </c>
      <c r="B1518" s="11" t="s">
        <v>1546</v>
      </c>
      <c r="C1518" s="12">
        <v>15873.0</v>
      </c>
      <c r="D1518" s="11" t="str">
        <f t="shared" si="1"/>
        <v> </v>
      </c>
      <c r="E1518" s="11" t="str">
        <f t="shared" si="2"/>
        <v> </v>
      </c>
    </row>
    <row r="1519" ht="15.75" customHeight="1">
      <c r="A1519" s="11">
        <v>12572.0</v>
      </c>
      <c r="B1519" s="11" t="s">
        <v>1547</v>
      </c>
      <c r="C1519" s="12">
        <v>18267.0</v>
      </c>
      <c r="D1519" s="11" t="str">
        <f t="shared" si="1"/>
        <v>Repeat</v>
      </c>
      <c r="E1519" s="11" t="str">
        <f t="shared" si="2"/>
        <v>Repeat</v>
      </c>
    </row>
    <row r="1520" ht="15.75" customHeight="1">
      <c r="A1520" s="11">
        <v>12575.0</v>
      </c>
      <c r="B1520" s="11" t="s">
        <v>1548</v>
      </c>
      <c r="C1520" s="12">
        <v>20081.0</v>
      </c>
      <c r="D1520" s="11" t="str">
        <f t="shared" si="1"/>
        <v> </v>
      </c>
      <c r="E1520" s="11" t="str">
        <f t="shared" si="2"/>
        <v> </v>
      </c>
    </row>
    <row r="1521" ht="15.75" customHeight="1">
      <c r="A1521" s="11">
        <v>12577.0</v>
      </c>
      <c r="B1521" s="11" t="s">
        <v>1549</v>
      </c>
      <c r="C1521" s="12">
        <v>29381.0</v>
      </c>
      <c r="D1521" s="11" t="str">
        <f t="shared" si="1"/>
        <v> </v>
      </c>
      <c r="E1521" s="11" t="str">
        <f t="shared" si="2"/>
        <v>Repeat</v>
      </c>
    </row>
    <row r="1522" ht="15.75" customHeight="1">
      <c r="A1522" s="11">
        <v>12579.0</v>
      </c>
      <c r="B1522" s="11" t="s">
        <v>1550</v>
      </c>
      <c r="C1522" s="12">
        <v>16235.0</v>
      </c>
      <c r="D1522" s="11" t="str">
        <f t="shared" si="1"/>
        <v> </v>
      </c>
      <c r="E1522" s="11" t="str">
        <f t="shared" si="2"/>
        <v> </v>
      </c>
    </row>
    <row r="1523" ht="15.75" customHeight="1">
      <c r="A1523" s="11">
        <v>12580.0</v>
      </c>
      <c r="B1523" s="11" t="s">
        <v>1551</v>
      </c>
      <c r="C1523" s="12">
        <v>18146.0</v>
      </c>
      <c r="D1523" s="11" t="str">
        <f t="shared" si="1"/>
        <v> </v>
      </c>
      <c r="E1523" s="11" t="str">
        <f t="shared" si="2"/>
        <v> </v>
      </c>
    </row>
    <row r="1524" ht="15.75" customHeight="1">
      <c r="A1524" s="11">
        <v>12582.0</v>
      </c>
      <c r="B1524" s="11" t="s">
        <v>1552</v>
      </c>
      <c r="C1524" s="12">
        <v>33972.0</v>
      </c>
      <c r="D1524" s="11" t="str">
        <f t="shared" si="1"/>
        <v> </v>
      </c>
      <c r="E1524" s="11" t="str">
        <f t="shared" si="2"/>
        <v> </v>
      </c>
    </row>
    <row r="1525" ht="15.75" customHeight="1">
      <c r="A1525" s="11">
        <v>12585.0</v>
      </c>
      <c r="B1525" s="11" t="s">
        <v>1553</v>
      </c>
      <c r="C1525" s="12">
        <v>12055.0</v>
      </c>
      <c r="D1525" s="11" t="str">
        <f t="shared" si="1"/>
        <v> </v>
      </c>
      <c r="E1525" s="11" t="str">
        <f t="shared" si="2"/>
        <v> </v>
      </c>
    </row>
    <row r="1526" ht="15.75" customHeight="1">
      <c r="A1526" s="11">
        <v>12586.0</v>
      </c>
      <c r="B1526" s="11" t="s">
        <v>1554</v>
      </c>
      <c r="C1526" s="12">
        <v>21442.0</v>
      </c>
      <c r="D1526" s="11" t="str">
        <f t="shared" si="1"/>
        <v> </v>
      </c>
      <c r="E1526" s="11" t="str">
        <f t="shared" si="2"/>
        <v> </v>
      </c>
    </row>
    <row r="1527" ht="15.75" customHeight="1">
      <c r="A1527" s="11">
        <v>12589.0</v>
      </c>
      <c r="B1527" s="11" t="s">
        <v>1555</v>
      </c>
      <c r="C1527" s="12">
        <v>20573.0</v>
      </c>
      <c r="D1527" s="11" t="str">
        <f t="shared" si="1"/>
        <v> </v>
      </c>
      <c r="E1527" s="11" t="str">
        <f t="shared" si="2"/>
        <v> </v>
      </c>
    </row>
    <row r="1528" ht="15.75" customHeight="1">
      <c r="A1528" s="11">
        <v>12590.0</v>
      </c>
      <c r="B1528" s="11" t="s">
        <v>1556</v>
      </c>
      <c r="C1528" s="12">
        <v>16075.0</v>
      </c>
      <c r="D1528" s="11" t="str">
        <f t="shared" si="1"/>
        <v>Repeat</v>
      </c>
      <c r="E1528" s="11" t="str">
        <f t="shared" si="2"/>
        <v> </v>
      </c>
    </row>
    <row r="1529" ht="15.75" customHeight="1">
      <c r="A1529" s="11">
        <v>12591.0</v>
      </c>
      <c r="B1529" s="11" t="s">
        <v>1557</v>
      </c>
      <c r="C1529" s="12">
        <v>17935.0</v>
      </c>
      <c r="D1529" s="11" t="str">
        <f t="shared" si="1"/>
        <v> </v>
      </c>
      <c r="E1529" s="11" t="str">
        <f t="shared" si="2"/>
        <v> </v>
      </c>
    </row>
    <row r="1530" ht="15.75" customHeight="1">
      <c r="A1530" s="11">
        <v>12592.0</v>
      </c>
      <c r="B1530" s="11" t="s">
        <v>1558</v>
      </c>
      <c r="C1530" s="12">
        <v>22417.0</v>
      </c>
      <c r="D1530" s="11" t="str">
        <f t="shared" si="1"/>
        <v> </v>
      </c>
      <c r="E1530" s="11" t="str">
        <f t="shared" si="2"/>
        <v> </v>
      </c>
    </row>
    <row r="1531" ht="15.75" customHeight="1">
      <c r="A1531" s="11">
        <v>12593.0</v>
      </c>
      <c r="B1531" s="11" t="s">
        <v>1559</v>
      </c>
      <c r="C1531" s="12">
        <v>30103.0</v>
      </c>
      <c r="D1531" s="11" t="str">
        <f t="shared" si="1"/>
        <v> </v>
      </c>
      <c r="E1531" s="11" t="str">
        <f t="shared" si="2"/>
        <v> </v>
      </c>
    </row>
    <row r="1532" ht="15.75" customHeight="1">
      <c r="A1532" s="11">
        <v>12594.0</v>
      </c>
      <c r="B1532" s="11" t="s">
        <v>1560</v>
      </c>
      <c r="C1532" s="12">
        <v>30485.0</v>
      </c>
      <c r="D1532" s="11" t="str">
        <f t="shared" si="1"/>
        <v> </v>
      </c>
      <c r="E1532" s="11" t="str">
        <f t="shared" si="2"/>
        <v> </v>
      </c>
    </row>
    <row r="1533" ht="15.75" customHeight="1">
      <c r="A1533" s="11">
        <v>12597.0</v>
      </c>
      <c r="B1533" s="11" t="s">
        <v>1561</v>
      </c>
      <c r="C1533" s="12">
        <v>30610.0</v>
      </c>
      <c r="D1533" s="11" t="str">
        <f t="shared" si="1"/>
        <v> </v>
      </c>
      <c r="E1533" s="11" t="str">
        <f t="shared" si="2"/>
        <v> </v>
      </c>
    </row>
    <row r="1534" ht="15.75" customHeight="1">
      <c r="A1534" s="11">
        <v>12598.0</v>
      </c>
      <c r="B1534" s="11" t="s">
        <v>1562</v>
      </c>
      <c r="C1534" s="12">
        <v>19776.0</v>
      </c>
      <c r="D1534" s="11" t="str">
        <f t="shared" si="1"/>
        <v> </v>
      </c>
      <c r="E1534" s="11" t="str">
        <f t="shared" si="2"/>
        <v> </v>
      </c>
    </row>
    <row r="1535" ht="15.75" customHeight="1">
      <c r="A1535" s="11">
        <v>12599.0</v>
      </c>
      <c r="B1535" s="11" t="s">
        <v>1563</v>
      </c>
      <c r="C1535" s="12">
        <v>12521.0</v>
      </c>
      <c r="D1535" s="11" t="str">
        <f t="shared" si="1"/>
        <v> </v>
      </c>
      <c r="E1535" s="11" t="str">
        <f t="shared" si="2"/>
        <v> </v>
      </c>
    </row>
    <row r="1536" ht="15.75" customHeight="1">
      <c r="A1536" s="11">
        <v>12600.0</v>
      </c>
      <c r="B1536" s="11" t="s">
        <v>1564</v>
      </c>
      <c r="C1536" s="12">
        <v>34888.0</v>
      </c>
      <c r="D1536" s="11" t="str">
        <f t="shared" si="1"/>
        <v> </v>
      </c>
      <c r="E1536" s="11" t="str">
        <f t="shared" si="2"/>
        <v> </v>
      </c>
    </row>
    <row r="1537" ht="15.75" customHeight="1">
      <c r="A1537" s="11">
        <v>12601.0</v>
      </c>
      <c r="B1537" s="11" t="s">
        <v>1565</v>
      </c>
      <c r="C1537" s="12">
        <v>18987.0</v>
      </c>
      <c r="D1537" s="11" t="str">
        <f t="shared" si="1"/>
        <v> </v>
      </c>
      <c r="E1537" s="11" t="str">
        <f t="shared" si="2"/>
        <v> </v>
      </c>
    </row>
    <row r="1538" ht="15.75" customHeight="1">
      <c r="A1538" s="11">
        <v>12602.0</v>
      </c>
      <c r="B1538" s="11" t="s">
        <v>1566</v>
      </c>
      <c r="C1538" s="12">
        <v>31472.0</v>
      </c>
      <c r="D1538" s="11" t="str">
        <f t="shared" si="1"/>
        <v> </v>
      </c>
      <c r="E1538" s="11" t="str">
        <f t="shared" si="2"/>
        <v> </v>
      </c>
    </row>
    <row r="1539" ht="15.75" customHeight="1">
      <c r="A1539" s="11">
        <v>12604.0</v>
      </c>
      <c r="B1539" s="11" t="s">
        <v>1567</v>
      </c>
      <c r="C1539" s="12">
        <v>28126.0</v>
      </c>
      <c r="D1539" s="11" t="str">
        <f t="shared" si="1"/>
        <v> </v>
      </c>
      <c r="E1539" s="11" t="str">
        <f t="shared" si="2"/>
        <v> </v>
      </c>
    </row>
    <row r="1540" ht="15.75" customHeight="1">
      <c r="A1540" s="11">
        <v>12605.0</v>
      </c>
      <c r="B1540" s="11" t="s">
        <v>1568</v>
      </c>
      <c r="C1540" s="12">
        <v>23931.0</v>
      </c>
      <c r="D1540" s="11" t="str">
        <f t="shared" si="1"/>
        <v>Repeat</v>
      </c>
      <c r="E1540" s="11" t="str">
        <f t="shared" si="2"/>
        <v> </v>
      </c>
    </row>
    <row r="1541" ht="15.75" customHeight="1">
      <c r="A1541" s="11">
        <v>12610.0</v>
      </c>
      <c r="B1541" s="11" t="s">
        <v>1569</v>
      </c>
      <c r="C1541" s="12">
        <v>21459.0</v>
      </c>
      <c r="D1541" s="11" t="str">
        <f t="shared" si="1"/>
        <v> </v>
      </c>
      <c r="E1541" s="11" t="str">
        <f t="shared" si="2"/>
        <v> </v>
      </c>
    </row>
    <row r="1542" ht="15.75" customHeight="1">
      <c r="A1542" s="11">
        <v>12611.0</v>
      </c>
      <c r="B1542" s="11" t="s">
        <v>1570</v>
      </c>
      <c r="C1542" s="12">
        <v>35861.0</v>
      </c>
      <c r="D1542" s="11" t="str">
        <f t="shared" si="1"/>
        <v> </v>
      </c>
      <c r="E1542" s="11" t="str">
        <f t="shared" si="2"/>
        <v> </v>
      </c>
    </row>
    <row r="1543" ht="15.75" customHeight="1">
      <c r="A1543" s="11">
        <v>12612.0</v>
      </c>
      <c r="B1543" s="11" t="s">
        <v>1571</v>
      </c>
      <c r="C1543" s="12">
        <v>21716.0</v>
      </c>
      <c r="D1543" s="11" t="str">
        <f t="shared" si="1"/>
        <v> </v>
      </c>
      <c r="E1543" s="11" t="str">
        <f t="shared" si="2"/>
        <v> </v>
      </c>
    </row>
    <row r="1544" ht="15.75" customHeight="1">
      <c r="A1544" s="11">
        <v>12613.0</v>
      </c>
      <c r="B1544" s="11" t="s">
        <v>1572</v>
      </c>
      <c r="C1544" s="12">
        <v>16716.0</v>
      </c>
      <c r="D1544" s="11" t="str">
        <f t="shared" si="1"/>
        <v> </v>
      </c>
      <c r="E1544" s="11" t="str">
        <f t="shared" si="2"/>
        <v> </v>
      </c>
    </row>
    <row r="1545" ht="15.75" customHeight="1">
      <c r="A1545" s="11">
        <v>12614.0</v>
      </c>
      <c r="B1545" s="11" t="s">
        <v>1573</v>
      </c>
      <c r="C1545" s="12">
        <v>21378.0</v>
      </c>
      <c r="D1545" s="11" t="str">
        <f t="shared" si="1"/>
        <v> </v>
      </c>
      <c r="E1545" s="11" t="str">
        <f t="shared" si="2"/>
        <v> </v>
      </c>
    </row>
    <row r="1546" ht="15.75" customHeight="1">
      <c r="A1546" s="11">
        <v>12616.0</v>
      </c>
      <c r="B1546" s="11" t="s">
        <v>1574</v>
      </c>
      <c r="C1546" s="12">
        <v>21113.0</v>
      </c>
      <c r="D1546" s="11" t="str">
        <f t="shared" si="1"/>
        <v> </v>
      </c>
      <c r="E1546" s="11" t="str">
        <f t="shared" si="2"/>
        <v> </v>
      </c>
    </row>
    <row r="1547" ht="15.75" customHeight="1">
      <c r="A1547" s="11">
        <v>12617.0</v>
      </c>
      <c r="B1547" s="11" t="s">
        <v>1575</v>
      </c>
      <c r="C1547" s="12">
        <v>25468.0</v>
      </c>
      <c r="D1547" s="11" t="str">
        <f t="shared" si="1"/>
        <v> </v>
      </c>
      <c r="E1547" s="11" t="str">
        <f t="shared" si="2"/>
        <v> </v>
      </c>
    </row>
    <row r="1548" ht="15.75" customHeight="1">
      <c r="A1548" s="11">
        <v>12618.0</v>
      </c>
      <c r="B1548" s="11" t="s">
        <v>1576</v>
      </c>
      <c r="C1548" s="12">
        <v>22554.0</v>
      </c>
      <c r="D1548" s="11" t="str">
        <f t="shared" si="1"/>
        <v> </v>
      </c>
      <c r="E1548" s="11" t="str">
        <f t="shared" si="2"/>
        <v> </v>
      </c>
    </row>
    <row r="1549" ht="15.75" customHeight="1">
      <c r="A1549" s="11">
        <v>12619.0</v>
      </c>
      <c r="B1549" s="11" t="s">
        <v>1577</v>
      </c>
      <c r="C1549" s="12">
        <v>18307.0</v>
      </c>
      <c r="D1549" s="11" t="str">
        <f t="shared" si="1"/>
        <v> </v>
      </c>
      <c r="E1549" s="11" t="str">
        <f t="shared" si="2"/>
        <v> </v>
      </c>
    </row>
    <row r="1550" ht="15.75" customHeight="1">
      <c r="A1550" s="11">
        <v>12620.0</v>
      </c>
      <c r="B1550" s="11" t="s">
        <v>1578</v>
      </c>
      <c r="C1550" s="12">
        <v>15570.0</v>
      </c>
      <c r="D1550" s="11" t="str">
        <f t="shared" si="1"/>
        <v> </v>
      </c>
      <c r="E1550" s="11" t="str">
        <f t="shared" si="2"/>
        <v> </v>
      </c>
    </row>
    <row r="1551" ht="15.75" customHeight="1">
      <c r="A1551" s="11">
        <v>12621.0</v>
      </c>
      <c r="B1551" s="11" t="s">
        <v>1579</v>
      </c>
      <c r="C1551" s="12">
        <v>22834.0</v>
      </c>
      <c r="D1551" s="11" t="str">
        <f t="shared" si="1"/>
        <v> </v>
      </c>
      <c r="E1551" s="11" t="str">
        <f t="shared" si="2"/>
        <v> </v>
      </c>
    </row>
    <row r="1552" ht="15.75" customHeight="1">
      <c r="A1552" s="11">
        <v>12622.0</v>
      </c>
      <c r="B1552" s="11" t="s">
        <v>1580</v>
      </c>
      <c r="C1552" s="12">
        <v>12174.0</v>
      </c>
      <c r="D1552" s="11" t="str">
        <f t="shared" si="1"/>
        <v> </v>
      </c>
      <c r="E1552" s="11" t="str">
        <f t="shared" si="2"/>
        <v> </v>
      </c>
    </row>
    <row r="1553" ht="15.75" customHeight="1">
      <c r="A1553" s="11">
        <v>12623.0</v>
      </c>
      <c r="B1553" s="11" t="s">
        <v>1581</v>
      </c>
      <c r="C1553" s="12">
        <v>29504.0</v>
      </c>
      <c r="D1553" s="11" t="str">
        <f t="shared" si="1"/>
        <v> </v>
      </c>
      <c r="E1553" s="11" t="str">
        <f t="shared" si="2"/>
        <v> </v>
      </c>
    </row>
    <row r="1554" ht="15.75" customHeight="1">
      <c r="A1554" s="11">
        <v>12625.0</v>
      </c>
      <c r="B1554" s="11" t="s">
        <v>1582</v>
      </c>
      <c r="C1554" s="12">
        <v>15668.0</v>
      </c>
      <c r="D1554" s="11" t="str">
        <f t="shared" si="1"/>
        <v> </v>
      </c>
      <c r="E1554" s="11" t="str">
        <f t="shared" si="2"/>
        <v> </v>
      </c>
    </row>
    <row r="1555" ht="15.75" customHeight="1">
      <c r="A1555" s="11">
        <v>12626.0</v>
      </c>
      <c r="B1555" s="11" t="s">
        <v>1583</v>
      </c>
      <c r="C1555" s="12">
        <v>25946.0</v>
      </c>
      <c r="D1555" s="11" t="str">
        <f t="shared" si="1"/>
        <v> </v>
      </c>
      <c r="E1555" s="11" t="str">
        <f t="shared" si="2"/>
        <v> </v>
      </c>
    </row>
    <row r="1556" ht="15.75" customHeight="1">
      <c r="A1556" s="11">
        <v>12628.0</v>
      </c>
      <c r="B1556" s="11" t="s">
        <v>1584</v>
      </c>
      <c r="C1556" s="12">
        <v>32624.0</v>
      </c>
      <c r="D1556" s="11" t="str">
        <f t="shared" si="1"/>
        <v> </v>
      </c>
      <c r="E1556" s="11" t="str">
        <f t="shared" si="2"/>
        <v> </v>
      </c>
    </row>
    <row r="1557" ht="15.75" customHeight="1">
      <c r="A1557" s="11">
        <v>12629.0</v>
      </c>
      <c r="B1557" s="11" t="s">
        <v>1585</v>
      </c>
      <c r="C1557" s="12">
        <v>17049.0</v>
      </c>
      <c r="D1557" s="11" t="str">
        <f t="shared" si="1"/>
        <v> </v>
      </c>
      <c r="E1557" s="11" t="str">
        <f t="shared" si="2"/>
        <v> </v>
      </c>
    </row>
    <row r="1558" ht="15.75" customHeight="1">
      <c r="A1558" s="11">
        <v>12630.0</v>
      </c>
      <c r="B1558" s="11" t="s">
        <v>1586</v>
      </c>
      <c r="C1558" s="12">
        <v>23304.0</v>
      </c>
      <c r="D1558" s="11" t="str">
        <f t="shared" si="1"/>
        <v> </v>
      </c>
      <c r="E1558" s="11" t="str">
        <f t="shared" si="2"/>
        <v> </v>
      </c>
    </row>
    <row r="1559" ht="15.75" customHeight="1">
      <c r="A1559" s="11">
        <v>12631.0</v>
      </c>
      <c r="B1559" s="11" t="s">
        <v>1587</v>
      </c>
      <c r="C1559" s="12">
        <v>37109.0</v>
      </c>
      <c r="D1559" s="11" t="str">
        <f t="shared" si="1"/>
        <v> </v>
      </c>
      <c r="E1559" s="11" t="str">
        <f t="shared" si="2"/>
        <v> </v>
      </c>
    </row>
    <row r="1560" ht="15.75" customHeight="1">
      <c r="A1560" s="11">
        <v>12633.0</v>
      </c>
      <c r="B1560" s="11" t="s">
        <v>1588</v>
      </c>
      <c r="C1560" s="12">
        <v>20225.0</v>
      </c>
      <c r="D1560" s="11" t="str">
        <f t="shared" si="1"/>
        <v> </v>
      </c>
      <c r="E1560" s="11" t="str">
        <f t="shared" si="2"/>
        <v> </v>
      </c>
    </row>
    <row r="1561" ht="15.75" customHeight="1">
      <c r="A1561" s="11">
        <v>12634.0</v>
      </c>
      <c r="B1561" s="11" t="s">
        <v>1589</v>
      </c>
      <c r="C1561" s="12">
        <v>10879.0</v>
      </c>
      <c r="D1561" s="11" t="str">
        <f t="shared" si="1"/>
        <v> </v>
      </c>
      <c r="E1561" s="11" t="str">
        <f t="shared" si="2"/>
        <v> </v>
      </c>
    </row>
    <row r="1562" ht="15.75" customHeight="1">
      <c r="A1562" s="11">
        <v>12635.0</v>
      </c>
      <c r="B1562" s="11" t="s">
        <v>1590</v>
      </c>
      <c r="C1562" s="12">
        <v>22457.0</v>
      </c>
      <c r="D1562" s="11" t="str">
        <f t="shared" si="1"/>
        <v> </v>
      </c>
      <c r="E1562" s="11" t="str">
        <f t="shared" si="2"/>
        <v> </v>
      </c>
    </row>
    <row r="1563" ht="15.75" customHeight="1">
      <c r="A1563" s="11">
        <v>12636.0</v>
      </c>
      <c r="B1563" s="11" t="s">
        <v>1591</v>
      </c>
      <c r="C1563" s="12">
        <v>17076.0</v>
      </c>
      <c r="D1563" s="11" t="str">
        <f t="shared" si="1"/>
        <v> </v>
      </c>
      <c r="E1563" s="11" t="str">
        <f t="shared" si="2"/>
        <v> </v>
      </c>
    </row>
    <row r="1564" ht="15.75" customHeight="1">
      <c r="A1564" s="11">
        <v>12638.0</v>
      </c>
      <c r="B1564" s="11" t="s">
        <v>1592</v>
      </c>
      <c r="C1564" s="12">
        <v>25617.0</v>
      </c>
      <c r="D1564" s="11" t="str">
        <f t="shared" si="1"/>
        <v> </v>
      </c>
      <c r="E1564" s="11" t="str">
        <f t="shared" si="2"/>
        <v> </v>
      </c>
    </row>
    <row r="1565" ht="15.75" customHeight="1">
      <c r="A1565" s="11">
        <v>12639.0</v>
      </c>
      <c r="B1565" s="11" t="s">
        <v>1593</v>
      </c>
      <c r="C1565" s="12">
        <v>16484.0</v>
      </c>
      <c r="D1565" s="11" t="str">
        <f t="shared" si="1"/>
        <v> </v>
      </c>
      <c r="E1565" s="11" t="str">
        <f t="shared" si="2"/>
        <v> </v>
      </c>
    </row>
    <row r="1566" ht="15.75" customHeight="1">
      <c r="A1566" s="11">
        <v>12641.0</v>
      </c>
      <c r="B1566" s="11" t="s">
        <v>1594</v>
      </c>
      <c r="C1566" s="12">
        <v>18050.0</v>
      </c>
      <c r="D1566" s="11" t="str">
        <f t="shared" si="1"/>
        <v> </v>
      </c>
      <c r="E1566" s="11" t="str">
        <f t="shared" si="2"/>
        <v> </v>
      </c>
    </row>
    <row r="1567" ht="15.75" customHeight="1">
      <c r="A1567" s="11">
        <v>12642.0</v>
      </c>
      <c r="B1567" s="11" t="s">
        <v>1595</v>
      </c>
      <c r="C1567" s="12">
        <v>24362.0</v>
      </c>
      <c r="D1567" s="11" t="str">
        <f t="shared" si="1"/>
        <v> </v>
      </c>
      <c r="E1567" s="11" t="str">
        <f t="shared" si="2"/>
        <v> </v>
      </c>
    </row>
    <row r="1568" ht="15.75" customHeight="1">
      <c r="A1568" s="11">
        <v>12645.0</v>
      </c>
      <c r="B1568" s="11" t="s">
        <v>1596</v>
      </c>
      <c r="C1568" s="12">
        <v>34068.0</v>
      </c>
      <c r="D1568" s="11" t="str">
        <f t="shared" si="1"/>
        <v> </v>
      </c>
      <c r="E1568" s="11" t="str">
        <f t="shared" si="2"/>
        <v> </v>
      </c>
    </row>
    <row r="1569" ht="15.75" customHeight="1">
      <c r="A1569" s="11">
        <v>12646.0</v>
      </c>
      <c r="B1569" s="11" t="s">
        <v>1597</v>
      </c>
      <c r="C1569" s="12">
        <v>14077.0</v>
      </c>
      <c r="D1569" s="11" t="str">
        <f t="shared" si="1"/>
        <v> </v>
      </c>
      <c r="E1569" s="11" t="str">
        <f t="shared" si="2"/>
        <v> </v>
      </c>
    </row>
    <row r="1570" ht="15.75" customHeight="1">
      <c r="A1570" s="11">
        <v>12648.0</v>
      </c>
      <c r="B1570" s="11" t="s">
        <v>1598</v>
      </c>
      <c r="C1570" s="12">
        <v>23822.0</v>
      </c>
      <c r="D1570" s="11" t="str">
        <f t="shared" si="1"/>
        <v> </v>
      </c>
      <c r="E1570" s="11" t="str">
        <f t="shared" si="2"/>
        <v> </v>
      </c>
    </row>
    <row r="1571" ht="15.75" customHeight="1">
      <c r="A1571" s="11">
        <v>12649.0</v>
      </c>
      <c r="B1571" s="11" t="s">
        <v>1599</v>
      </c>
      <c r="C1571" s="12">
        <v>26640.0</v>
      </c>
      <c r="D1571" s="11" t="str">
        <f t="shared" si="1"/>
        <v> </v>
      </c>
      <c r="E1571" s="11" t="str">
        <f t="shared" si="2"/>
        <v> </v>
      </c>
    </row>
    <row r="1572" ht="15.75" customHeight="1">
      <c r="A1572" s="11">
        <v>12650.0</v>
      </c>
      <c r="B1572" s="11" t="s">
        <v>1600</v>
      </c>
      <c r="C1572" s="12">
        <v>19482.0</v>
      </c>
      <c r="D1572" s="11" t="str">
        <f t="shared" si="1"/>
        <v> </v>
      </c>
      <c r="E1572" s="11" t="str">
        <f t="shared" si="2"/>
        <v> </v>
      </c>
    </row>
    <row r="1573" ht="15.75" customHeight="1">
      <c r="A1573" s="11">
        <v>12651.0</v>
      </c>
      <c r="B1573" s="11" t="s">
        <v>1601</v>
      </c>
      <c r="C1573" s="12">
        <v>18132.0</v>
      </c>
      <c r="D1573" s="11" t="str">
        <f t="shared" si="1"/>
        <v> </v>
      </c>
      <c r="E1573" s="11" t="str">
        <f t="shared" si="2"/>
        <v> </v>
      </c>
    </row>
    <row r="1574" ht="15.75" customHeight="1">
      <c r="A1574" s="11">
        <v>12652.0</v>
      </c>
      <c r="B1574" s="11" t="s">
        <v>1602</v>
      </c>
      <c r="C1574" s="12">
        <v>28856.0</v>
      </c>
      <c r="D1574" s="11" t="str">
        <f t="shared" si="1"/>
        <v> </v>
      </c>
      <c r="E1574" s="11" t="str">
        <f t="shared" si="2"/>
        <v> </v>
      </c>
    </row>
    <row r="1575" ht="15.75" customHeight="1">
      <c r="A1575" s="11">
        <v>12653.0</v>
      </c>
      <c r="B1575" s="11" t="s">
        <v>1603</v>
      </c>
      <c r="C1575" s="12">
        <v>27827.0</v>
      </c>
      <c r="D1575" s="11" t="str">
        <f t="shared" si="1"/>
        <v> </v>
      </c>
      <c r="E1575" s="11" t="str">
        <f t="shared" si="2"/>
        <v> </v>
      </c>
    </row>
    <row r="1576" ht="15.75" customHeight="1">
      <c r="A1576" s="11">
        <v>12655.0</v>
      </c>
      <c r="B1576" s="11" t="s">
        <v>1604</v>
      </c>
      <c r="C1576" s="12">
        <v>11645.0</v>
      </c>
      <c r="D1576" s="11" t="str">
        <f t="shared" si="1"/>
        <v> </v>
      </c>
      <c r="E1576" s="11" t="str">
        <f t="shared" si="2"/>
        <v> </v>
      </c>
    </row>
    <row r="1577" ht="15.75" customHeight="1">
      <c r="A1577" s="11">
        <v>12656.0</v>
      </c>
      <c r="B1577" s="11" t="s">
        <v>1605</v>
      </c>
      <c r="C1577" s="12">
        <v>22112.0</v>
      </c>
      <c r="D1577" s="11" t="str">
        <f t="shared" si="1"/>
        <v> </v>
      </c>
      <c r="E1577" s="11" t="str">
        <f t="shared" si="2"/>
        <v> </v>
      </c>
    </row>
    <row r="1578" ht="15.75" customHeight="1">
      <c r="A1578" s="11">
        <v>12658.0</v>
      </c>
      <c r="B1578" s="11" t="s">
        <v>1606</v>
      </c>
      <c r="C1578" s="12">
        <v>19044.0</v>
      </c>
      <c r="D1578" s="11" t="str">
        <f t="shared" si="1"/>
        <v> </v>
      </c>
      <c r="E1578" s="11" t="str">
        <f t="shared" si="2"/>
        <v> </v>
      </c>
    </row>
    <row r="1579" ht="15.75" customHeight="1">
      <c r="A1579" s="11">
        <v>12659.0</v>
      </c>
      <c r="B1579" s="11" t="s">
        <v>1607</v>
      </c>
      <c r="C1579" s="12">
        <v>32702.0</v>
      </c>
      <c r="D1579" s="11" t="str">
        <f t="shared" si="1"/>
        <v> </v>
      </c>
      <c r="E1579" s="11" t="str">
        <f t="shared" si="2"/>
        <v> </v>
      </c>
    </row>
    <row r="1580" ht="15.75" customHeight="1">
      <c r="A1580" s="11">
        <v>12661.0</v>
      </c>
      <c r="B1580" s="11" t="s">
        <v>1608</v>
      </c>
      <c r="C1580" s="12">
        <v>29799.0</v>
      </c>
      <c r="D1580" s="11" t="str">
        <f t="shared" si="1"/>
        <v> </v>
      </c>
      <c r="E1580" s="11" t="str">
        <f t="shared" si="2"/>
        <v> </v>
      </c>
    </row>
    <row r="1581" ht="15.75" customHeight="1">
      <c r="A1581" s="11">
        <v>12662.0</v>
      </c>
      <c r="B1581" s="11" t="s">
        <v>1609</v>
      </c>
      <c r="C1581" s="12">
        <v>25947.0</v>
      </c>
      <c r="D1581" s="11" t="str">
        <f t="shared" si="1"/>
        <v> </v>
      </c>
      <c r="E1581" s="11" t="str">
        <f t="shared" si="2"/>
        <v> </v>
      </c>
    </row>
    <row r="1582" ht="15.75" customHeight="1">
      <c r="A1582" s="11">
        <v>12663.0</v>
      </c>
      <c r="B1582" s="11" t="s">
        <v>1610</v>
      </c>
      <c r="C1582" s="12">
        <v>32563.0</v>
      </c>
      <c r="D1582" s="11" t="str">
        <f t="shared" si="1"/>
        <v> </v>
      </c>
      <c r="E1582" s="11" t="str">
        <f t="shared" si="2"/>
        <v> </v>
      </c>
    </row>
    <row r="1583" ht="15.75" customHeight="1">
      <c r="A1583" s="11">
        <v>12665.0</v>
      </c>
      <c r="B1583" s="11" t="s">
        <v>1611</v>
      </c>
      <c r="C1583" s="12">
        <v>16549.0</v>
      </c>
      <c r="D1583" s="11" t="str">
        <f t="shared" si="1"/>
        <v> </v>
      </c>
      <c r="E1583" s="11" t="str">
        <f t="shared" si="2"/>
        <v> </v>
      </c>
    </row>
    <row r="1584" ht="15.75" customHeight="1">
      <c r="A1584" s="11">
        <v>12666.0</v>
      </c>
      <c r="B1584" s="11" t="s">
        <v>1612</v>
      </c>
      <c r="C1584" s="12">
        <v>22896.0</v>
      </c>
      <c r="D1584" s="11" t="str">
        <f t="shared" si="1"/>
        <v> </v>
      </c>
      <c r="E1584" s="11" t="str">
        <f t="shared" si="2"/>
        <v> </v>
      </c>
    </row>
    <row r="1585" ht="15.75" customHeight="1">
      <c r="A1585" s="11">
        <v>12669.0</v>
      </c>
      <c r="B1585" s="11" t="s">
        <v>1613</v>
      </c>
      <c r="C1585" s="12">
        <v>24179.0</v>
      </c>
      <c r="D1585" s="11" t="str">
        <f t="shared" si="1"/>
        <v> </v>
      </c>
      <c r="E1585" s="11" t="str">
        <f t="shared" si="2"/>
        <v> </v>
      </c>
    </row>
    <row r="1586" ht="15.75" customHeight="1">
      <c r="A1586" s="11">
        <v>12671.0</v>
      </c>
      <c r="B1586" s="11" t="s">
        <v>1614</v>
      </c>
      <c r="C1586" s="12">
        <v>25803.0</v>
      </c>
      <c r="D1586" s="11" t="str">
        <f t="shared" si="1"/>
        <v> </v>
      </c>
      <c r="E1586" s="11" t="str">
        <f t="shared" si="2"/>
        <v> </v>
      </c>
    </row>
    <row r="1587" ht="15.75" customHeight="1">
      <c r="A1587" s="11">
        <v>12672.0</v>
      </c>
      <c r="B1587" s="11" t="s">
        <v>1615</v>
      </c>
      <c r="C1587" s="12">
        <v>19882.0</v>
      </c>
      <c r="D1587" s="11" t="str">
        <f t="shared" si="1"/>
        <v> </v>
      </c>
      <c r="E1587" s="11" t="str">
        <f t="shared" si="2"/>
        <v> </v>
      </c>
    </row>
    <row r="1588" ht="15.75" customHeight="1">
      <c r="A1588" s="11">
        <v>12673.0</v>
      </c>
      <c r="B1588" s="11" t="s">
        <v>1616</v>
      </c>
      <c r="C1588" s="12">
        <v>27831.0</v>
      </c>
      <c r="D1588" s="11" t="str">
        <f t="shared" si="1"/>
        <v> </v>
      </c>
      <c r="E1588" s="11" t="str">
        <f t="shared" si="2"/>
        <v> </v>
      </c>
    </row>
    <row r="1589" ht="15.75" customHeight="1">
      <c r="A1589" s="11">
        <v>12674.0</v>
      </c>
      <c r="B1589" s="11" t="s">
        <v>1617</v>
      </c>
      <c r="C1589" s="12">
        <v>13491.0</v>
      </c>
      <c r="D1589" s="11" t="str">
        <f t="shared" si="1"/>
        <v> </v>
      </c>
      <c r="E1589" s="11" t="str">
        <f t="shared" si="2"/>
        <v> </v>
      </c>
    </row>
    <row r="1590" ht="15.75" customHeight="1">
      <c r="A1590" s="11">
        <v>12675.0</v>
      </c>
      <c r="B1590" s="11" t="s">
        <v>1618</v>
      </c>
      <c r="C1590" s="12">
        <v>19718.0</v>
      </c>
      <c r="D1590" s="11" t="str">
        <f t="shared" si="1"/>
        <v> </v>
      </c>
      <c r="E1590" s="11" t="str">
        <f t="shared" si="2"/>
        <v> </v>
      </c>
    </row>
    <row r="1591" ht="15.75" customHeight="1">
      <c r="A1591" s="11">
        <v>12676.0</v>
      </c>
      <c r="B1591" s="11" t="s">
        <v>1619</v>
      </c>
      <c r="C1591" s="12">
        <v>18119.0</v>
      </c>
      <c r="D1591" s="11" t="str">
        <f t="shared" si="1"/>
        <v> </v>
      </c>
      <c r="E1591" s="11" t="str">
        <f t="shared" si="2"/>
        <v> </v>
      </c>
    </row>
    <row r="1592" ht="15.75" customHeight="1">
      <c r="A1592" s="11">
        <v>12677.0</v>
      </c>
      <c r="B1592" s="11" t="s">
        <v>1620</v>
      </c>
      <c r="C1592" s="12">
        <v>25830.0</v>
      </c>
      <c r="D1592" s="11" t="str">
        <f t="shared" si="1"/>
        <v> </v>
      </c>
      <c r="E1592" s="11" t="str">
        <f t="shared" si="2"/>
        <v> </v>
      </c>
    </row>
    <row r="1593" ht="15.75" customHeight="1">
      <c r="A1593" s="11">
        <v>12680.0</v>
      </c>
      <c r="B1593" s="11" t="s">
        <v>1621</v>
      </c>
      <c r="C1593" s="12">
        <v>18809.0</v>
      </c>
      <c r="D1593" s="11" t="str">
        <f t="shared" si="1"/>
        <v> </v>
      </c>
      <c r="E1593" s="11" t="str">
        <f t="shared" si="2"/>
        <v> </v>
      </c>
    </row>
    <row r="1594" ht="15.75" customHeight="1">
      <c r="A1594" s="11">
        <v>12681.0</v>
      </c>
      <c r="B1594" s="11" t="s">
        <v>1622</v>
      </c>
      <c r="C1594" s="12">
        <v>23343.0</v>
      </c>
      <c r="D1594" s="11" t="str">
        <f t="shared" si="1"/>
        <v> </v>
      </c>
      <c r="E1594" s="11" t="str">
        <f t="shared" si="2"/>
        <v> </v>
      </c>
    </row>
    <row r="1595" ht="15.75" customHeight="1">
      <c r="A1595" s="11">
        <v>12682.0</v>
      </c>
      <c r="B1595" s="11" t="s">
        <v>1623</v>
      </c>
      <c r="C1595" s="12">
        <v>17351.0</v>
      </c>
      <c r="D1595" s="11" t="str">
        <f t="shared" si="1"/>
        <v> </v>
      </c>
      <c r="E1595" s="11" t="str">
        <f t="shared" si="2"/>
        <v> </v>
      </c>
    </row>
    <row r="1596" ht="15.75" customHeight="1">
      <c r="A1596" s="11">
        <v>12683.0</v>
      </c>
      <c r="B1596" s="11" t="s">
        <v>1624</v>
      </c>
      <c r="C1596" s="12">
        <v>21164.0</v>
      </c>
      <c r="D1596" s="11" t="str">
        <f t="shared" si="1"/>
        <v> </v>
      </c>
      <c r="E1596" s="11" t="str">
        <f t="shared" si="2"/>
        <v> </v>
      </c>
    </row>
    <row r="1597" ht="15.75" customHeight="1">
      <c r="A1597" s="11">
        <v>12684.0</v>
      </c>
      <c r="B1597" s="11" t="s">
        <v>1625</v>
      </c>
      <c r="C1597" s="12">
        <v>18264.0</v>
      </c>
      <c r="D1597" s="11" t="str">
        <f t="shared" si="1"/>
        <v> </v>
      </c>
      <c r="E1597" s="11" t="str">
        <f t="shared" si="2"/>
        <v> </v>
      </c>
    </row>
    <row r="1598" ht="15.75" customHeight="1">
      <c r="A1598" s="11">
        <v>12685.0</v>
      </c>
      <c r="B1598" s="11" t="s">
        <v>1626</v>
      </c>
      <c r="C1598" s="12">
        <v>20162.0</v>
      </c>
      <c r="D1598" s="11" t="str">
        <f t="shared" si="1"/>
        <v> </v>
      </c>
      <c r="E1598" s="11" t="str">
        <f t="shared" si="2"/>
        <v> </v>
      </c>
    </row>
    <row r="1599" ht="15.75" customHeight="1">
      <c r="A1599" s="11">
        <v>12686.0</v>
      </c>
      <c r="B1599" s="11" t="s">
        <v>1627</v>
      </c>
      <c r="C1599" s="12">
        <v>13761.0</v>
      </c>
      <c r="D1599" s="11" t="str">
        <f t="shared" si="1"/>
        <v> </v>
      </c>
      <c r="E1599" s="11" t="str">
        <f t="shared" si="2"/>
        <v> </v>
      </c>
    </row>
    <row r="1600" ht="15.75" customHeight="1">
      <c r="A1600" s="11">
        <v>12687.0</v>
      </c>
      <c r="B1600" s="11" t="s">
        <v>1628</v>
      </c>
      <c r="C1600" s="12">
        <v>24099.0</v>
      </c>
      <c r="D1600" s="11" t="str">
        <f t="shared" si="1"/>
        <v> </v>
      </c>
      <c r="E1600" s="11" t="str">
        <f t="shared" si="2"/>
        <v> </v>
      </c>
    </row>
    <row r="1601" ht="15.75" customHeight="1">
      <c r="A1601" s="11">
        <v>12688.0</v>
      </c>
      <c r="B1601" s="11" t="s">
        <v>1629</v>
      </c>
      <c r="C1601" s="12">
        <v>22821.0</v>
      </c>
      <c r="D1601" s="11" t="str">
        <f t="shared" si="1"/>
        <v> </v>
      </c>
      <c r="E1601" s="11" t="str">
        <f t="shared" si="2"/>
        <v> </v>
      </c>
    </row>
    <row r="1602" ht="15.75" customHeight="1">
      <c r="A1602" s="11">
        <v>12690.0</v>
      </c>
      <c r="B1602" s="11" t="s">
        <v>1630</v>
      </c>
      <c r="C1602" s="12">
        <v>20549.0</v>
      </c>
      <c r="D1602" s="11" t="str">
        <f t="shared" si="1"/>
        <v> </v>
      </c>
      <c r="E1602" s="11" t="str">
        <f t="shared" si="2"/>
        <v> </v>
      </c>
    </row>
    <row r="1603" ht="15.75" customHeight="1">
      <c r="A1603" s="11">
        <v>12693.0</v>
      </c>
      <c r="B1603" s="11" t="s">
        <v>1631</v>
      </c>
      <c r="C1603" s="12">
        <v>18722.0</v>
      </c>
      <c r="D1603" s="11" t="str">
        <f t="shared" si="1"/>
        <v> </v>
      </c>
      <c r="E1603" s="11" t="str">
        <f t="shared" si="2"/>
        <v> </v>
      </c>
    </row>
    <row r="1604" ht="15.75" customHeight="1">
      <c r="A1604" s="11">
        <v>12694.0</v>
      </c>
      <c r="B1604" s="11" t="s">
        <v>1632</v>
      </c>
      <c r="C1604" s="12">
        <v>22174.0</v>
      </c>
      <c r="D1604" s="11" t="str">
        <f t="shared" si="1"/>
        <v> </v>
      </c>
      <c r="E1604" s="11" t="str">
        <f t="shared" si="2"/>
        <v> </v>
      </c>
    </row>
    <row r="1605" ht="15.75" customHeight="1">
      <c r="A1605" s="11">
        <v>12695.0</v>
      </c>
      <c r="B1605" s="11" t="s">
        <v>1633</v>
      </c>
      <c r="C1605" s="12">
        <v>28088.0</v>
      </c>
      <c r="D1605" s="11" t="str">
        <f t="shared" si="1"/>
        <v> </v>
      </c>
      <c r="E1605" s="11" t="str">
        <f t="shared" si="2"/>
        <v> </v>
      </c>
    </row>
    <row r="1606" ht="15.75" customHeight="1">
      <c r="A1606" s="11">
        <v>12696.0</v>
      </c>
      <c r="B1606" s="11" t="s">
        <v>1634</v>
      </c>
      <c r="C1606" s="12">
        <v>14557.0</v>
      </c>
      <c r="D1606" s="11" t="str">
        <f t="shared" si="1"/>
        <v> </v>
      </c>
      <c r="E1606" s="11" t="str">
        <f t="shared" si="2"/>
        <v> </v>
      </c>
    </row>
    <row r="1607" ht="15.75" customHeight="1">
      <c r="A1607" s="11">
        <v>12697.0</v>
      </c>
      <c r="B1607" s="11" t="s">
        <v>1635</v>
      </c>
      <c r="C1607" s="12">
        <v>30536.0</v>
      </c>
      <c r="D1607" s="11" t="str">
        <f t="shared" si="1"/>
        <v> </v>
      </c>
      <c r="E1607" s="11" t="str">
        <f t="shared" si="2"/>
        <v> </v>
      </c>
    </row>
    <row r="1608" ht="15.75" customHeight="1">
      <c r="A1608" s="11">
        <v>12698.0</v>
      </c>
      <c r="B1608" s="11" t="s">
        <v>1636</v>
      </c>
      <c r="C1608" s="12">
        <v>16360.0</v>
      </c>
      <c r="D1608" s="11" t="str">
        <f t="shared" si="1"/>
        <v> </v>
      </c>
      <c r="E1608" s="11" t="str">
        <f t="shared" si="2"/>
        <v> </v>
      </c>
    </row>
    <row r="1609" ht="15.75" customHeight="1">
      <c r="A1609" s="11">
        <v>12700.0</v>
      </c>
      <c r="B1609" s="11" t="s">
        <v>1637</v>
      </c>
      <c r="C1609" s="12">
        <v>26248.0</v>
      </c>
      <c r="D1609" s="11" t="str">
        <f t="shared" si="1"/>
        <v> </v>
      </c>
      <c r="E1609" s="11" t="str">
        <f t="shared" si="2"/>
        <v> </v>
      </c>
    </row>
    <row r="1610" ht="15.75" customHeight="1">
      <c r="A1610" s="11">
        <v>12701.0</v>
      </c>
      <c r="B1610" s="11" t="s">
        <v>1638</v>
      </c>
      <c r="C1610" s="12">
        <v>18585.0</v>
      </c>
      <c r="D1610" s="11" t="str">
        <f t="shared" si="1"/>
        <v> </v>
      </c>
      <c r="E1610" s="11" t="str">
        <f t="shared" si="2"/>
        <v> </v>
      </c>
    </row>
    <row r="1611" ht="15.75" customHeight="1">
      <c r="A1611" s="11">
        <v>12702.0</v>
      </c>
      <c r="B1611" s="11" t="s">
        <v>1639</v>
      </c>
      <c r="C1611" s="12">
        <v>14807.0</v>
      </c>
      <c r="D1611" s="11" t="str">
        <f t="shared" si="1"/>
        <v> </v>
      </c>
      <c r="E1611" s="11" t="str">
        <f t="shared" si="2"/>
        <v> </v>
      </c>
    </row>
    <row r="1612" ht="15.75" customHeight="1">
      <c r="A1612" s="11">
        <v>12703.0</v>
      </c>
      <c r="B1612" s="11" t="s">
        <v>1640</v>
      </c>
      <c r="C1612" s="12">
        <v>15013.0</v>
      </c>
      <c r="D1612" s="11" t="str">
        <f t="shared" si="1"/>
        <v> </v>
      </c>
      <c r="E1612" s="11" t="str">
        <f t="shared" si="2"/>
        <v> </v>
      </c>
    </row>
    <row r="1613" ht="15.75" customHeight="1">
      <c r="A1613" s="11">
        <v>12704.0</v>
      </c>
      <c r="B1613" s="11" t="s">
        <v>1641</v>
      </c>
      <c r="C1613" s="12">
        <v>26124.0</v>
      </c>
      <c r="D1613" s="11" t="str">
        <f t="shared" si="1"/>
        <v> </v>
      </c>
      <c r="E1613" s="11" t="str">
        <f t="shared" si="2"/>
        <v> </v>
      </c>
    </row>
    <row r="1614" ht="15.75" customHeight="1">
      <c r="A1614" s="11">
        <v>12706.0</v>
      </c>
      <c r="B1614" s="11" t="s">
        <v>1642</v>
      </c>
      <c r="C1614" s="12">
        <v>28131.0</v>
      </c>
      <c r="D1614" s="11" t="str">
        <f t="shared" si="1"/>
        <v> </v>
      </c>
      <c r="E1614" s="11" t="str">
        <f t="shared" si="2"/>
        <v> </v>
      </c>
    </row>
    <row r="1615" ht="15.75" customHeight="1">
      <c r="A1615" s="11">
        <v>12709.0</v>
      </c>
      <c r="B1615" s="11" t="s">
        <v>1643</v>
      </c>
      <c r="C1615" s="12">
        <v>22926.0</v>
      </c>
      <c r="D1615" s="11" t="str">
        <f t="shared" si="1"/>
        <v> </v>
      </c>
      <c r="E1615" s="11" t="str">
        <f t="shared" si="2"/>
        <v> </v>
      </c>
    </row>
    <row r="1616" ht="15.75" customHeight="1">
      <c r="A1616" s="11">
        <v>12710.0</v>
      </c>
      <c r="B1616" s="11" t="s">
        <v>1644</v>
      </c>
      <c r="C1616" s="12">
        <v>29031.0</v>
      </c>
      <c r="D1616" s="11" t="str">
        <f t="shared" si="1"/>
        <v> </v>
      </c>
      <c r="E1616" s="11" t="str">
        <f t="shared" si="2"/>
        <v> </v>
      </c>
    </row>
    <row r="1617" ht="15.75" customHeight="1">
      <c r="A1617" s="11">
        <v>12711.0</v>
      </c>
      <c r="B1617" s="11" t="s">
        <v>1645</v>
      </c>
      <c r="C1617" s="12">
        <v>23000.0</v>
      </c>
      <c r="D1617" s="11" t="str">
        <f t="shared" si="1"/>
        <v> </v>
      </c>
      <c r="E1617" s="11" t="str">
        <f t="shared" si="2"/>
        <v> </v>
      </c>
    </row>
    <row r="1618" ht="15.75" customHeight="1">
      <c r="A1618" s="11">
        <v>12712.0</v>
      </c>
      <c r="B1618" s="11" t="s">
        <v>1646</v>
      </c>
      <c r="C1618" s="12">
        <v>23307.0</v>
      </c>
      <c r="D1618" s="11" t="str">
        <f t="shared" si="1"/>
        <v> </v>
      </c>
      <c r="E1618" s="11" t="str">
        <f t="shared" si="2"/>
        <v> </v>
      </c>
    </row>
    <row r="1619" ht="15.75" customHeight="1">
      <c r="A1619" s="11">
        <v>12714.0</v>
      </c>
      <c r="B1619" s="11" t="s">
        <v>1647</v>
      </c>
      <c r="C1619" s="12">
        <v>25918.0</v>
      </c>
      <c r="D1619" s="11" t="str">
        <f t="shared" si="1"/>
        <v> </v>
      </c>
      <c r="E1619" s="11" t="str">
        <f t="shared" si="2"/>
        <v> </v>
      </c>
    </row>
    <row r="1620" ht="15.75" customHeight="1">
      <c r="A1620" s="11">
        <v>12715.0</v>
      </c>
      <c r="B1620" s="11" t="s">
        <v>1648</v>
      </c>
      <c r="C1620" s="12">
        <v>16230.0</v>
      </c>
      <c r="D1620" s="11" t="str">
        <f t="shared" si="1"/>
        <v> </v>
      </c>
      <c r="E1620" s="11" t="str">
        <f t="shared" si="2"/>
        <v> </v>
      </c>
    </row>
    <row r="1621" ht="15.75" customHeight="1">
      <c r="A1621" s="11">
        <v>12716.0</v>
      </c>
      <c r="B1621" s="11" t="s">
        <v>1649</v>
      </c>
      <c r="C1621" s="12">
        <v>29660.0</v>
      </c>
      <c r="D1621" s="11" t="str">
        <f t="shared" si="1"/>
        <v> </v>
      </c>
      <c r="E1621" s="11" t="str">
        <f t="shared" si="2"/>
        <v> </v>
      </c>
    </row>
    <row r="1622" ht="15.75" customHeight="1">
      <c r="A1622" s="11">
        <v>12718.0</v>
      </c>
      <c r="B1622" s="11" t="s">
        <v>1650</v>
      </c>
      <c r="C1622" s="12">
        <v>29742.0</v>
      </c>
      <c r="D1622" s="11" t="str">
        <f t="shared" si="1"/>
        <v> </v>
      </c>
      <c r="E1622" s="11" t="str">
        <f t="shared" si="2"/>
        <v> </v>
      </c>
    </row>
    <row r="1623" ht="15.75" customHeight="1">
      <c r="A1623" s="11">
        <v>12719.0</v>
      </c>
      <c r="B1623" s="11" t="s">
        <v>1651</v>
      </c>
      <c r="C1623" s="12">
        <v>20044.0</v>
      </c>
      <c r="D1623" s="11" t="str">
        <f t="shared" si="1"/>
        <v> </v>
      </c>
      <c r="E1623" s="11" t="str">
        <f t="shared" si="2"/>
        <v> </v>
      </c>
    </row>
    <row r="1624" ht="15.75" customHeight="1">
      <c r="A1624" s="11">
        <v>12720.0</v>
      </c>
      <c r="B1624" s="11" t="s">
        <v>1652</v>
      </c>
      <c r="C1624" s="12">
        <v>15555.0</v>
      </c>
      <c r="D1624" s="11" t="str">
        <f t="shared" si="1"/>
        <v> </v>
      </c>
      <c r="E1624" s="11" t="str">
        <f t="shared" si="2"/>
        <v> </v>
      </c>
    </row>
    <row r="1625" ht="15.75" customHeight="1">
      <c r="A1625" s="11">
        <v>12721.0</v>
      </c>
      <c r="B1625" s="11" t="s">
        <v>1653</v>
      </c>
      <c r="C1625" s="12">
        <v>29014.0</v>
      </c>
      <c r="D1625" s="11" t="str">
        <f t="shared" si="1"/>
        <v> </v>
      </c>
      <c r="E1625" s="11" t="str">
        <f t="shared" si="2"/>
        <v> </v>
      </c>
    </row>
    <row r="1626" ht="15.75" customHeight="1">
      <c r="A1626" s="11">
        <v>12722.0</v>
      </c>
      <c r="B1626" s="11" t="s">
        <v>1654</v>
      </c>
      <c r="C1626" s="12">
        <v>23485.0</v>
      </c>
      <c r="D1626" s="11" t="str">
        <f t="shared" si="1"/>
        <v> </v>
      </c>
      <c r="E1626" s="11" t="str">
        <f t="shared" si="2"/>
        <v> </v>
      </c>
    </row>
    <row r="1627" ht="15.75" customHeight="1">
      <c r="A1627" s="11">
        <v>12723.0</v>
      </c>
      <c r="B1627" s="11" t="s">
        <v>1655</v>
      </c>
      <c r="C1627" s="12">
        <v>19718.0</v>
      </c>
      <c r="D1627" s="11" t="str">
        <f t="shared" si="1"/>
        <v> </v>
      </c>
      <c r="E1627" s="11" t="str">
        <f t="shared" si="2"/>
        <v> </v>
      </c>
    </row>
    <row r="1628" ht="15.75" customHeight="1">
      <c r="A1628" s="11">
        <v>12724.0</v>
      </c>
      <c r="B1628" s="11" t="s">
        <v>1656</v>
      </c>
      <c r="C1628" s="12">
        <v>25314.0</v>
      </c>
      <c r="D1628" s="11" t="str">
        <f t="shared" si="1"/>
        <v> </v>
      </c>
      <c r="E1628" s="11" t="str">
        <f t="shared" si="2"/>
        <v> </v>
      </c>
    </row>
    <row r="1629" ht="15.75" customHeight="1">
      <c r="A1629" s="11">
        <v>12726.0</v>
      </c>
      <c r="B1629" s="11" t="s">
        <v>1657</v>
      </c>
      <c r="C1629" s="12">
        <v>26520.0</v>
      </c>
      <c r="D1629" s="11" t="str">
        <f t="shared" si="1"/>
        <v> </v>
      </c>
      <c r="E1629" s="11" t="str">
        <f t="shared" si="2"/>
        <v> </v>
      </c>
    </row>
    <row r="1630" ht="15.75" customHeight="1">
      <c r="A1630" s="11">
        <v>12729.0</v>
      </c>
      <c r="B1630" s="11" t="s">
        <v>1658</v>
      </c>
      <c r="C1630" s="12">
        <v>18428.0</v>
      </c>
      <c r="D1630" s="11" t="str">
        <f t="shared" si="1"/>
        <v> </v>
      </c>
      <c r="E1630" s="11" t="str">
        <f t="shared" si="2"/>
        <v> </v>
      </c>
    </row>
    <row r="1631" ht="15.75" customHeight="1">
      <c r="A1631" s="11">
        <v>12730.0</v>
      </c>
      <c r="B1631" s="11" t="s">
        <v>1659</v>
      </c>
      <c r="C1631" s="12">
        <v>29782.0</v>
      </c>
      <c r="D1631" s="11" t="str">
        <f t="shared" si="1"/>
        <v> </v>
      </c>
      <c r="E1631" s="11" t="str">
        <f t="shared" si="2"/>
        <v> </v>
      </c>
    </row>
    <row r="1632" ht="15.75" customHeight="1">
      <c r="A1632" s="11">
        <v>12731.0</v>
      </c>
      <c r="B1632" s="11" t="s">
        <v>1660</v>
      </c>
      <c r="C1632" s="12">
        <v>31070.0</v>
      </c>
      <c r="D1632" s="11" t="str">
        <f t="shared" si="1"/>
        <v> </v>
      </c>
      <c r="E1632" s="11" t="str">
        <f t="shared" si="2"/>
        <v> </v>
      </c>
    </row>
    <row r="1633" ht="15.75" customHeight="1">
      <c r="A1633" s="11">
        <v>12732.0</v>
      </c>
      <c r="B1633" s="11" t="s">
        <v>1661</v>
      </c>
      <c r="C1633" s="12">
        <v>20820.0</v>
      </c>
      <c r="D1633" s="11" t="str">
        <f t="shared" si="1"/>
        <v> </v>
      </c>
      <c r="E1633" s="11" t="str">
        <f t="shared" si="2"/>
        <v> </v>
      </c>
    </row>
    <row r="1634" ht="15.75" customHeight="1">
      <c r="A1634" s="11">
        <v>12735.0</v>
      </c>
      <c r="B1634" s="11" t="s">
        <v>1662</v>
      </c>
      <c r="C1634" s="12">
        <v>29854.0</v>
      </c>
      <c r="D1634" s="11" t="str">
        <f t="shared" si="1"/>
        <v> </v>
      </c>
      <c r="E1634" s="11" t="str">
        <f t="shared" si="2"/>
        <v> </v>
      </c>
    </row>
    <row r="1635" ht="15.75" customHeight="1">
      <c r="A1635" s="11">
        <v>12736.0</v>
      </c>
      <c r="B1635" s="11" t="s">
        <v>1663</v>
      </c>
      <c r="C1635" s="12">
        <v>19600.0</v>
      </c>
      <c r="D1635" s="11" t="str">
        <f t="shared" si="1"/>
        <v> </v>
      </c>
      <c r="E1635" s="11" t="str">
        <f t="shared" si="2"/>
        <v> </v>
      </c>
    </row>
    <row r="1636" ht="15.75" customHeight="1">
      <c r="A1636" s="11">
        <v>12738.0</v>
      </c>
      <c r="B1636" s="11" t="s">
        <v>1664</v>
      </c>
      <c r="C1636" s="12">
        <v>16693.0</v>
      </c>
      <c r="D1636" s="11" t="str">
        <f t="shared" si="1"/>
        <v> </v>
      </c>
      <c r="E1636" s="11" t="str">
        <f t="shared" si="2"/>
        <v> </v>
      </c>
    </row>
    <row r="1637" ht="15.75" customHeight="1">
      <c r="A1637" s="11">
        <v>12739.0</v>
      </c>
      <c r="B1637" s="11" t="s">
        <v>1665</v>
      </c>
      <c r="C1637" s="12">
        <v>24224.0</v>
      </c>
      <c r="D1637" s="11" t="str">
        <f t="shared" si="1"/>
        <v> </v>
      </c>
      <c r="E1637" s="11" t="str">
        <f t="shared" si="2"/>
        <v> </v>
      </c>
    </row>
    <row r="1638" ht="15.75" customHeight="1">
      <c r="A1638" s="11">
        <v>12740.0</v>
      </c>
      <c r="B1638" s="11" t="s">
        <v>1666</v>
      </c>
      <c r="C1638" s="12">
        <v>24173.0</v>
      </c>
      <c r="D1638" s="11" t="str">
        <f t="shared" si="1"/>
        <v> </v>
      </c>
      <c r="E1638" s="11" t="str">
        <f t="shared" si="2"/>
        <v> </v>
      </c>
    </row>
    <row r="1639" ht="15.75" customHeight="1">
      <c r="A1639" s="11">
        <v>12741.0</v>
      </c>
      <c r="B1639" s="11" t="s">
        <v>1667</v>
      </c>
      <c r="C1639" s="12">
        <v>25142.0</v>
      </c>
      <c r="D1639" s="11" t="str">
        <f t="shared" si="1"/>
        <v> </v>
      </c>
      <c r="E1639" s="11" t="str">
        <f t="shared" si="2"/>
        <v> </v>
      </c>
    </row>
    <row r="1640" ht="15.75" customHeight="1">
      <c r="A1640" s="11">
        <v>12742.0</v>
      </c>
      <c r="B1640" s="11" t="s">
        <v>1668</v>
      </c>
      <c r="C1640" s="12">
        <v>22886.0</v>
      </c>
      <c r="D1640" s="11" t="str">
        <f t="shared" si="1"/>
        <v> </v>
      </c>
      <c r="E1640" s="11" t="str">
        <f t="shared" si="2"/>
        <v> </v>
      </c>
    </row>
    <row r="1641" ht="15.75" customHeight="1">
      <c r="A1641" s="11">
        <v>12743.0</v>
      </c>
      <c r="B1641" s="11" t="s">
        <v>1669</v>
      </c>
      <c r="C1641" s="12">
        <v>27651.0</v>
      </c>
      <c r="D1641" s="11" t="str">
        <f t="shared" si="1"/>
        <v> </v>
      </c>
      <c r="E1641" s="11" t="str">
        <f t="shared" si="2"/>
        <v> </v>
      </c>
    </row>
    <row r="1642" ht="15.75" customHeight="1">
      <c r="A1642" s="11">
        <v>12744.0</v>
      </c>
      <c r="B1642" s="11" t="s">
        <v>1670</v>
      </c>
      <c r="C1642" s="12">
        <v>22157.0</v>
      </c>
      <c r="D1642" s="11" t="str">
        <f t="shared" si="1"/>
        <v> </v>
      </c>
      <c r="E1642" s="11" t="str">
        <f t="shared" si="2"/>
        <v> </v>
      </c>
    </row>
    <row r="1643" ht="15.75" customHeight="1">
      <c r="A1643" s="11">
        <v>12745.0</v>
      </c>
      <c r="B1643" s="11" t="s">
        <v>1671</v>
      </c>
      <c r="C1643" s="12">
        <v>30953.0</v>
      </c>
      <c r="D1643" s="11" t="str">
        <f t="shared" si="1"/>
        <v> </v>
      </c>
      <c r="E1643" s="11" t="str">
        <f t="shared" si="2"/>
        <v> </v>
      </c>
    </row>
    <row r="1644" ht="15.75" customHeight="1">
      <c r="A1644" s="11">
        <v>12746.0</v>
      </c>
      <c r="B1644" s="11" t="s">
        <v>1672</v>
      </c>
      <c r="C1644" s="12">
        <v>17545.0</v>
      </c>
      <c r="D1644" s="11" t="str">
        <f t="shared" si="1"/>
        <v> </v>
      </c>
      <c r="E1644" s="11" t="str">
        <f t="shared" si="2"/>
        <v> </v>
      </c>
    </row>
    <row r="1645" ht="15.75" customHeight="1">
      <c r="A1645" s="11">
        <v>12747.0</v>
      </c>
      <c r="B1645" s="11" t="s">
        <v>1673</v>
      </c>
      <c r="C1645" s="12">
        <v>19955.0</v>
      </c>
      <c r="D1645" s="11" t="str">
        <f t="shared" si="1"/>
        <v> </v>
      </c>
      <c r="E1645" s="11" t="str">
        <f t="shared" si="2"/>
        <v> </v>
      </c>
    </row>
    <row r="1646" ht="15.75" customHeight="1">
      <c r="A1646" s="11">
        <v>12748.0</v>
      </c>
      <c r="B1646" s="11" t="s">
        <v>1674</v>
      </c>
      <c r="C1646" s="12">
        <v>24967.0</v>
      </c>
      <c r="D1646" s="11" t="str">
        <f t="shared" si="1"/>
        <v> </v>
      </c>
      <c r="E1646" s="11" t="str">
        <f t="shared" si="2"/>
        <v> </v>
      </c>
    </row>
    <row r="1647" ht="15.75" customHeight="1">
      <c r="A1647" s="11">
        <v>12749.0</v>
      </c>
      <c r="B1647" s="11" t="s">
        <v>1675</v>
      </c>
      <c r="C1647" s="12">
        <v>14564.0</v>
      </c>
      <c r="D1647" s="11" t="str">
        <f t="shared" si="1"/>
        <v> </v>
      </c>
      <c r="E1647" s="11" t="str">
        <f t="shared" si="2"/>
        <v> </v>
      </c>
    </row>
    <row r="1648" ht="15.75" customHeight="1">
      <c r="A1648" s="11">
        <v>12750.0</v>
      </c>
      <c r="B1648" s="11" t="s">
        <v>1676</v>
      </c>
      <c r="C1648" s="12">
        <v>13342.0</v>
      </c>
      <c r="D1648" s="11" t="str">
        <f t="shared" si="1"/>
        <v> </v>
      </c>
      <c r="E1648" s="11" t="str">
        <f t="shared" si="2"/>
        <v> </v>
      </c>
    </row>
    <row r="1649" ht="15.75" customHeight="1">
      <c r="A1649" s="11">
        <v>12751.0</v>
      </c>
      <c r="B1649" s="11" t="s">
        <v>1677</v>
      </c>
      <c r="C1649" s="12">
        <v>12528.0</v>
      </c>
      <c r="D1649" s="11" t="str">
        <f t="shared" si="1"/>
        <v> </v>
      </c>
      <c r="E1649" s="11" t="str">
        <f t="shared" si="2"/>
        <v> </v>
      </c>
    </row>
    <row r="1650" ht="15.75" customHeight="1">
      <c r="A1650" s="11">
        <v>12752.0</v>
      </c>
      <c r="B1650" s="11" t="s">
        <v>1678</v>
      </c>
      <c r="C1650" s="12">
        <v>25799.0</v>
      </c>
      <c r="D1650" s="11" t="str">
        <f t="shared" si="1"/>
        <v> </v>
      </c>
      <c r="E1650" s="11" t="str">
        <f t="shared" si="2"/>
        <v> </v>
      </c>
    </row>
    <row r="1651" ht="15.75" customHeight="1">
      <c r="A1651" s="11">
        <v>12753.0</v>
      </c>
      <c r="B1651" s="11" t="s">
        <v>1679</v>
      </c>
      <c r="C1651" s="12">
        <v>19809.0</v>
      </c>
      <c r="D1651" s="11" t="str">
        <f t="shared" si="1"/>
        <v> </v>
      </c>
      <c r="E1651" s="11" t="str">
        <f t="shared" si="2"/>
        <v> </v>
      </c>
    </row>
    <row r="1652" ht="15.75" customHeight="1">
      <c r="A1652" s="11">
        <v>12754.0</v>
      </c>
      <c r="B1652" s="11" t="s">
        <v>1680</v>
      </c>
      <c r="C1652" s="12">
        <v>16940.0</v>
      </c>
      <c r="D1652" s="11" t="str">
        <f t="shared" si="1"/>
        <v>Repeat</v>
      </c>
      <c r="E1652" s="11" t="str">
        <f t="shared" si="2"/>
        <v> </v>
      </c>
    </row>
    <row r="1653" ht="15.75" customHeight="1">
      <c r="A1653" s="11">
        <v>12755.0</v>
      </c>
      <c r="B1653" s="11" t="s">
        <v>1681</v>
      </c>
      <c r="C1653" s="12">
        <v>36003.0</v>
      </c>
      <c r="D1653" s="11" t="str">
        <f t="shared" si="1"/>
        <v> </v>
      </c>
      <c r="E1653" s="11" t="str">
        <f t="shared" si="2"/>
        <v> </v>
      </c>
    </row>
    <row r="1654" ht="15.75" customHeight="1">
      <c r="A1654" s="11">
        <v>12758.0</v>
      </c>
      <c r="B1654" s="11" t="s">
        <v>1682</v>
      </c>
      <c r="C1654" s="12">
        <v>32853.0</v>
      </c>
      <c r="D1654" s="11" t="str">
        <f t="shared" si="1"/>
        <v> </v>
      </c>
      <c r="E1654" s="11" t="str">
        <f t="shared" si="2"/>
        <v> </v>
      </c>
    </row>
    <row r="1655" ht="15.75" customHeight="1">
      <c r="A1655" s="11">
        <v>12760.0</v>
      </c>
      <c r="B1655" s="11" t="s">
        <v>1683</v>
      </c>
      <c r="C1655" s="12">
        <v>28864.0</v>
      </c>
      <c r="D1655" s="11" t="str">
        <f t="shared" si="1"/>
        <v> </v>
      </c>
      <c r="E1655" s="11" t="str">
        <f t="shared" si="2"/>
        <v> </v>
      </c>
    </row>
    <row r="1656" ht="15.75" customHeight="1">
      <c r="A1656" s="11">
        <v>12761.0</v>
      </c>
      <c r="B1656" s="11" t="s">
        <v>1684</v>
      </c>
      <c r="C1656" s="12">
        <v>24196.0</v>
      </c>
      <c r="D1656" s="11" t="str">
        <f t="shared" si="1"/>
        <v> </v>
      </c>
      <c r="E1656" s="11" t="str">
        <f t="shared" si="2"/>
        <v> </v>
      </c>
    </row>
    <row r="1657" ht="15.75" customHeight="1">
      <c r="A1657" s="11">
        <v>12763.0</v>
      </c>
      <c r="B1657" s="11" t="s">
        <v>1685</v>
      </c>
      <c r="C1657" s="12">
        <v>34156.0</v>
      </c>
      <c r="D1657" s="11" t="str">
        <f t="shared" si="1"/>
        <v> </v>
      </c>
      <c r="E1657" s="11" t="str">
        <f t="shared" si="2"/>
        <v> </v>
      </c>
    </row>
    <row r="1658" ht="15.75" customHeight="1">
      <c r="A1658" s="11">
        <v>12764.0</v>
      </c>
      <c r="B1658" s="11" t="s">
        <v>1686</v>
      </c>
      <c r="C1658" s="12">
        <v>29050.0</v>
      </c>
      <c r="D1658" s="11" t="str">
        <f t="shared" si="1"/>
        <v> </v>
      </c>
      <c r="E1658" s="11" t="str">
        <f t="shared" si="2"/>
        <v> </v>
      </c>
    </row>
    <row r="1659" ht="15.75" customHeight="1">
      <c r="A1659" s="11">
        <v>12765.0</v>
      </c>
      <c r="B1659" s="11" t="s">
        <v>1687</v>
      </c>
      <c r="C1659" s="12">
        <v>16864.0</v>
      </c>
      <c r="D1659" s="11" t="str">
        <f t="shared" si="1"/>
        <v> </v>
      </c>
      <c r="E1659" s="11" t="str">
        <f t="shared" si="2"/>
        <v> </v>
      </c>
    </row>
    <row r="1660" ht="15.75" customHeight="1">
      <c r="A1660" s="11">
        <v>12766.0</v>
      </c>
      <c r="B1660" s="11" t="s">
        <v>1688</v>
      </c>
      <c r="C1660" s="12">
        <v>16458.0</v>
      </c>
      <c r="D1660" s="11" t="str">
        <f t="shared" si="1"/>
        <v> </v>
      </c>
      <c r="E1660" s="11" t="str">
        <f t="shared" si="2"/>
        <v> </v>
      </c>
    </row>
    <row r="1661" ht="15.75" customHeight="1">
      <c r="A1661" s="11">
        <v>12767.0</v>
      </c>
      <c r="B1661" s="11" t="s">
        <v>1689</v>
      </c>
      <c r="C1661" s="12">
        <v>29651.0</v>
      </c>
      <c r="D1661" s="11" t="str">
        <f t="shared" si="1"/>
        <v> </v>
      </c>
      <c r="E1661" s="11" t="str">
        <f t="shared" si="2"/>
        <v> </v>
      </c>
    </row>
    <row r="1662" ht="15.75" customHeight="1">
      <c r="A1662" s="11">
        <v>12768.0</v>
      </c>
      <c r="B1662" s="11" t="s">
        <v>1690</v>
      </c>
      <c r="C1662" s="12">
        <v>11514.0</v>
      </c>
      <c r="D1662" s="11" t="str">
        <f t="shared" si="1"/>
        <v> </v>
      </c>
      <c r="E1662" s="11" t="str">
        <f t="shared" si="2"/>
        <v> </v>
      </c>
    </row>
    <row r="1663" ht="15.75" customHeight="1">
      <c r="A1663" s="11">
        <v>12769.0</v>
      </c>
      <c r="B1663" s="11" t="s">
        <v>1691</v>
      </c>
      <c r="C1663" s="12">
        <v>35877.0</v>
      </c>
      <c r="D1663" s="11" t="str">
        <f t="shared" si="1"/>
        <v> </v>
      </c>
      <c r="E1663" s="11" t="str">
        <f t="shared" si="2"/>
        <v> </v>
      </c>
    </row>
    <row r="1664" ht="15.75" customHeight="1">
      <c r="A1664" s="11">
        <v>12770.0</v>
      </c>
      <c r="B1664" s="11" t="s">
        <v>1692</v>
      </c>
      <c r="C1664" s="12">
        <v>21063.0</v>
      </c>
      <c r="D1664" s="11" t="str">
        <f t="shared" si="1"/>
        <v> </v>
      </c>
      <c r="E1664" s="11" t="str">
        <f t="shared" si="2"/>
        <v> </v>
      </c>
    </row>
    <row r="1665" ht="15.75" customHeight="1">
      <c r="A1665" s="11">
        <v>12771.0</v>
      </c>
      <c r="B1665" s="11" t="s">
        <v>1693</v>
      </c>
      <c r="C1665" s="12">
        <v>17757.0</v>
      </c>
      <c r="D1665" s="11" t="str">
        <f t="shared" si="1"/>
        <v> </v>
      </c>
      <c r="E1665" s="11" t="str">
        <f t="shared" si="2"/>
        <v> </v>
      </c>
    </row>
    <row r="1666" ht="15.75" customHeight="1">
      <c r="A1666" s="11">
        <v>12772.0</v>
      </c>
      <c r="B1666" s="11" t="s">
        <v>1694</v>
      </c>
      <c r="C1666" s="12">
        <v>19782.0</v>
      </c>
      <c r="D1666" s="11" t="str">
        <f t="shared" si="1"/>
        <v> </v>
      </c>
      <c r="E1666" s="11" t="str">
        <f t="shared" si="2"/>
        <v> </v>
      </c>
    </row>
    <row r="1667" ht="15.75" customHeight="1">
      <c r="A1667" s="11">
        <v>12773.0</v>
      </c>
      <c r="B1667" s="11" t="s">
        <v>1695</v>
      </c>
      <c r="C1667" s="12">
        <v>16408.0</v>
      </c>
      <c r="D1667" s="11" t="str">
        <f t="shared" si="1"/>
        <v>Repeat</v>
      </c>
      <c r="E1667" s="11" t="str">
        <f t="shared" si="2"/>
        <v> </v>
      </c>
    </row>
    <row r="1668" ht="15.75" customHeight="1">
      <c r="A1668" s="11">
        <v>12775.0</v>
      </c>
      <c r="B1668" s="11" t="s">
        <v>1696</v>
      </c>
      <c r="C1668" s="12">
        <v>21667.0</v>
      </c>
      <c r="D1668" s="11" t="str">
        <f t="shared" si="1"/>
        <v> </v>
      </c>
      <c r="E1668" s="11" t="str">
        <f t="shared" si="2"/>
        <v> </v>
      </c>
    </row>
    <row r="1669" ht="15.75" customHeight="1">
      <c r="A1669" s="11">
        <v>12776.0</v>
      </c>
      <c r="B1669" s="11" t="s">
        <v>1697</v>
      </c>
      <c r="C1669" s="12">
        <v>28373.0</v>
      </c>
      <c r="D1669" s="11" t="str">
        <f t="shared" si="1"/>
        <v> </v>
      </c>
      <c r="E1669" s="11" t="str">
        <f t="shared" si="2"/>
        <v> </v>
      </c>
    </row>
    <row r="1670" ht="15.75" customHeight="1">
      <c r="A1670" s="11">
        <v>12777.0</v>
      </c>
      <c r="B1670" s="11" t="s">
        <v>1698</v>
      </c>
      <c r="C1670" s="12">
        <v>14522.0</v>
      </c>
      <c r="D1670" s="11" t="str">
        <f t="shared" si="1"/>
        <v> </v>
      </c>
      <c r="E1670" s="11" t="str">
        <f t="shared" si="2"/>
        <v> </v>
      </c>
    </row>
    <row r="1671" ht="15.75" customHeight="1">
      <c r="A1671" s="11">
        <v>12778.0</v>
      </c>
      <c r="B1671" s="11" t="s">
        <v>1699</v>
      </c>
      <c r="C1671" s="12">
        <v>24069.0</v>
      </c>
      <c r="D1671" s="11" t="str">
        <f t="shared" si="1"/>
        <v> </v>
      </c>
      <c r="E1671" s="11" t="str">
        <f t="shared" si="2"/>
        <v> </v>
      </c>
    </row>
    <row r="1672" ht="15.75" customHeight="1">
      <c r="A1672" s="11">
        <v>12779.0</v>
      </c>
      <c r="B1672" s="11" t="s">
        <v>1700</v>
      </c>
      <c r="C1672" s="12">
        <v>14487.0</v>
      </c>
      <c r="D1672" s="11" t="str">
        <f t="shared" si="1"/>
        <v> </v>
      </c>
      <c r="E1672" s="11" t="str">
        <f t="shared" si="2"/>
        <v> </v>
      </c>
    </row>
    <row r="1673" ht="15.75" customHeight="1">
      <c r="A1673" s="11">
        <v>12780.0</v>
      </c>
      <c r="B1673" s="11" t="s">
        <v>1701</v>
      </c>
      <c r="C1673" s="12">
        <v>21202.0</v>
      </c>
      <c r="D1673" s="11" t="str">
        <f t="shared" si="1"/>
        <v> </v>
      </c>
      <c r="E1673" s="11" t="str">
        <f t="shared" si="2"/>
        <v> </v>
      </c>
    </row>
    <row r="1674" ht="15.75" customHeight="1">
      <c r="A1674" s="11">
        <v>12781.0</v>
      </c>
      <c r="B1674" s="11" t="s">
        <v>1702</v>
      </c>
      <c r="C1674" s="12">
        <v>19260.0</v>
      </c>
      <c r="D1674" s="11" t="str">
        <f t="shared" si="1"/>
        <v> </v>
      </c>
      <c r="E1674" s="11" t="str">
        <f t="shared" si="2"/>
        <v>Repeat</v>
      </c>
    </row>
    <row r="1675" ht="15.75" customHeight="1">
      <c r="A1675" s="11">
        <v>12782.0</v>
      </c>
      <c r="B1675" s="11" t="s">
        <v>1703</v>
      </c>
      <c r="C1675" s="12">
        <v>14749.0</v>
      </c>
      <c r="D1675" s="11" t="str">
        <f t="shared" si="1"/>
        <v> </v>
      </c>
      <c r="E1675" s="11" t="str">
        <f t="shared" si="2"/>
        <v> </v>
      </c>
    </row>
    <row r="1676" ht="15.75" customHeight="1">
      <c r="A1676" s="11">
        <v>12784.0</v>
      </c>
      <c r="B1676" s="11" t="s">
        <v>1704</v>
      </c>
      <c r="C1676" s="12">
        <v>20054.0</v>
      </c>
      <c r="D1676" s="11" t="str">
        <f t="shared" si="1"/>
        <v> </v>
      </c>
      <c r="E1676" s="11" t="str">
        <f t="shared" si="2"/>
        <v> </v>
      </c>
    </row>
    <row r="1677" ht="15.75" customHeight="1">
      <c r="A1677" s="11">
        <v>12785.0</v>
      </c>
      <c r="B1677" s="11" t="s">
        <v>1705</v>
      </c>
      <c r="C1677" s="12">
        <v>33139.0</v>
      </c>
      <c r="D1677" s="11" t="str">
        <f t="shared" si="1"/>
        <v> </v>
      </c>
      <c r="E1677" s="11" t="str">
        <f t="shared" si="2"/>
        <v> </v>
      </c>
    </row>
    <row r="1678" ht="15.75" customHeight="1">
      <c r="A1678" s="11">
        <v>12786.0</v>
      </c>
      <c r="B1678" s="11" t="s">
        <v>1706</v>
      </c>
      <c r="C1678" s="12">
        <v>33781.0</v>
      </c>
      <c r="D1678" s="11" t="str">
        <f t="shared" si="1"/>
        <v> </v>
      </c>
      <c r="E1678" s="11" t="str">
        <f t="shared" si="2"/>
        <v> </v>
      </c>
    </row>
    <row r="1679" ht="15.75" customHeight="1">
      <c r="A1679" s="11">
        <v>12787.0</v>
      </c>
      <c r="B1679" s="11" t="s">
        <v>1707</v>
      </c>
      <c r="C1679" s="12">
        <v>27859.0</v>
      </c>
      <c r="D1679" s="11" t="str">
        <f t="shared" si="1"/>
        <v> </v>
      </c>
      <c r="E1679" s="11" t="str">
        <f t="shared" si="2"/>
        <v> </v>
      </c>
    </row>
    <row r="1680" ht="15.75" customHeight="1">
      <c r="A1680" s="11">
        <v>12788.0</v>
      </c>
      <c r="B1680" s="11" t="s">
        <v>1708</v>
      </c>
      <c r="C1680" s="12">
        <v>14775.0</v>
      </c>
      <c r="D1680" s="11" t="str">
        <f t="shared" si="1"/>
        <v> </v>
      </c>
      <c r="E1680" s="11" t="str">
        <f t="shared" si="2"/>
        <v> </v>
      </c>
    </row>
    <row r="1681" ht="15.75" customHeight="1">
      <c r="A1681" s="11">
        <v>12789.0</v>
      </c>
      <c r="B1681" s="11" t="s">
        <v>1709</v>
      </c>
      <c r="C1681" s="12">
        <v>21148.0</v>
      </c>
      <c r="D1681" s="11" t="str">
        <f t="shared" si="1"/>
        <v> </v>
      </c>
      <c r="E1681" s="11" t="str">
        <f t="shared" si="2"/>
        <v> </v>
      </c>
    </row>
    <row r="1682" ht="15.75" customHeight="1">
      <c r="A1682" s="11">
        <v>12790.0</v>
      </c>
      <c r="B1682" s="11" t="s">
        <v>1710</v>
      </c>
      <c r="C1682" s="12">
        <v>15751.0</v>
      </c>
      <c r="D1682" s="11" t="str">
        <f t="shared" si="1"/>
        <v> </v>
      </c>
      <c r="E1682" s="11" t="str">
        <f t="shared" si="2"/>
        <v> </v>
      </c>
    </row>
    <row r="1683" ht="15.75" customHeight="1">
      <c r="A1683" s="11">
        <v>12791.0</v>
      </c>
      <c r="B1683" s="11" t="s">
        <v>1711</v>
      </c>
      <c r="C1683" s="12">
        <v>35679.0</v>
      </c>
      <c r="D1683" s="11" t="str">
        <f t="shared" si="1"/>
        <v> </v>
      </c>
      <c r="E1683" s="11" t="str">
        <f t="shared" si="2"/>
        <v> </v>
      </c>
    </row>
    <row r="1684" ht="15.75" customHeight="1">
      <c r="A1684" s="11">
        <v>12792.0</v>
      </c>
      <c r="B1684" s="11" t="s">
        <v>1712</v>
      </c>
      <c r="C1684" s="12">
        <v>25871.0</v>
      </c>
      <c r="D1684" s="11" t="str">
        <f t="shared" si="1"/>
        <v> </v>
      </c>
      <c r="E1684" s="11" t="str">
        <f t="shared" si="2"/>
        <v> </v>
      </c>
    </row>
    <row r="1685" ht="15.75" customHeight="1">
      <c r="A1685" s="11">
        <v>12793.0</v>
      </c>
      <c r="B1685" s="11" t="s">
        <v>1713</v>
      </c>
      <c r="C1685" s="12">
        <v>22653.0</v>
      </c>
      <c r="D1685" s="11" t="str">
        <f t="shared" si="1"/>
        <v> </v>
      </c>
      <c r="E1685" s="11" t="str">
        <f t="shared" si="2"/>
        <v> </v>
      </c>
    </row>
    <row r="1686" ht="15.75" customHeight="1">
      <c r="A1686" s="11">
        <v>12794.0</v>
      </c>
      <c r="B1686" s="11" t="s">
        <v>1714</v>
      </c>
      <c r="C1686" s="12">
        <v>23459.0</v>
      </c>
      <c r="D1686" s="11" t="str">
        <f t="shared" si="1"/>
        <v> </v>
      </c>
      <c r="E1686" s="11" t="str">
        <f t="shared" si="2"/>
        <v> </v>
      </c>
    </row>
    <row r="1687" ht="15.75" customHeight="1">
      <c r="A1687" s="11">
        <v>12795.0</v>
      </c>
      <c r="B1687" s="11" t="s">
        <v>1715</v>
      </c>
      <c r="C1687" s="12">
        <v>25954.0</v>
      </c>
      <c r="D1687" s="11" t="str">
        <f t="shared" si="1"/>
        <v> </v>
      </c>
      <c r="E1687" s="11" t="str">
        <f t="shared" si="2"/>
        <v> </v>
      </c>
    </row>
    <row r="1688" ht="15.75" customHeight="1">
      <c r="A1688" s="11">
        <v>12797.0</v>
      </c>
      <c r="B1688" s="11" t="s">
        <v>1716</v>
      </c>
      <c r="C1688" s="12">
        <v>17166.0</v>
      </c>
      <c r="D1688" s="11" t="str">
        <f t="shared" si="1"/>
        <v> </v>
      </c>
      <c r="E1688" s="11" t="str">
        <f t="shared" si="2"/>
        <v> </v>
      </c>
    </row>
    <row r="1689" ht="15.75" customHeight="1">
      <c r="A1689" s="11">
        <v>12798.0</v>
      </c>
      <c r="B1689" s="11" t="s">
        <v>1717</v>
      </c>
      <c r="C1689" s="12">
        <v>22868.0</v>
      </c>
      <c r="D1689" s="11" t="str">
        <f t="shared" si="1"/>
        <v> </v>
      </c>
      <c r="E1689" s="11" t="str">
        <f t="shared" si="2"/>
        <v> </v>
      </c>
    </row>
    <row r="1690" ht="15.75" customHeight="1">
      <c r="A1690" s="11">
        <v>12799.0</v>
      </c>
      <c r="B1690" s="11" t="s">
        <v>1718</v>
      </c>
      <c r="C1690" s="12">
        <v>24261.0</v>
      </c>
      <c r="D1690" s="11" t="str">
        <f t="shared" si="1"/>
        <v> </v>
      </c>
      <c r="E1690" s="11" t="str">
        <f t="shared" si="2"/>
        <v> </v>
      </c>
    </row>
    <row r="1691" ht="15.75" customHeight="1">
      <c r="A1691" s="11">
        <v>12800.0</v>
      </c>
      <c r="B1691" s="11" t="s">
        <v>1719</v>
      </c>
      <c r="C1691" s="12">
        <v>19150.0</v>
      </c>
      <c r="D1691" s="11" t="str">
        <f t="shared" si="1"/>
        <v> </v>
      </c>
      <c r="E1691" s="11" t="str">
        <f t="shared" si="2"/>
        <v> </v>
      </c>
    </row>
    <row r="1692" ht="15.75" customHeight="1">
      <c r="A1692" s="11">
        <v>12802.0</v>
      </c>
      <c r="B1692" s="11" t="s">
        <v>1720</v>
      </c>
      <c r="C1692" s="12">
        <v>15629.0</v>
      </c>
      <c r="D1692" s="11" t="str">
        <f t="shared" si="1"/>
        <v> </v>
      </c>
      <c r="E1692" s="11" t="str">
        <f t="shared" si="2"/>
        <v> </v>
      </c>
    </row>
    <row r="1693" ht="15.75" customHeight="1">
      <c r="A1693" s="11">
        <v>12804.0</v>
      </c>
      <c r="B1693" s="11" t="s">
        <v>1721</v>
      </c>
      <c r="C1693" s="12">
        <v>20763.0</v>
      </c>
      <c r="D1693" s="11" t="str">
        <f t="shared" si="1"/>
        <v> </v>
      </c>
      <c r="E1693" s="11" t="str">
        <f t="shared" si="2"/>
        <v> </v>
      </c>
    </row>
    <row r="1694" ht="15.75" customHeight="1">
      <c r="A1694" s="11">
        <v>12805.0</v>
      </c>
      <c r="B1694" s="11" t="s">
        <v>1722</v>
      </c>
      <c r="C1694" s="12">
        <v>19369.0</v>
      </c>
      <c r="D1694" s="11" t="str">
        <f t="shared" si="1"/>
        <v> </v>
      </c>
      <c r="E1694" s="11" t="str">
        <f t="shared" si="2"/>
        <v> </v>
      </c>
    </row>
    <row r="1695" ht="15.75" customHeight="1">
      <c r="A1695" s="11">
        <v>12806.0</v>
      </c>
      <c r="B1695" s="11" t="s">
        <v>1723</v>
      </c>
      <c r="C1695" s="12">
        <v>19106.0</v>
      </c>
      <c r="D1695" s="11" t="str">
        <f t="shared" si="1"/>
        <v> </v>
      </c>
      <c r="E1695" s="11" t="str">
        <f t="shared" si="2"/>
        <v> </v>
      </c>
    </row>
    <row r="1696" ht="15.75" customHeight="1">
      <c r="A1696" s="11">
        <v>12808.0</v>
      </c>
      <c r="B1696" s="11" t="s">
        <v>1724</v>
      </c>
      <c r="C1696" s="12">
        <v>15744.0</v>
      </c>
      <c r="D1696" s="11" t="str">
        <f t="shared" si="1"/>
        <v> </v>
      </c>
      <c r="E1696" s="11" t="str">
        <f t="shared" si="2"/>
        <v> </v>
      </c>
    </row>
    <row r="1697" ht="15.75" customHeight="1">
      <c r="A1697" s="11">
        <v>12810.0</v>
      </c>
      <c r="B1697" s="11" t="s">
        <v>1725</v>
      </c>
      <c r="C1697" s="12">
        <v>26323.0</v>
      </c>
      <c r="D1697" s="11" t="str">
        <f t="shared" si="1"/>
        <v> </v>
      </c>
      <c r="E1697" s="11" t="str">
        <f t="shared" si="2"/>
        <v> </v>
      </c>
    </row>
    <row r="1698" ht="15.75" customHeight="1">
      <c r="A1698" s="11">
        <v>12811.0</v>
      </c>
      <c r="B1698" s="11" t="s">
        <v>1726</v>
      </c>
      <c r="C1698" s="12">
        <v>14050.0</v>
      </c>
      <c r="D1698" s="11" t="str">
        <f t="shared" si="1"/>
        <v> </v>
      </c>
      <c r="E1698" s="11" t="str">
        <f t="shared" si="2"/>
        <v> </v>
      </c>
    </row>
    <row r="1699" ht="15.75" customHeight="1">
      <c r="A1699" s="11">
        <v>12812.0</v>
      </c>
      <c r="B1699" s="11" t="s">
        <v>1727</v>
      </c>
      <c r="C1699" s="12">
        <v>19231.0</v>
      </c>
      <c r="D1699" s="11" t="str">
        <f t="shared" si="1"/>
        <v> </v>
      </c>
      <c r="E1699" s="11" t="str">
        <f t="shared" si="2"/>
        <v> </v>
      </c>
    </row>
    <row r="1700" ht="15.75" customHeight="1">
      <c r="A1700" s="11">
        <v>12813.0</v>
      </c>
      <c r="B1700" s="11" t="s">
        <v>1728</v>
      </c>
      <c r="C1700" s="12">
        <v>22285.0</v>
      </c>
      <c r="D1700" s="11" t="str">
        <f t="shared" si="1"/>
        <v> </v>
      </c>
      <c r="E1700" s="11" t="str">
        <f t="shared" si="2"/>
        <v> </v>
      </c>
    </row>
    <row r="1701" ht="15.75" customHeight="1">
      <c r="A1701" s="11">
        <v>12814.0</v>
      </c>
      <c r="B1701" s="11" t="s">
        <v>1729</v>
      </c>
      <c r="C1701" s="12">
        <v>24553.0</v>
      </c>
      <c r="D1701" s="11" t="str">
        <f t="shared" si="1"/>
        <v> </v>
      </c>
      <c r="E1701" s="11" t="str">
        <f t="shared" si="2"/>
        <v> </v>
      </c>
    </row>
    <row r="1702" ht="15.75" customHeight="1">
      <c r="A1702" s="11">
        <v>12815.0</v>
      </c>
      <c r="B1702" s="11" t="s">
        <v>1730</v>
      </c>
      <c r="C1702" s="12">
        <v>21126.0</v>
      </c>
      <c r="D1702" s="11" t="str">
        <f t="shared" si="1"/>
        <v> </v>
      </c>
      <c r="E1702" s="11" t="str">
        <f t="shared" si="2"/>
        <v> </v>
      </c>
    </row>
    <row r="1703" ht="15.75" customHeight="1">
      <c r="A1703" s="11">
        <v>12817.0</v>
      </c>
      <c r="B1703" s="11" t="s">
        <v>1731</v>
      </c>
      <c r="C1703" s="12">
        <v>19688.0</v>
      </c>
      <c r="D1703" s="11" t="str">
        <f t="shared" si="1"/>
        <v> </v>
      </c>
      <c r="E1703" s="11" t="str">
        <f t="shared" si="2"/>
        <v> </v>
      </c>
    </row>
    <row r="1704" ht="15.75" customHeight="1">
      <c r="A1704" s="11">
        <v>12818.0</v>
      </c>
      <c r="B1704" s="11" t="s">
        <v>1732</v>
      </c>
      <c r="C1704" s="12">
        <v>23360.0</v>
      </c>
      <c r="D1704" s="11" t="str">
        <f t="shared" si="1"/>
        <v> </v>
      </c>
      <c r="E1704" s="11" t="str">
        <f t="shared" si="2"/>
        <v> </v>
      </c>
    </row>
    <row r="1705" ht="15.75" customHeight="1">
      <c r="A1705" s="11">
        <v>12819.0</v>
      </c>
      <c r="B1705" s="11" t="s">
        <v>1733</v>
      </c>
      <c r="C1705" s="12">
        <v>33528.0</v>
      </c>
      <c r="D1705" s="11" t="str">
        <f t="shared" si="1"/>
        <v> </v>
      </c>
      <c r="E1705" s="11" t="str">
        <f t="shared" si="2"/>
        <v> </v>
      </c>
    </row>
    <row r="1706" ht="15.75" customHeight="1">
      <c r="A1706" s="11">
        <v>12820.0</v>
      </c>
      <c r="B1706" s="11" t="s">
        <v>1734</v>
      </c>
      <c r="C1706" s="12">
        <v>25807.0</v>
      </c>
      <c r="D1706" s="11" t="str">
        <f t="shared" si="1"/>
        <v> </v>
      </c>
      <c r="E1706" s="11" t="str">
        <f t="shared" si="2"/>
        <v> </v>
      </c>
    </row>
    <row r="1707" ht="15.75" customHeight="1">
      <c r="A1707" s="11">
        <v>12821.0</v>
      </c>
      <c r="B1707" s="11" t="s">
        <v>1735</v>
      </c>
      <c r="C1707" s="12">
        <v>19984.0</v>
      </c>
      <c r="D1707" s="11" t="str">
        <f t="shared" si="1"/>
        <v> </v>
      </c>
      <c r="E1707" s="11" t="str">
        <f t="shared" si="2"/>
        <v> </v>
      </c>
    </row>
    <row r="1708" ht="15.75" customHeight="1">
      <c r="A1708" s="11">
        <v>12822.0</v>
      </c>
      <c r="B1708" s="11" t="s">
        <v>1736</v>
      </c>
      <c r="C1708" s="12">
        <v>31772.0</v>
      </c>
      <c r="D1708" s="11" t="str">
        <f t="shared" si="1"/>
        <v> </v>
      </c>
      <c r="E1708" s="11" t="str">
        <f t="shared" si="2"/>
        <v> </v>
      </c>
    </row>
    <row r="1709" ht="15.75" customHeight="1">
      <c r="A1709" s="11">
        <v>12823.0</v>
      </c>
      <c r="B1709" s="11" t="s">
        <v>1737</v>
      </c>
      <c r="C1709" s="12">
        <v>29530.0</v>
      </c>
      <c r="D1709" s="11" t="str">
        <f t="shared" si="1"/>
        <v> </v>
      </c>
      <c r="E1709" s="11" t="str">
        <f t="shared" si="2"/>
        <v> </v>
      </c>
    </row>
    <row r="1710" ht="15.75" customHeight="1">
      <c r="A1710" s="11">
        <v>12824.0</v>
      </c>
      <c r="B1710" s="11" t="s">
        <v>1738</v>
      </c>
      <c r="C1710" s="12">
        <v>18617.0</v>
      </c>
      <c r="D1710" s="11" t="str">
        <f t="shared" si="1"/>
        <v> </v>
      </c>
      <c r="E1710" s="11" t="str">
        <f t="shared" si="2"/>
        <v> </v>
      </c>
    </row>
    <row r="1711" ht="15.75" customHeight="1">
      <c r="A1711" s="11">
        <v>12825.0</v>
      </c>
      <c r="B1711" s="11" t="s">
        <v>1739</v>
      </c>
      <c r="C1711" s="12">
        <v>17481.0</v>
      </c>
      <c r="D1711" s="11" t="str">
        <f t="shared" si="1"/>
        <v> </v>
      </c>
      <c r="E1711" s="11" t="str">
        <f t="shared" si="2"/>
        <v> </v>
      </c>
    </row>
    <row r="1712" ht="15.75" customHeight="1">
      <c r="A1712" s="11">
        <v>12827.0</v>
      </c>
      <c r="B1712" s="11" t="s">
        <v>1740</v>
      </c>
      <c r="C1712" s="12">
        <v>18635.0</v>
      </c>
      <c r="D1712" s="11" t="str">
        <f t="shared" si="1"/>
        <v>Repeat</v>
      </c>
      <c r="E1712" s="11" t="str">
        <f t="shared" si="2"/>
        <v> </v>
      </c>
    </row>
    <row r="1713" ht="15.75" customHeight="1">
      <c r="A1713" s="11">
        <v>12829.0</v>
      </c>
      <c r="B1713" s="11" t="s">
        <v>1741</v>
      </c>
      <c r="C1713" s="12">
        <v>20775.0</v>
      </c>
      <c r="D1713" s="11" t="str">
        <f t="shared" si="1"/>
        <v> </v>
      </c>
      <c r="E1713" s="11" t="str">
        <f t="shared" si="2"/>
        <v> </v>
      </c>
    </row>
    <row r="1714" ht="15.75" customHeight="1">
      <c r="A1714" s="11">
        <v>12830.0</v>
      </c>
      <c r="B1714" s="11" t="s">
        <v>1742</v>
      </c>
      <c r="C1714" s="12">
        <v>18352.0</v>
      </c>
      <c r="D1714" s="11" t="str">
        <f t="shared" si="1"/>
        <v> </v>
      </c>
      <c r="E1714" s="11" t="str">
        <f t="shared" si="2"/>
        <v> </v>
      </c>
    </row>
    <row r="1715" ht="15.75" customHeight="1">
      <c r="A1715" s="11">
        <v>12831.0</v>
      </c>
      <c r="B1715" s="11" t="s">
        <v>1743</v>
      </c>
      <c r="C1715" s="12">
        <v>12054.0</v>
      </c>
      <c r="D1715" s="11" t="str">
        <f t="shared" si="1"/>
        <v> </v>
      </c>
      <c r="E1715" s="11" t="str">
        <f t="shared" si="2"/>
        <v> </v>
      </c>
    </row>
    <row r="1716" ht="15.75" customHeight="1">
      <c r="A1716" s="11">
        <v>12832.0</v>
      </c>
      <c r="B1716" s="11" t="s">
        <v>1744</v>
      </c>
      <c r="C1716" s="12">
        <v>21750.0</v>
      </c>
      <c r="D1716" s="11" t="str">
        <f t="shared" si="1"/>
        <v> </v>
      </c>
      <c r="E1716" s="11" t="str">
        <f t="shared" si="2"/>
        <v> </v>
      </c>
    </row>
    <row r="1717" ht="15.75" customHeight="1">
      <c r="A1717" s="11">
        <v>12833.0</v>
      </c>
      <c r="B1717" s="11" t="s">
        <v>1745</v>
      </c>
      <c r="C1717" s="12">
        <v>21890.0</v>
      </c>
      <c r="D1717" s="11" t="str">
        <f t="shared" si="1"/>
        <v> </v>
      </c>
      <c r="E1717" s="11" t="str">
        <f t="shared" si="2"/>
        <v> </v>
      </c>
    </row>
    <row r="1718" ht="15.75" customHeight="1">
      <c r="A1718" s="11">
        <v>12835.0</v>
      </c>
      <c r="B1718" s="11" t="s">
        <v>1746</v>
      </c>
      <c r="C1718" s="12">
        <v>16939.0</v>
      </c>
      <c r="D1718" s="11" t="str">
        <f t="shared" si="1"/>
        <v> </v>
      </c>
      <c r="E1718" s="11" t="str">
        <f t="shared" si="2"/>
        <v> </v>
      </c>
    </row>
    <row r="1719" ht="15.75" customHeight="1">
      <c r="A1719" s="11">
        <v>12836.0</v>
      </c>
      <c r="B1719" s="11" t="s">
        <v>1747</v>
      </c>
      <c r="C1719" s="12">
        <v>23437.0</v>
      </c>
      <c r="D1719" s="11" t="str">
        <f t="shared" si="1"/>
        <v> </v>
      </c>
      <c r="E1719" s="11" t="str">
        <f t="shared" si="2"/>
        <v> </v>
      </c>
    </row>
    <row r="1720" ht="15.75" customHeight="1">
      <c r="A1720" s="11">
        <v>12837.0</v>
      </c>
      <c r="B1720" s="11" t="s">
        <v>1748</v>
      </c>
      <c r="C1720" s="12">
        <v>17971.0</v>
      </c>
      <c r="D1720" s="11" t="str">
        <f t="shared" si="1"/>
        <v> </v>
      </c>
      <c r="E1720" s="11" t="str">
        <f t="shared" si="2"/>
        <v> </v>
      </c>
    </row>
    <row r="1721" ht="15.75" customHeight="1">
      <c r="A1721" s="11">
        <v>12838.0</v>
      </c>
      <c r="B1721" s="11" t="s">
        <v>1749</v>
      </c>
      <c r="C1721" s="12">
        <v>21836.0</v>
      </c>
      <c r="D1721" s="11" t="str">
        <f t="shared" si="1"/>
        <v> </v>
      </c>
      <c r="E1721" s="11" t="str">
        <f t="shared" si="2"/>
        <v> </v>
      </c>
    </row>
    <row r="1722" ht="15.75" customHeight="1">
      <c r="A1722" s="11">
        <v>12839.0</v>
      </c>
      <c r="B1722" s="11" t="s">
        <v>1750</v>
      </c>
      <c r="C1722" s="12">
        <v>24664.0</v>
      </c>
      <c r="D1722" s="11" t="str">
        <f t="shared" si="1"/>
        <v> </v>
      </c>
      <c r="E1722" s="11" t="str">
        <f t="shared" si="2"/>
        <v> </v>
      </c>
    </row>
    <row r="1723" ht="15.75" customHeight="1">
      <c r="A1723" s="11">
        <v>12840.0</v>
      </c>
      <c r="B1723" s="11" t="s">
        <v>1751</v>
      </c>
      <c r="C1723" s="12">
        <v>20002.0</v>
      </c>
      <c r="D1723" s="11" t="str">
        <f t="shared" si="1"/>
        <v> </v>
      </c>
      <c r="E1723" s="11" t="str">
        <f t="shared" si="2"/>
        <v> </v>
      </c>
    </row>
    <row r="1724" ht="15.75" customHeight="1">
      <c r="A1724" s="11">
        <v>12841.0</v>
      </c>
      <c r="B1724" s="11" t="s">
        <v>1752</v>
      </c>
      <c r="C1724" s="12">
        <v>22903.0</v>
      </c>
      <c r="D1724" s="11" t="str">
        <f t="shared" si="1"/>
        <v> </v>
      </c>
      <c r="E1724" s="11" t="str">
        <f t="shared" si="2"/>
        <v> </v>
      </c>
    </row>
    <row r="1725" ht="15.75" customHeight="1">
      <c r="A1725" s="11">
        <v>12842.0</v>
      </c>
      <c r="B1725" s="11" t="s">
        <v>1753</v>
      </c>
      <c r="C1725" s="12">
        <v>14481.0</v>
      </c>
      <c r="D1725" s="11" t="str">
        <f t="shared" si="1"/>
        <v> </v>
      </c>
      <c r="E1725" s="11" t="str">
        <f t="shared" si="2"/>
        <v> </v>
      </c>
    </row>
    <row r="1726" ht="15.75" customHeight="1">
      <c r="A1726" s="11">
        <v>12843.0</v>
      </c>
      <c r="B1726" s="11" t="s">
        <v>1754</v>
      </c>
      <c r="C1726" s="12">
        <v>34460.0</v>
      </c>
      <c r="D1726" s="11" t="str">
        <f t="shared" si="1"/>
        <v> </v>
      </c>
      <c r="E1726" s="11" t="str">
        <f t="shared" si="2"/>
        <v> </v>
      </c>
    </row>
    <row r="1727" ht="15.75" customHeight="1">
      <c r="A1727" s="11">
        <v>12844.0</v>
      </c>
      <c r="B1727" s="11" t="s">
        <v>1755</v>
      </c>
      <c r="C1727" s="12">
        <v>20024.0</v>
      </c>
      <c r="D1727" s="11" t="str">
        <f t="shared" si="1"/>
        <v> </v>
      </c>
      <c r="E1727" s="11" t="str">
        <f t="shared" si="2"/>
        <v> </v>
      </c>
    </row>
    <row r="1728" ht="15.75" customHeight="1">
      <c r="A1728" s="11">
        <v>12845.0</v>
      </c>
      <c r="B1728" s="11" t="s">
        <v>1756</v>
      </c>
      <c r="C1728" s="12">
        <v>21441.0</v>
      </c>
      <c r="D1728" s="11" t="str">
        <f t="shared" si="1"/>
        <v> </v>
      </c>
      <c r="E1728" s="11" t="str">
        <f t="shared" si="2"/>
        <v> </v>
      </c>
    </row>
    <row r="1729" ht="15.75" customHeight="1">
      <c r="A1729" s="11">
        <v>12846.0</v>
      </c>
      <c r="B1729" s="11" t="s">
        <v>1757</v>
      </c>
      <c r="C1729" s="12">
        <v>35503.0</v>
      </c>
      <c r="D1729" s="11" t="str">
        <f t="shared" si="1"/>
        <v> </v>
      </c>
      <c r="E1729" s="11" t="str">
        <f t="shared" si="2"/>
        <v> </v>
      </c>
    </row>
    <row r="1730" ht="15.75" customHeight="1">
      <c r="A1730" s="11">
        <v>12847.0</v>
      </c>
      <c r="B1730" s="11" t="s">
        <v>1758</v>
      </c>
      <c r="C1730" s="12">
        <v>33693.0</v>
      </c>
      <c r="D1730" s="11" t="str">
        <f t="shared" si="1"/>
        <v> </v>
      </c>
      <c r="E1730" s="11" t="str">
        <f t="shared" si="2"/>
        <v> </v>
      </c>
    </row>
    <row r="1731" ht="15.75" customHeight="1">
      <c r="A1731" s="11">
        <v>12848.0</v>
      </c>
      <c r="B1731" s="11" t="s">
        <v>1759</v>
      </c>
      <c r="C1731" s="12">
        <v>25989.0</v>
      </c>
      <c r="D1731" s="11" t="str">
        <f t="shared" si="1"/>
        <v> </v>
      </c>
      <c r="E1731" s="11" t="str">
        <f t="shared" si="2"/>
        <v> </v>
      </c>
    </row>
    <row r="1732" ht="15.75" customHeight="1">
      <c r="A1732" s="11">
        <v>12849.0</v>
      </c>
      <c r="B1732" s="11" t="s">
        <v>1760</v>
      </c>
      <c r="C1732" s="12">
        <v>19291.0</v>
      </c>
      <c r="D1732" s="11" t="str">
        <f t="shared" si="1"/>
        <v> </v>
      </c>
      <c r="E1732" s="11" t="str">
        <f t="shared" si="2"/>
        <v> </v>
      </c>
    </row>
    <row r="1733" ht="15.75" customHeight="1">
      <c r="A1733" s="11">
        <v>12850.0</v>
      </c>
      <c r="B1733" s="11" t="s">
        <v>1761</v>
      </c>
      <c r="C1733" s="12">
        <v>22730.0</v>
      </c>
      <c r="D1733" s="11" t="str">
        <f t="shared" si="1"/>
        <v> </v>
      </c>
      <c r="E1733" s="11" t="str">
        <f t="shared" si="2"/>
        <v> </v>
      </c>
    </row>
    <row r="1734" ht="15.75" customHeight="1">
      <c r="A1734" s="11">
        <v>12854.0</v>
      </c>
      <c r="B1734" s="11" t="s">
        <v>1762</v>
      </c>
      <c r="C1734" s="12">
        <v>15390.0</v>
      </c>
      <c r="D1734" s="11" t="str">
        <f t="shared" si="1"/>
        <v> </v>
      </c>
      <c r="E1734" s="11" t="str">
        <f t="shared" si="2"/>
        <v> </v>
      </c>
    </row>
    <row r="1735" ht="15.75" customHeight="1">
      <c r="A1735" s="11">
        <v>12855.0</v>
      </c>
      <c r="B1735" s="11" t="s">
        <v>1763</v>
      </c>
      <c r="C1735" s="12">
        <v>20868.0</v>
      </c>
      <c r="D1735" s="11" t="str">
        <f t="shared" si="1"/>
        <v> </v>
      </c>
      <c r="E1735" s="11" t="str">
        <f t="shared" si="2"/>
        <v> </v>
      </c>
    </row>
    <row r="1736" ht="15.75" customHeight="1">
      <c r="A1736" s="11">
        <v>12856.0</v>
      </c>
      <c r="B1736" s="11" t="s">
        <v>1764</v>
      </c>
      <c r="C1736" s="12">
        <v>17946.0</v>
      </c>
      <c r="D1736" s="11" t="str">
        <f t="shared" si="1"/>
        <v> </v>
      </c>
      <c r="E1736" s="11" t="str">
        <f t="shared" si="2"/>
        <v> </v>
      </c>
    </row>
    <row r="1737" ht="15.75" customHeight="1">
      <c r="A1737" s="11">
        <v>12857.0</v>
      </c>
      <c r="B1737" s="11" t="s">
        <v>1765</v>
      </c>
      <c r="C1737" s="12">
        <v>16042.0</v>
      </c>
      <c r="D1737" s="11" t="str">
        <f t="shared" si="1"/>
        <v> </v>
      </c>
      <c r="E1737" s="11" t="str">
        <f t="shared" si="2"/>
        <v> </v>
      </c>
    </row>
    <row r="1738" ht="15.75" customHeight="1">
      <c r="A1738" s="11">
        <v>12858.0</v>
      </c>
      <c r="B1738" s="11" t="s">
        <v>1766</v>
      </c>
      <c r="C1738" s="12">
        <v>20887.0</v>
      </c>
      <c r="D1738" s="11" t="str">
        <f t="shared" si="1"/>
        <v> </v>
      </c>
      <c r="E1738" s="11" t="str">
        <f t="shared" si="2"/>
        <v> </v>
      </c>
    </row>
    <row r="1739" ht="15.75" customHeight="1">
      <c r="A1739" s="11">
        <v>12859.0</v>
      </c>
      <c r="B1739" s="11" t="s">
        <v>1767</v>
      </c>
      <c r="C1739" s="12">
        <v>20430.0</v>
      </c>
      <c r="D1739" s="11" t="str">
        <f t="shared" si="1"/>
        <v> </v>
      </c>
      <c r="E1739" s="11" t="str">
        <f t="shared" si="2"/>
        <v> </v>
      </c>
    </row>
    <row r="1740" ht="15.75" customHeight="1">
      <c r="A1740" s="11">
        <v>12860.0</v>
      </c>
      <c r="B1740" s="11" t="s">
        <v>1768</v>
      </c>
      <c r="C1740" s="12">
        <v>21832.0</v>
      </c>
      <c r="D1740" s="11" t="str">
        <f t="shared" si="1"/>
        <v> </v>
      </c>
      <c r="E1740" s="11" t="str">
        <f t="shared" si="2"/>
        <v> </v>
      </c>
    </row>
    <row r="1741" ht="15.75" customHeight="1">
      <c r="A1741" s="11">
        <v>12861.0</v>
      </c>
      <c r="B1741" s="11" t="s">
        <v>1769</v>
      </c>
      <c r="C1741" s="12">
        <v>18132.0</v>
      </c>
      <c r="D1741" s="11" t="str">
        <f t="shared" si="1"/>
        <v> </v>
      </c>
      <c r="E1741" s="11" t="str">
        <f t="shared" si="2"/>
        <v> </v>
      </c>
    </row>
    <row r="1742" ht="15.75" customHeight="1">
      <c r="A1742" s="11">
        <v>12862.0</v>
      </c>
      <c r="B1742" s="11" t="s">
        <v>1770</v>
      </c>
      <c r="C1742" s="12">
        <v>23750.0</v>
      </c>
      <c r="D1742" s="11" t="str">
        <f t="shared" si="1"/>
        <v> </v>
      </c>
      <c r="E1742" s="11" t="str">
        <f t="shared" si="2"/>
        <v> </v>
      </c>
    </row>
    <row r="1743" ht="15.75" customHeight="1">
      <c r="A1743" s="11">
        <v>12863.0</v>
      </c>
      <c r="B1743" s="11" t="s">
        <v>1771</v>
      </c>
      <c r="C1743" s="12">
        <v>33503.0</v>
      </c>
      <c r="D1743" s="11" t="str">
        <f t="shared" si="1"/>
        <v> </v>
      </c>
      <c r="E1743" s="11" t="str">
        <f t="shared" si="2"/>
        <v> </v>
      </c>
    </row>
    <row r="1744" ht="15.75" customHeight="1">
      <c r="A1744" s="11">
        <v>12864.0</v>
      </c>
      <c r="B1744" s="11" t="s">
        <v>1772</v>
      </c>
      <c r="C1744" s="12">
        <v>34564.0</v>
      </c>
      <c r="D1744" s="11" t="str">
        <f t="shared" si="1"/>
        <v> </v>
      </c>
      <c r="E1744" s="11" t="str">
        <f t="shared" si="2"/>
        <v> </v>
      </c>
    </row>
    <row r="1745" ht="15.75" customHeight="1">
      <c r="A1745" s="11">
        <v>12865.0</v>
      </c>
      <c r="B1745" s="11" t="s">
        <v>1773</v>
      </c>
      <c r="C1745" s="12">
        <v>17942.0</v>
      </c>
      <c r="D1745" s="11" t="str">
        <f t="shared" si="1"/>
        <v> </v>
      </c>
      <c r="E1745" s="11" t="str">
        <f t="shared" si="2"/>
        <v> </v>
      </c>
    </row>
    <row r="1746" ht="15.75" customHeight="1">
      <c r="A1746" s="11">
        <v>12866.0</v>
      </c>
      <c r="B1746" s="11" t="s">
        <v>1774</v>
      </c>
      <c r="C1746" s="12">
        <v>29894.0</v>
      </c>
      <c r="D1746" s="11" t="str">
        <f t="shared" si="1"/>
        <v> </v>
      </c>
      <c r="E1746" s="11" t="str">
        <f t="shared" si="2"/>
        <v> </v>
      </c>
    </row>
    <row r="1747" ht="15.75" customHeight="1">
      <c r="A1747" s="11">
        <v>12867.0</v>
      </c>
      <c r="B1747" s="11" t="s">
        <v>1775</v>
      </c>
      <c r="C1747" s="12">
        <v>28716.0</v>
      </c>
      <c r="D1747" s="11" t="str">
        <f t="shared" si="1"/>
        <v> </v>
      </c>
      <c r="E1747" s="11" t="str">
        <f t="shared" si="2"/>
        <v> </v>
      </c>
    </row>
    <row r="1748" ht="15.75" customHeight="1">
      <c r="A1748" s="11">
        <v>12868.0</v>
      </c>
      <c r="B1748" s="11" t="s">
        <v>1776</v>
      </c>
      <c r="C1748" s="12">
        <v>32455.0</v>
      </c>
      <c r="D1748" s="11" t="str">
        <f t="shared" si="1"/>
        <v> </v>
      </c>
      <c r="E1748" s="11" t="str">
        <f t="shared" si="2"/>
        <v> </v>
      </c>
    </row>
    <row r="1749" ht="15.75" customHeight="1">
      <c r="A1749" s="11">
        <v>12869.0</v>
      </c>
      <c r="B1749" s="11" t="s">
        <v>1777</v>
      </c>
      <c r="C1749" s="12">
        <v>25511.0</v>
      </c>
      <c r="D1749" s="11" t="str">
        <f t="shared" si="1"/>
        <v> </v>
      </c>
      <c r="E1749" s="11" t="str">
        <f t="shared" si="2"/>
        <v> </v>
      </c>
    </row>
    <row r="1750" ht="15.75" customHeight="1">
      <c r="A1750" s="11">
        <v>12871.0</v>
      </c>
      <c r="B1750" s="11" t="s">
        <v>1778</v>
      </c>
      <c r="C1750" s="12">
        <v>32304.0</v>
      </c>
      <c r="D1750" s="11" t="str">
        <f t="shared" si="1"/>
        <v> </v>
      </c>
      <c r="E1750" s="11" t="str">
        <f t="shared" si="2"/>
        <v> </v>
      </c>
    </row>
    <row r="1751" ht="15.75" customHeight="1">
      <c r="A1751" s="11">
        <v>12872.0</v>
      </c>
      <c r="B1751" s="11" t="s">
        <v>1779</v>
      </c>
      <c r="C1751" s="12">
        <v>33003.0</v>
      </c>
      <c r="D1751" s="11" t="str">
        <f t="shared" si="1"/>
        <v> </v>
      </c>
      <c r="E1751" s="11" t="str">
        <f t="shared" si="2"/>
        <v> </v>
      </c>
    </row>
    <row r="1752" ht="15.75" customHeight="1">
      <c r="A1752" s="11">
        <v>12873.0</v>
      </c>
      <c r="B1752" s="11" t="s">
        <v>1780</v>
      </c>
      <c r="C1752" s="12">
        <v>25745.0</v>
      </c>
      <c r="D1752" s="11" t="str">
        <f t="shared" si="1"/>
        <v> </v>
      </c>
      <c r="E1752" s="11" t="str">
        <f t="shared" si="2"/>
        <v> </v>
      </c>
    </row>
    <row r="1753" ht="15.75" customHeight="1">
      <c r="A1753" s="11">
        <v>12875.0</v>
      </c>
      <c r="B1753" s="11" t="s">
        <v>1781</v>
      </c>
      <c r="C1753" s="12">
        <v>21789.0</v>
      </c>
      <c r="D1753" s="11" t="str">
        <f t="shared" si="1"/>
        <v> </v>
      </c>
      <c r="E1753" s="11" t="str">
        <f t="shared" si="2"/>
        <v> </v>
      </c>
    </row>
    <row r="1754" ht="15.75" customHeight="1">
      <c r="A1754" s="11">
        <v>12876.0</v>
      </c>
      <c r="B1754" s="11" t="s">
        <v>1782</v>
      </c>
      <c r="C1754" s="12">
        <v>18051.0</v>
      </c>
      <c r="D1754" s="11" t="str">
        <f t="shared" si="1"/>
        <v> </v>
      </c>
      <c r="E1754" s="11" t="str">
        <f t="shared" si="2"/>
        <v> </v>
      </c>
    </row>
    <row r="1755" ht="15.75" customHeight="1">
      <c r="A1755" s="11">
        <v>12877.0</v>
      </c>
      <c r="B1755" s="11" t="s">
        <v>1783</v>
      </c>
      <c r="C1755" s="12">
        <v>26230.0</v>
      </c>
      <c r="D1755" s="11" t="str">
        <f t="shared" si="1"/>
        <v> </v>
      </c>
      <c r="E1755" s="11" t="str">
        <f t="shared" si="2"/>
        <v> </v>
      </c>
    </row>
    <row r="1756" ht="15.75" customHeight="1">
      <c r="A1756" s="11">
        <v>12878.0</v>
      </c>
      <c r="B1756" s="11" t="s">
        <v>1784</v>
      </c>
      <c r="C1756" s="12">
        <v>28115.0</v>
      </c>
      <c r="D1756" s="11" t="str">
        <f t="shared" si="1"/>
        <v> </v>
      </c>
      <c r="E1756" s="11" t="str">
        <f t="shared" si="2"/>
        <v> </v>
      </c>
    </row>
    <row r="1757" ht="15.75" customHeight="1">
      <c r="A1757" s="11">
        <v>12879.0</v>
      </c>
      <c r="B1757" s="11" t="s">
        <v>1785</v>
      </c>
      <c r="C1757" s="12">
        <v>20311.0</v>
      </c>
      <c r="D1757" s="11" t="str">
        <f t="shared" si="1"/>
        <v> </v>
      </c>
      <c r="E1757" s="11" t="str">
        <f t="shared" si="2"/>
        <v> </v>
      </c>
    </row>
    <row r="1758" ht="15.75" customHeight="1">
      <c r="A1758" s="11">
        <v>12883.0</v>
      </c>
      <c r="B1758" s="11" t="s">
        <v>1786</v>
      </c>
      <c r="C1758" s="12">
        <v>14499.0</v>
      </c>
      <c r="D1758" s="11" t="str">
        <f t="shared" si="1"/>
        <v> </v>
      </c>
      <c r="E1758" s="11" t="str">
        <f t="shared" si="2"/>
        <v> </v>
      </c>
    </row>
    <row r="1759" ht="15.75" customHeight="1">
      <c r="A1759" s="11">
        <v>12884.0</v>
      </c>
      <c r="B1759" s="11" t="s">
        <v>1787</v>
      </c>
      <c r="C1759" s="12">
        <v>25501.0</v>
      </c>
      <c r="D1759" s="11" t="str">
        <f t="shared" si="1"/>
        <v> </v>
      </c>
      <c r="E1759" s="11" t="str">
        <f t="shared" si="2"/>
        <v> </v>
      </c>
    </row>
    <row r="1760" ht="15.75" customHeight="1">
      <c r="A1760" s="11">
        <v>12885.0</v>
      </c>
      <c r="B1760" s="11" t="s">
        <v>1788</v>
      </c>
      <c r="C1760" s="12">
        <v>29615.0</v>
      </c>
      <c r="D1760" s="11" t="str">
        <f t="shared" si="1"/>
        <v> </v>
      </c>
      <c r="E1760" s="11" t="str">
        <f t="shared" si="2"/>
        <v> </v>
      </c>
    </row>
    <row r="1761" ht="15.75" customHeight="1">
      <c r="A1761" s="11">
        <v>12886.0</v>
      </c>
      <c r="B1761" s="11" t="s">
        <v>1789</v>
      </c>
      <c r="C1761" s="12">
        <v>29913.0</v>
      </c>
      <c r="D1761" s="11" t="str">
        <f t="shared" si="1"/>
        <v> </v>
      </c>
      <c r="E1761" s="11" t="str">
        <f t="shared" si="2"/>
        <v> </v>
      </c>
    </row>
    <row r="1762" ht="15.75" customHeight="1">
      <c r="A1762" s="11">
        <v>12887.0</v>
      </c>
      <c r="B1762" s="11" t="s">
        <v>1790</v>
      </c>
      <c r="C1762" s="12">
        <v>25098.0</v>
      </c>
      <c r="D1762" s="11" t="str">
        <f t="shared" si="1"/>
        <v> </v>
      </c>
      <c r="E1762" s="11" t="str">
        <f t="shared" si="2"/>
        <v> </v>
      </c>
    </row>
    <row r="1763" ht="15.75" customHeight="1">
      <c r="A1763" s="11">
        <v>12888.0</v>
      </c>
      <c r="B1763" s="11" t="s">
        <v>1791</v>
      </c>
      <c r="C1763" s="12">
        <v>32685.0</v>
      </c>
      <c r="D1763" s="11" t="str">
        <f t="shared" si="1"/>
        <v> </v>
      </c>
      <c r="E1763" s="11" t="str">
        <f t="shared" si="2"/>
        <v> </v>
      </c>
    </row>
    <row r="1764" ht="15.75" customHeight="1">
      <c r="A1764" s="11">
        <v>12889.0</v>
      </c>
      <c r="B1764" s="11" t="s">
        <v>1792</v>
      </c>
      <c r="C1764" s="12">
        <v>22761.0</v>
      </c>
      <c r="D1764" s="11" t="str">
        <f t="shared" si="1"/>
        <v> </v>
      </c>
      <c r="E1764" s="11" t="str">
        <f t="shared" si="2"/>
        <v> </v>
      </c>
    </row>
    <row r="1765" ht="15.75" customHeight="1">
      <c r="A1765" s="11">
        <v>12890.0</v>
      </c>
      <c r="B1765" s="11" t="s">
        <v>1793</v>
      </c>
      <c r="C1765" s="12">
        <v>32444.0</v>
      </c>
      <c r="D1765" s="11" t="str">
        <f t="shared" si="1"/>
        <v> </v>
      </c>
      <c r="E1765" s="11" t="str">
        <f t="shared" si="2"/>
        <v> </v>
      </c>
    </row>
    <row r="1766" ht="15.75" customHeight="1">
      <c r="A1766" s="11">
        <v>12891.0</v>
      </c>
      <c r="B1766" s="11" t="s">
        <v>1794</v>
      </c>
      <c r="C1766" s="12">
        <v>11364.0</v>
      </c>
      <c r="D1766" s="11" t="str">
        <f t="shared" si="1"/>
        <v> </v>
      </c>
      <c r="E1766" s="11" t="str">
        <f t="shared" si="2"/>
        <v> </v>
      </c>
    </row>
    <row r="1767" ht="15.75" customHeight="1">
      <c r="A1767" s="11">
        <v>12892.0</v>
      </c>
      <c r="B1767" s="11" t="s">
        <v>1795</v>
      </c>
      <c r="C1767" s="12">
        <v>28750.0</v>
      </c>
      <c r="D1767" s="11" t="str">
        <f t="shared" si="1"/>
        <v> </v>
      </c>
      <c r="E1767" s="11" t="str">
        <f t="shared" si="2"/>
        <v> </v>
      </c>
    </row>
    <row r="1768" ht="15.75" customHeight="1">
      <c r="A1768" s="11">
        <v>12893.0</v>
      </c>
      <c r="B1768" s="11" t="s">
        <v>1796</v>
      </c>
      <c r="C1768" s="12">
        <v>23113.0</v>
      </c>
      <c r="D1768" s="11" t="str">
        <f t="shared" si="1"/>
        <v> </v>
      </c>
      <c r="E1768" s="11" t="str">
        <f t="shared" si="2"/>
        <v> </v>
      </c>
    </row>
    <row r="1769" ht="15.75" customHeight="1">
      <c r="A1769" s="11">
        <v>12894.0</v>
      </c>
      <c r="B1769" s="11" t="s">
        <v>1797</v>
      </c>
      <c r="C1769" s="12">
        <v>19075.0</v>
      </c>
      <c r="D1769" s="11" t="str">
        <f t="shared" si="1"/>
        <v> </v>
      </c>
      <c r="E1769" s="11" t="str">
        <f t="shared" si="2"/>
        <v> </v>
      </c>
    </row>
    <row r="1770" ht="15.75" customHeight="1">
      <c r="A1770" s="11">
        <v>12895.0</v>
      </c>
      <c r="B1770" s="11" t="s">
        <v>1798</v>
      </c>
      <c r="C1770" s="12">
        <v>19699.0</v>
      </c>
      <c r="D1770" s="11" t="str">
        <f t="shared" si="1"/>
        <v>Repeat</v>
      </c>
      <c r="E1770" s="11" t="str">
        <f t="shared" si="2"/>
        <v> </v>
      </c>
    </row>
    <row r="1771" ht="15.75" customHeight="1">
      <c r="A1771" s="11">
        <v>12896.0</v>
      </c>
      <c r="B1771" s="11" t="s">
        <v>1799</v>
      </c>
      <c r="C1771" s="12">
        <v>22192.0</v>
      </c>
      <c r="D1771" s="11" t="str">
        <f t="shared" si="1"/>
        <v> </v>
      </c>
      <c r="E1771" s="11" t="str">
        <f t="shared" si="2"/>
        <v> </v>
      </c>
    </row>
    <row r="1772" ht="15.75" customHeight="1">
      <c r="A1772" s="11">
        <v>12897.0</v>
      </c>
      <c r="B1772" s="11" t="s">
        <v>1800</v>
      </c>
      <c r="C1772" s="12">
        <v>28512.0</v>
      </c>
      <c r="D1772" s="11" t="str">
        <f t="shared" si="1"/>
        <v> </v>
      </c>
      <c r="E1772" s="11" t="str">
        <f t="shared" si="2"/>
        <v> </v>
      </c>
    </row>
    <row r="1773" ht="15.75" customHeight="1">
      <c r="A1773" s="11">
        <v>12898.0</v>
      </c>
      <c r="B1773" s="11" t="s">
        <v>1801</v>
      </c>
      <c r="C1773" s="12">
        <v>20428.0</v>
      </c>
      <c r="D1773" s="11" t="str">
        <f t="shared" si="1"/>
        <v> </v>
      </c>
      <c r="E1773" s="11" t="str">
        <f t="shared" si="2"/>
        <v> </v>
      </c>
    </row>
    <row r="1774" ht="15.75" customHeight="1">
      <c r="A1774" s="11">
        <v>12899.0</v>
      </c>
      <c r="B1774" s="11" t="s">
        <v>1802</v>
      </c>
      <c r="C1774" s="12">
        <v>17234.0</v>
      </c>
      <c r="D1774" s="11" t="str">
        <f t="shared" si="1"/>
        <v> </v>
      </c>
      <c r="E1774" s="11" t="str">
        <f t="shared" si="2"/>
        <v> </v>
      </c>
    </row>
    <row r="1775" ht="15.75" customHeight="1">
      <c r="A1775" s="11">
        <v>12900.0</v>
      </c>
      <c r="B1775" s="11" t="s">
        <v>1803</v>
      </c>
      <c r="C1775" s="12">
        <v>19049.0</v>
      </c>
      <c r="D1775" s="11" t="str">
        <f t="shared" si="1"/>
        <v> </v>
      </c>
      <c r="E1775" s="11" t="str">
        <f t="shared" si="2"/>
        <v> </v>
      </c>
    </row>
    <row r="1776" ht="15.75" customHeight="1">
      <c r="A1776" s="11">
        <v>12901.0</v>
      </c>
      <c r="B1776" s="11" t="s">
        <v>1804</v>
      </c>
      <c r="C1776" s="12">
        <v>19638.0</v>
      </c>
      <c r="D1776" s="11" t="str">
        <f t="shared" si="1"/>
        <v> </v>
      </c>
      <c r="E1776" s="11" t="str">
        <f t="shared" si="2"/>
        <v> </v>
      </c>
    </row>
    <row r="1777" ht="15.75" customHeight="1">
      <c r="A1777" s="11">
        <v>12902.0</v>
      </c>
      <c r="B1777" s="11" t="s">
        <v>1805</v>
      </c>
      <c r="C1777" s="12">
        <v>22034.0</v>
      </c>
      <c r="D1777" s="11" t="str">
        <f t="shared" si="1"/>
        <v> </v>
      </c>
      <c r="E1777" s="11" t="str">
        <f t="shared" si="2"/>
        <v> </v>
      </c>
    </row>
    <row r="1778" ht="15.75" customHeight="1">
      <c r="A1778" s="11">
        <v>12903.0</v>
      </c>
      <c r="B1778" s="11" t="s">
        <v>1806</v>
      </c>
      <c r="C1778" s="12">
        <v>19125.0</v>
      </c>
      <c r="D1778" s="11" t="str">
        <f t="shared" si="1"/>
        <v> </v>
      </c>
      <c r="E1778" s="11" t="str">
        <f t="shared" si="2"/>
        <v> </v>
      </c>
    </row>
    <row r="1779" ht="15.75" customHeight="1">
      <c r="A1779" s="11">
        <v>12904.0</v>
      </c>
      <c r="B1779" s="11" t="s">
        <v>1807</v>
      </c>
      <c r="C1779" s="12">
        <v>15004.0</v>
      </c>
      <c r="D1779" s="11" t="str">
        <f t="shared" si="1"/>
        <v> </v>
      </c>
      <c r="E1779" s="11" t="str">
        <f t="shared" si="2"/>
        <v> </v>
      </c>
    </row>
    <row r="1780" ht="15.75" customHeight="1">
      <c r="A1780" s="11">
        <v>12905.0</v>
      </c>
      <c r="B1780" s="11" t="s">
        <v>1808</v>
      </c>
      <c r="C1780" s="12">
        <v>27753.0</v>
      </c>
      <c r="D1780" s="11" t="str">
        <f t="shared" si="1"/>
        <v> </v>
      </c>
      <c r="E1780" s="11" t="str">
        <f t="shared" si="2"/>
        <v> </v>
      </c>
    </row>
    <row r="1781" ht="15.75" customHeight="1">
      <c r="A1781" s="11">
        <v>12907.0</v>
      </c>
      <c r="B1781" s="11" t="s">
        <v>1809</v>
      </c>
      <c r="C1781" s="12">
        <v>26943.0</v>
      </c>
      <c r="D1781" s="11" t="str">
        <f t="shared" si="1"/>
        <v> </v>
      </c>
      <c r="E1781" s="11" t="str">
        <f t="shared" si="2"/>
        <v> </v>
      </c>
    </row>
    <row r="1782" ht="15.75" customHeight="1">
      <c r="A1782" s="11">
        <v>12908.0</v>
      </c>
      <c r="B1782" s="11" t="s">
        <v>1810</v>
      </c>
      <c r="C1782" s="12">
        <v>20751.0</v>
      </c>
      <c r="D1782" s="11" t="str">
        <f t="shared" si="1"/>
        <v>Repeat</v>
      </c>
      <c r="E1782" s="11" t="str">
        <f t="shared" si="2"/>
        <v> </v>
      </c>
    </row>
    <row r="1783" ht="15.75" customHeight="1">
      <c r="A1783" s="11">
        <v>12909.0</v>
      </c>
      <c r="B1783" s="11" t="s">
        <v>1811</v>
      </c>
      <c r="C1783" s="12">
        <v>20679.0</v>
      </c>
      <c r="D1783" s="11" t="str">
        <f t="shared" si="1"/>
        <v> </v>
      </c>
      <c r="E1783" s="11" t="str">
        <f t="shared" si="2"/>
        <v>Repeat</v>
      </c>
    </row>
    <row r="1784" ht="15.75" customHeight="1">
      <c r="A1784" s="11">
        <v>12910.0</v>
      </c>
      <c r="B1784" s="11" t="s">
        <v>1812</v>
      </c>
      <c r="C1784" s="12">
        <v>18084.0</v>
      </c>
      <c r="D1784" s="11" t="str">
        <f t="shared" si="1"/>
        <v> </v>
      </c>
      <c r="E1784" s="11" t="str">
        <f t="shared" si="2"/>
        <v> </v>
      </c>
    </row>
    <row r="1785" ht="15.75" customHeight="1">
      <c r="A1785" s="11">
        <v>12911.0</v>
      </c>
      <c r="B1785" s="11" t="s">
        <v>1813</v>
      </c>
      <c r="C1785" s="12">
        <v>25384.0</v>
      </c>
      <c r="D1785" s="11" t="str">
        <f t="shared" si="1"/>
        <v> </v>
      </c>
      <c r="E1785" s="11" t="str">
        <f t="shared" si="2"/>
        <v> </v>
      </c>
    </row>
    <row r="1786" ht="15.75" customHeight="1">
      <c r="A1786" s="11">
        <v>12913.0</v>
      </c>
      <c r="B1786" s="11" t="s">
        <v>1814</v>
      </c>
      <c r="C1786" s="12">
        <v>12378.0</v>
      </c>
      <c r="D1786" s="11" t="str">
        <f t="shared" si="1"/>
        <v> </v>
      </c>
      <c r="E1786" s="11" t="str">
        <f t="shared" si="2"/>
        <v> </v>
      </c>
    </row>
    <row r="1787" ht="15.75" customHeight="1">
      <c r="A1787" s="11">
        <v>12914.0</v>
      </c>
      <c r="B1787" s="11" t="s">
        <v>1815</v>
      </c>
      <c r="C1787" s="12">
        <v>34387.0</v>
      </c>
      <c r="D1787" s="11" t="str">
        <f t="shared" si="1"/>
        <v> </v>
      </c>
      <c r="E1787" s="11" t="str">
        <f t="shared" si="2"/>
        <v> </v>
      </c>
    </row>
    <row r="1788" ht="15.75" customHeight="1">
      <c r="A1788" s="11">
        <v>12916.0</v>
      </c>
      <c r="B1788" s="11" t="s">
        <v>1816</v>
      </c>
      <c r="C1788" s="12">
        <v>16841.0</v>
      </c>
      <c r="D1788" s="11" t="str">
        <f t="shared" si="1"/>
        <v> </v>
      </c>
      <c r="E1788" s="11" t="str">
        <f t="shared" si="2"/>
        <v> </v>
      </c>
    </row>
    <row r="1789" ht="15.75" customHeight="1">
      <c r="A1789" s="11">
        <v>12917.0</v>
      </c>
      <c r="B1789" s="11" t="s">
        <v>1817</v>
      </c>
      <c r="C1789" s="12">
        <v>17423.0</v>
      </c>
      <c r="D1789" s="11" t="str">
        <f t="shared" si="1"/>
        <v> </v>
      </c>
      <c r="E1789" s="11" t="str">
        <f t="shared" si="2"/>
        <v> </v>
      </c>
    </row>
    <row r="1790" ht="15.75" customHeight="1">
      <c r="A1790" s="11">
        <v>12918.0</v>
      </c>
      <c r="B1790" s="11" t="s">
        <v>1818</v>
      </c>
      <c r="C1790" s="12">
        <v>15507.0</v>
      </c>
      <c r="D1790" s="11" t="str">
        <f t="shared" si="1"/>
        <v> </v>
      </c>
      <c r="E1790" s="11" t="str">
        <f t="shared" si="2"/>
        <v> </v>
      </c>
    </row>
    <row r="1791" ht="15.75" customHeight="1">
      <c r="A1791" s="11">
        <v>12919.0</v>
      </c>
      <c r="B1791" s="11" t="s">
        <v>1819</v>
      </c>
      <c r="C1791" s="12">
        <v>14381.0</v>
      </c>
      <c r="D1791" s="11" t="str">
        <f t="shared" si="1"/>
        <v> </v>
      </c>
      <c r="E1791" s="11" t="str">
        <f t="shared" si="2"/>
        <v> </v>
      </c>
    </row>
    <row r="1792" ht="15.75" customHeight="1">
      <c r="A1792" s="11">
        <v>12920.0</v>
      </c>
      <c r="B1792" s="11" t="s">
        <v>1820</v>
      </c>
      <c r="C1792" s="12">
        <v>23124.0</v>
      </c>
      <c r="D1792" s="11" t="str">
        <f t="shared" si="1"/>
        <v> </v>
      </c>
      <c r="E1792" s="11" t="str">
        <f t="shared" si="2"/>
        <v> </v>
      </c>
    </row>
    <row r="1793" ht="15.75" customHeight="1">
      <c r="A1793" s="11">
        <v>12922.0</v>
      </c>
      <c r="B1793" s="11" t="s">
        <v>1821</v>
      </c>
      <c r="C1793" s="12">
        <v>19323.0</v>
      </c>
      <c r="D1793" s="11" t="str">
        <f t="shared" si="1"/>
        <v> </v>
      </c>
      <c r="E1793" s="11" t="str">
        <f t="shared" si="2"/>
        <v> </v>
      </c>
    </row>
    <row r="1794" ht="15.75" customHeight="1">
      <c r="A1794" s="11">
        <v>12923.0</v>
      </c>
      <c r="B1794" s="11" t="s">
        <v>1822</v>
      </c>
      <c r="C1794" s="12">
        <v>22210.0</v>
      </c>
      <c r="D1794" s="11" t="str">
        <f t="shared" si="1"/>
        <v> </v>
      </c>
      <c r="E1794" s="11" t="str">
        <f t="shared" si="2"/>
        <v> </v>
      </c>
    </row>
    <row r="1795" ht="15.75" customHeight="1">
      <c r="A1795" s="11">
        <v>12926.0</v>
      </c>
      <c r="B1795" s="11" t="s">
        <v>1823</v>
      </c>
      <c r="C1795" s="12">
        <v>29444.0</v>
      </c>
      <c r="D1795" s="11" t="str">
        <f t="shared" si="1"/>
        <v> </v>
      </c>
      <c r="E1795" s="11" t="str">
        <f t="shared" si="2"/>
        <v> </v>
      </c>
    </row>
    <row r="1796" ht="15.75" customHeight="1">
      <c r="A1796" s="11">
        <v>12927.0</v>
      </c>
      <c r="B1796" s="11" t="s">
        <v>1824</v>
      </c>
      <c r="C1796" s="12">
        <v>17990.0</v>
      </c>
      <c r="D1796" s="11" t="str">
        <f t="shared" si="1"/>
        <v> </v>
      </c>
      <c r="E1796" s="11" t="str">
        <f t="shared" si="2"/>
        <v> </v>
      </c>
    </row>
    <row r="1797" ht="15.75" customHeight="1">
      <c r="A1797" s="11">
        <v>12929.0</v>
      </c>
      <c r="B1797" s="11" t="s">
        <v>1825</v>
      </c>
      <c r="C1797" s="12">
        <v>22210.0</v>
      </c>
      <c r="D1797" s="11" t="str">
        <f t="shared" si="1"/>
        <v> </v>
      </c>
      <c r="E1797" s="11" t="str">
        <f t="shared" si="2"/>
        <v> </v>
      </c>
    </row>
    <row r="1798" ht="15.75" customHeight="1">
      <c r="A1798" s="11">
        <v>12930.0</v>
      </c>
      <c r="B1798" s="11" t="s">
        <v>1826</v>
      </c>
      <c r="C1798" s="12">
        <v>21097.0</v>
      </c>
      <c r="D1798" s="11" t="str">
        <f t="shared" si="1"/>
        <v> </v>
      </c>
      <c r="E1798" s="11" t="str">
        <f t="shared" si="2"/>
        <v> </v>
      </c>
    </row>
    <row r="1799" ht="15.75" customHeight="1">
      <c r="A1799" s="11">
        <v>12931.0</v>
      </c>
      <c r="B1799" s="11" t="s">
        <v>1827</v>
      </c>
      <c r="C1799" s="12">
        <v>22212.0</v>
      </c>
      <c r="D1799" s="11" t="str">
        <f t="shared" si="1"/>
        <v> </v>
      </c>
      <c r="E1799" s="11" t="str">
        <f t="shared" si="2"/>
        <v> </v>
      </c>
    </row>
    <row r="1800" ht="15.75" customHeight="1">
      <c r="A1800" s="11">
        <v>12932.0</v>
      </c>
      <c r="B1800" s="11" t="s">
        <v>1828</v>
      </c>
      <c r="C1800" s="12">
        <v>10968.0</v>
      </c>
      <c r="D1800" s="11" t="str">
        <f t="shared" si="1"/>
        <v> </v>
      </c>
      <c r="E1800" s="11" t="str">
        <f t="shared" si="2"/>
        <v> </v>
      </c>
    </row>
    <row r="1801" ht="15.75" customHeight="1">
      <c r="A1801" s="11">
        <v>12933.0</v>
      </c>
      <c r="B1801" s="11" t="s">
        <v>1829</v>
      </c>
      <c r="C1801" s="12">
        <v>22390.0</v>
      </c>
      <c r="D1801" s="11" t="str">
        <f t="shared" si="1"/>
        <v> </v>
      </c>
      <c r="E1801" s="11" t="str">
        <f t="shared" si="2"/>
        <v> </v>
      </c>
    </row>
    <row r="1802" ht="15.75" customHeight="1">
      <c r="A1802" s="11">
        <v>12934.0</v>
      </c>
      <c r="B1802" s="11" t="s">
        <v>1830</v>
      </c>
      <c r="C1802" s="12">
        <v>22003.0</v>
      </c>
      <c r="D1802" s="11" t="str">
        <f t="shared" si="1"/>
        <v> </v>
      </c>
      <c r="E1802" s="11" t="str">
        <f t="shared" si="2"/>
        <v> </v>
      </c>
    </row>
    <row r="1803" ht="15.75" customHeight="1">
      <c r="A1803" s="11">
        <v>12935.0</v>
      </c>
      <c r="B1803" s="11" t="s">
        <v>1831</v>
      </c>
      <c r="C1803" s="12">
        <v>22154.0</v>
      </c>
      <c r="D1803" s="11" t="str">
        <f t="shared" si="1"/>
        <v> </v>
      </c>
      <c r="E1803" s="11" t="str">
        <f t="shared" si="2"/>
        <v> </v>
      </c>
    </row>
    <row r="1804" ht="15.75" customHeight="1">
      <c r="A1804" s="11">
        <v>12936.0</v>
      </c>
      <c r="B1804" s="11" t="s">
        <v>1832</v>
      </c>
      <c r="C1804" s="12">
        <v>17173.0</v>
      </c>
      <c r="D1804" s="11" t="str">
        <f t="shared" si="1"/>
        <v> </v>
      </c>
      <c r="E1804" s="11" t="str">
        <f t="shared" si="2"/>
        <v> </v>
      </c>
    </row>
    <row r="1805" ht="15.75" customHeight="1">
      <c r="A1805" s="11">
        <v>12938.0</v>
      </c>
      <c r="B1805" s="11" t="s">
        <v>1833</v>
      </c>
      <c r="C1805" s="12">
        <v>18084.0</v>
      </c>
      <c r="D1805" s="11" t="str">
        <f t="shared" si="1"/>
        <v> </v>
      </c>
      <c r="E1805" s="11" t="str">
        <f t="shared" si="2"/>
        <v> </v>
      </c>
    </row>
    <row r="1806" ht="15.75" customHeight="1">
      <c r="A1806" s="11">
        <v>12941.0</v>
      </c>
      <c r="B1806" s="11" t="s">
        <v>1834</v>
      </c>
      <c r="C1806" s="12">
        <v>23753.0</v>
      </c>
      <c r="D1806" s="11" t="str">
        <f t="shared" si="1"/>
        <v> </v>
      </c>
      <c r="E1806" s="11" t="str">
        <f t="shared" si="2"/>
        <v> </v>
      </c>
    </row>
    <row r="1807" ht="15.75" customHeight="1">
      <c r="A1807" s="11">
        <v>12942.0</v>
      </c>
      <c r="B1807" s="11" t="s">
        <v>1835</v>
      </c>
      <c r="C1807" s="12">
        <v>30738.0</v>
      </c>
      <c r="D1807" s="11" t="str">
        <f t="shared" si="1"/>
        <v> </v>
      </c>
      <c r="E1807" s="11" t="str">
        <f t="shared" si="2"/>
        <v> </v>
      </c>
    </row>
    <row r="1808" ht="15.75" customHeight="1">
      <c r="A1808" s="11">
        <v>12943.0</v>
      </c>
      <c r="B1808" s="11" t="s">
        <v>1836</v>
      </c>
      <c r="C1808" s="12">
        <v>21979.0</v>
      </c>
      <c r="D1808" s="11" t="str">
        <f t="shared" si="1"/>
        <v> </v>
      </c>
      <c r="E1808" s="11" t="str">
        <f t="shared" si="2"/>
        <v> </v>
      </c>
    </row>
    <row r="1809" ht="15.75" customHeight="1">
      <c r="A1809" s="11">
        <v>12945.0</v>
      </c>
      <c r="B1809" s="11" t="s">
        <v>1837</v>
      </c>
      <c r="C1809" s="12">
        <v>24228.0</v>
      </c>
      <c r="D1809" s="11" t="str">
        <f t="shared" si="1"/>
        <v> </v>
      </c>
      <c r="E1809" s="11" t="str">
        <f t="shared" si="2"/>
        <v> </v>
      </c>
    </row>
    <row r="1810" ht="15.75" customHeight="1">
      <c r="A1810" s="11">
        <v>12946.0</v>
      </c>
      <c r="B1810" s="11" t="s">
        <v>1838</v>
      </c>
      <c r="C1810" s="12">
        <v>22894.0</v>
      </c>
      <c r="D1810" s="11" t="str">
        <f t="shared" si="1"/>
        <v> </v>
      </c>
      <c r="E1810" s="11" t="str">
        <f t="shared" si="2"/>
        <v> </v>
      </c>
    </row>
    <row r="1811" ht="15.75" customHeight="1">
      <c r="A1811" s="11">
        <v>12947.0</v>
      </c>
      <c r="B1811" s="11" t="s">
        <v>1839</v>
      </c>
      <c r="C1811" s="12">
        <v>23766.0</v>
      </c>
      <c r="D1811" s="11" t="str">
        <f t="shared" si="1"/>
        <v> </v>
      </c>
      <c r="E1811" s="11" t="str">
        <f t="shared" si="2"/>
        <v> </v>
      </c>
    </row>
    <row r="1812" ht="15.75" customHeight="1">
      <c r="A1812" s="11">
        <v>12948.0</v>
      </c>
      <c r="B1812" s="11" t="s">
        <v>1840</v>
      </c>
      <c r="C1812" s="12">
        <v>23190.0</v>
      </c>
      <c r="D1812" s="11" t="str">
        <f t="shared" si="1"/>
        <v> </v>
      </c>
      <c r="E1812" s="11" t="str">
        <f t="shared" si="2"/>
        <v> </v>
      </c>
    </row>
    <row r="1813" ht="15.75" customHeight="1">
      <c r="A1813" s="11">
        <v>12949.0</v>
      </c>
      <c r="B1813" s="11" t="s">
        <v>1841</v>
      </c>
      <c r="C1813" s="12">
        <v>27670.0</v>
      </c>
      <c r="D1813" s="11" t="str">
        <f t="shared" si="1"/>
        <v> </v>
      </c>
      <c r="E1813" s="11" t="str">
        <f t="shared" si="2"/>
        <v> </v>
      </c>
    </row>
    <row r="1814" ht="15.75" customHeight="1">
      <c r="A1814" s="11">
        <v>12950.0</v>
      </c>
      <c r="B1814" s="11" t="s">
        <v>1842</v>
      </c>
      <c r="C1814" s="12">
        <v>18718.0</v>
      </c>
      <c r="D1814" s="11" t="str">
        <f t="shared" si="1"/>
        <v> </v>
      </c>
      <c r="E1814" s="11" t="str">
        <f t="shared" si="2"/>
        <v> </v>
      </c>
    </row>
    <row r="1815" ht="15.75" customHeight="1">
      <c r="A1815" s="11">
        <v>12951.0</v>
      </c>
      <c r="B1815" s="11" t="s">
        <v>1843</v>
      </c>
      <c r="C1815" s="12">
        <v>26036.0</v>
      </c>
      <c r="D1815" s="11" t="str">
        <f t="shared" si="1"/>
        <v> </v>
      </c>
      <c r="E1815" s="11" t="str">
        <f t="shared" si="2"/>
        <v> </v>
      </c>
    </row>
    <row r="1816" ht="15.75" customHeight="1">
      <c r="A1816" s="11">
        <v>12952.0</v>
      </c>
      <c r="B1816" s="11" t="s">
        <v>1844</v>
      </c>
      <c r="C1816" s="12">
        <v>23794.0</v>
      </c>
      <c r="D1816" s="11" t="str">
        <f t="shared" si="1"/>
        <v> </v>
      </c>
      <c r="E1816" s="11" t="str">
        <f t="shared" si="2"/>
        <v> </v>
      </c>
    </row>
    <row r="1817" ht="15.75" customHeight="1">
      <c r="A1817" s="11">
        <v>12953.0</v>
      </c>
      <c r="B1817" s="11" t="s">
        <v>1845</v>
      </c>
      <c r="C1817" s="12">
        <v>22522.0</v>
      </c>
      <c r="D1817" s="11" t="str">
        <f t="shared" si="1"/>
        <v> </v>
      </c>
      <c r="E1817" s="11" t="str">
        <f t="shared" si="2"/>
        <v> </v>
      </c>
    </row>
    <row r="1818" ht="15.75" customHeight="1">
      <c r="A1818" s="11">
        <v>12954.0</v>
      </c>
      <c r="B1818" s="11" t="s">
        <v>1846</v>
      </c>
      <c r="C1818" s="12">
        <v>30182.0</v>
      </c>
      <c r="D1818" s="11" t="str">
        <f t="shared" si="1"/>
        <v> </v>
      </c>
      <c r="E1818" s="11" t="str">
        <f t="shared" si="2"/>
        <v> </v>
      </c>
    </row>
    <row r="1819" ht="15.75" customHeight="1">
      <c r="A1819" s="11">
        <v>12956.0</v>
      </c>
      <c r="B1819" s="11" t="s">
        <v>1847</v>
      </c>
      <c r="C1819" s="12">
        <v>18176.0</v>
      </c>
      <c r="D1819" s="11" t="str">
        <f t="shared" si="1"/>
        <v> </v>
      </c>
      <c r="E1819" s="11" t="str">
        <f t="shared" si="2"/>
        <v> </v>
      </c>
    </row>
    <row r="1820" ht="15.75" customHeight="1">
      <c r="A1820" s="11">
        <v>12957.0</v>
      </c>
      <c r="B1820" s="11" t="s">
        <v>1848</v>
      </c>
      <c r="C1820" s="12">
        <v>26295.0</v>
      </c>
      <c r="D1820" s="11" t="str">
        <f t="shared" si="1"/>
        <v> </v>
      </c>
      <c r="E1820" s="11" t="str">
        <f t="shared" si="2"/>
        <v> </v>
      </c>
    </row>
    <row r="1821" ht="15.75" customHeight="1">
      <c r="A1821" s="11">
        <v>12958.0</v>
      </c>
      <c r="B1821" s="11" t="s">
        <v>1849</v>
      </c>
      <c r="C1821" s="12">
        <v>17635.0</v>
      </c>
      <c r="D1821" s="11" t="str">
        <f t="shared" si="1"/>
        <v> </v>
      </c>
      <c r="E1821" s="11" t="str">
        <f t="shared" si="2"/>
        <v> </v>
      </c>
    </row>
    <row r="1822" ht="15.75" customHeight="1">
      <c r="A1822" s="11">
        <v>12960.0</v>
      </c>
      <c r="B1822" s="11" t="s">
        <v>1850</v>
      </c>
      <c r="C1822" s="12">
        <v>26473.0</v>
      </c>
      <c r="D1822" s="11" t="str">
        <f t="shared" si="1"/>
        <v> </v>
      </c>
      <c r="E1822" s="11" t="str">
        <f t="shared" si="2"/>
        <v> </v>
      </c>
    </row>
    <row r="1823" ht="15.75" customHeight="1">
      <c r="A1823" s="11">
        <v>12962.0</v>
      </c>
      <c r="B1823" s="11" t="s">
        <v>1851</v>
      </c>
      <c r="C1823" s="12">
        <v>23610.0</v>
      </c>
      <c r="D1823" s="11" t="str">
        <f t="shared" si="1"/>
        <v> </v>
      </c>
      <c r="E1823" s="11" t="str">
        <f t="shared" si="2"/>
        <v> </v>
      </c>
    </row>
    <row r="1824" ht="15.75" customHeight="1">
      <c r="A1824" s="11">
        <v>12964.0</v>
      </c>
      <c r="B1824" s="11" t="s">
        <v>1852</v>
      </c>
      <c r="C1824" s="12">
        <v>17118.0</v>
      </c>
      <c r="D1824" s="11" t="str">
        <f t="shared" si="1"/>
        <v> </v>
      </c>
      <c r="E1824" s="11" t="str">
        <f t="shared" si="2"/>
        <v> </v>
      </c>
    </row>
    <row r="1825" ht="15.75" customHeight="1">
      <c r="A1825" s="11">
        <v>12965.0</v>
      </c>
      <c r="B1825" s="11" t="s">
        <v>1853</v>
      </c>
      <c r="C1825" s="12">
        <v>26514.0</v>
      </c>
      <c r="D1825" s="11" t="str">
        <f t="shared" si="1"/>
        <v> </v>
      </c>
      <c r="E1825" s="11" t="str">
        <f t="shared" si="2"/>
        <v> </v>
      </c>
    </row>
    <row r="1826" ht="15.75" customHeight="1">
      <c r="A1826" s="11">
        <v>12966.0</v>
      </c>
      <c r="B1826" s="11" t="s">
        <v>1854</v>
      </c>
      <c r="C1826" s="12">
        <v>29856.0</v>
      </c>
      <c r="D1826" s="11" t="str">
        <f t="shared" si="1"/>
        <v> </v>
      </c>
      <c r="E1826" s="11" t="str">
        <f t="shared" si="2"/>
        <v> </v>
      </c>
    </row>
    <row r="1827" ht="15.75" customHeight="1">
      <c r="A1827" s="11">
        <v>12967.0</v>
      </c>
      <c r="B1827" s="11" t="s">
        <v>1855</v>
      </c>
      <c r="C1827" s="12">
        <v>18314.0</v>
      </c>
      <c r="D1827" s="11" t="str">
        <f t="shared" si="1"/>
        <v> </v>
      </c>
      <c r="E1827" s="11" t="str">
        <f t="shared" si="2"/>
        <v> </v>
      </c>
    </row>
    <row r="1828" ht="15.75" customHeight="1">
      <c r="A1828" s="11">
        <v>12968.0</v>
      </c>
      <c r="B1828" s="11" t="s">
        <v>1856</v>
      </c>
      <c r="C1828" s="12">
        <v>17573.0</v>
      </c>
      <c r="D1828" s="11" t="str">
        <f t="shared" si="1"/>
        <v> </v>
      </c>
      <c r="E1828" s="11" t="str">
        <f t="shared" si="2"/>
        <v> </v>
      </c>
    </row>
    <row r="1829" ht="15.75" customHeight="1">
      <c r="A1829" s="11">
        <v>12969.0</v>
      </c>
      <c r="B1829" s="11" t="s">
        <v>1857</v>
      </c>
      <c r="C1829" s="12">
        <v>15915.0</v>
      </c>
      <c r="D1829" s="11" t="str">
        <f t="shared" si="1"/>
        <v> </v>
      </c>
      <c r="E1829" s="11" t="str">
        <f t="shared" si="2"/>
        <v> </v>
      </c>
    </row>
    <row r="1830" ht="15.75" customHeight="1">
      <c r="A1830" s="11">
        <v>12970.0</v>
      </c>
      <c r="B1830" s="11" t="s">
        <v>1858</v>
      </c>
      <c r="C1830" s="12">
        <v>21550.0</v>
      </c>
      <c r="D1830" s="11" t="str">
        <f t="shared" si="1"/>
        <v> </v>
      </c>
      <c r="E1830" s="11" t="str">
        <f t="shared" si="2"/>
        <v> </v>
      </c>
    </row>
    <row r="1831" ht="15.75" customHeight="1">
      <c r="A1831" s="11">
        <v>12971.0</v>
      </c>
      <c r="B1831" s="11" t="s">
        <v>1859</v>
      </c>
      <c r="C1831" s="12">
        <v>32680.0</v>
      </c>
      <c r="D1831" s="11" t="str">
        <f t="shared" si="1"/>
        <v> </v>
      </c>
      <c r="E1831" s="11" t="str">
        <f t="shared" si="2"/>
        <v> </v>
      </c>
    </row>
    <row r="1832" ht="15.75" customHeight="1">
      <c r="A1832" s="11">
        <v>12972.0</v>
      </c>
      <c r="B1832" s="11" t="s">
        <v>1860</v>
      </c>
      <c r="C1832" s="12">
        <v>11343.0</v>
      </c>
      <c r="D1832" s="11" t="str">
        <f t="shared" si="1"/>
        <v> </v>
      </c>
      <c r="E1832" s="11" t="str">
        <f t="shared" si="2"/>
        <v> </v>
      </c>
    </row>
    <row r="1833" ht="15.75" customHeight="1">
      <c r="A1833" s="11">
        <v>12973.0</v>
      </c>
      <c r="B1833" s="11" t="s">
        <v>1861</v>
      </c>
      <c r="C1833" s="12">
        <v>16895.0</v>
      </c>
      <c r="D1833" s="11" t="str">
        <f t="shared" si="1"/>
        <v> </v>
      </c>
      <c r="E1833" s="11" t="str">
        <f t="shared" si="2"/>
        <v> </v>
      </c>
    </row>
    <row r="1834" ht="15.75" customHeight="1">
      <c r="A1834" s="11">
        <v>12974.0</v>
      </c>
      <c r="B1834" s="11" t="s">
        <v>1862</v>
      </c>
      <c r="C1834" s="12">
        <v>14278.0</v>
      </c>
      <c r="D1834" s="11" t="str">
        <f t="shared" si="1"/>
        <v> </v>
      </c>
      <c r="E1834" s="11" t="str">
        <f t="shared" si="2"/>
        <v> </v>
      </c>
    </row>
    <row r="1835" ht="15.75" customHeight="1">
      <c r="A1835" s="11">
        <v>12975.0</v>
      </c>
      <c r="B1835" s="11" t="s">
        <v>1863</v>
      </c>
      <c r="C1835" s="12">
        <v>14177.0</v>
      </c>
      <c r="D1835" s="11" t="str">
        <f t="shared" si="1"/>
        <v> </v>
      </c>
      <c r="E1835" s="11" t="str">
        <f t="shared" si="2"/>
        <v> </v>
      </c>
    </row>
    <row r="1836" ht="15.75" customHeight="1">
      <c r="A1836" s="11">
        <v>12976.0</v>
      </c>
      <c r="B1836" s="11" t="s">
        <v>1864</v>
      </c>
      <c r="C1836" s="12">
        <v>21983.0</v>
      </c>
      <c r="D1836" s="11" t="str">
        <f t="shared" si="1"/>
        <v> </v>
      </c>
      <c r="E1836" s="11" t="str">
        <f t="shared" si="2"/>
        <v> </v>
      </c>
    </row>
    <row r="1837" ht="15.75" customHeight="1">
      <c r="A1837" s="11">
        <v>12977.0</v>
      </c>
      <c r="B1837" s="11" t="s">
        <v>1865</v>
      </c>
      <c r="C1837" s="12">
        <v>29325.0</v>
      </c>
      <c r="D1837" s="11" t="str">
        <f t="shared" si="1"/>
        <v> </v>
      </c>
      <c r="E1837" s="11" t="str">
        <f t="shared" si="2"/>
        <v> </v>
      </c>
    </row>
    <row r="1838" ht="15.75" customHeight="1">
      <c r="A1838" s="11">
        <v>12978.0</v>
      </c>
      <c r="B1838" s="11" t="s">
        <v>1866</v>
      </c>
      <c r="C1838" s="12">
        <v>21062.0</v>
      </c>
      <c r="D1838" s="11" t="str">
        <f t="shared" si="1"/>
        <v> </v>
      </c>
      <c r="E1838" s="11" t="str">
        <f t="shared" si="2"/>
        <v> </v>
      </c>
    </row>
    <row r="1839" ht="15.75" customHeight="1">
      <c r="A1839" s="11">
        <v>12979.0</v>
      </c>
      <c r="B1839" s="11" t="s">
        <v>1867</v>
      </c>
      <c r="C1839" s="12">
        <v>29141.0</v>
      </c>
      <c r="D1839" s="11" t="str">
        <f t="shared" si="1"/>
        <v> </v>
      </c>
      <c r="E1839" s="11" t="str">
        <f t="shared" si="2"/>
        <v> </v>
      </c>
    </row>
    <row r="1840" ht="15.75" customHeight="1">
      <c r="A1840" s="11">
        <v>12980.0</v>
      </c>
      <c r="B1840" s="11" t="s">
        <v>1868</v>
      </c>
      <c r="C1840" s="12">
        <v>25889.0</v>
      </c>
      <c r="D1840" s="11" t="str">
        <f t="shared" si="1"/>
        <v> </v>
      </c>
      <c r="E1840" s="11" t="str">
        <f t="shared" si="2"/>
        <v> </v>
      </c>
    </row>
    <row r="1841" ht="15.75" customHeight="1">
      <c r="A1841" s="11">
        <v>12981.0</v>
      </c>
      <c r="B1841" s="11" t="s">
        <v>1869</v>
      </c>
      <c r="C1841" s="12">
        <v>20058.0</v>
      </c>
      <c r="D1841" s="11" t="str">
        <f t="shared" si="1"/>
        <v> </v>
      </c>
      <c r="E1841" s="11" t="str">
        <f t="shared" si="2"/>
        <v> </v>
      </c>
    </row>
    <row r="1842" ht="15.75" customHeight="1">
      <c r="A1842" s="11">
        <v>12982.0</v>
      </c>
      <c r="B1842" s="11" t="s">
        <v>1870</v>
      </c>
      <c r="C1842" s="12">
        <v>20972.0</v>
      </c>
      <c r="D1842" s="11" t="str">
        <f t="shared" si="1"/>
        <v> </v>
      </c>
      <c r="E1842" s="11" t="str">
        <f t="shared" si="2"/>
        <v> </v>
      </c>
    </row>
    <row r="1843" ht="15.75" customHeight="1">
      <c r="A1843" s="11">
        <v>12983.0</v>
      </c>
      <c r="B1843" s="11" t="s">
        <v>1871</v>
      </c>
      <c r="C1843" s="12">
        <v>13621.0</v>
      </c>
      <c r="D1843" s="11" t="str">
        <f t="shared" si="1"/>
        <v> </v>
      </c>
      <c r="E1843" s="11" t="str">
        <f t="shared" si="2"/>
        <v> </v>
      </c>
    </row>
    <row r="1844" ht="15.75" customHeight="1">
      <c r="A1844" s="11">
        <v>12984.0</v>
      </c>
      <c r="B1844" s="11" t="s">
        <v>1872</v>
      </c>
      <c r="C1844" s="12">
        <v>15686.0</v>
      </c>
      <c r="D1844" s="11" t="str">
        <f t="shared" si="1"/>
        <v>Repeat</v>
      </c>
      <c r="E1844" s="11" t="str">
        <f t="shared" si="2"/>
        <v> </v>
      </c>
    </row>
    <row r="1845" ht="15.75" customHeight="1">
      <c r="A1845" s="11">
        <v>12985.0</v>
      </c>
      <c r="B1845" s="11" t="s">
        <v>1873</v>
      </c>
      <c r="C1845" s="12">
        <v>33280.0</v>
      </c>
      <c r="D1845" s="11" t="str">
        <f t="shared" si="1"/>
        <v> </v>
      </c>
      <c r="E1845" s="11" t="str">
        <f t="shared" si="2"/>
        <v> </v>
      </c>
    </row>
    <row r="1846" ht="15.75" customHeight="1">
      <c r="A1846" s="11">
        <v>12986.0</v>
      </c>
      <c r="B1846" s="11" t="s">
        <v>1874</v>
      </c>
      <c r="C1846" s="12">
        <v>27510.0</v>
      </c>
      <c r="D1846" s="11" t="str">
        <f t="shared" si="1"/>
        <v> </v>
      </c>
      <c r="E1846" s="11" t="str">
        <f t="shared" si="2"/>
        <v> </v>
      </c>
    </row>
    <row r="1847" ht="15.75" customHeight="1">
      <c r="A1847" s="11">
        <v>12987.0</v>
      </c>
      <c r="B1847" s="11" t="s">
        <v>1875</v>
      </c>
      <c r="C1847" s="12">
        <v>37045.0</v>
      </c>
      <c r="D1847" s="11" t="str">
        <f t="shared" si="1"/>
        <v> </v>
      </c>
      <c r="E1847" s="11" t="str">
        <f t="shared" si="2"/>
        <v> </v>
      </c>
    </row>
    <row r="1848" ht="15.75" customHeight="1">
      <c r="A1848" s="11">
        <v>12988.0</v>
      </c>
      <c r="B1848" s="11" t="s">
        <v>1876</v>
      </c>
      <c r="C1848" s="12">
        <v>20719.0</v>
      </c>
      <c r="D1848" s="11" t="str">
        <f t="shared" si="1"/>
        <v> </v>
      </c>
      <c r="E1848" s="11" t="str">
        <f t="shared" si="2"/>
        <v> </v>
      </c>
    </row>
    <row r="1849" ht="15.75" customHeight="1">
      <c r="A1849" s="11">
        <v>12989.0</v>
      </c>
      <c r="B1849" s="11" t="s">
        <v>1877</v>
      </c>
      <c r="C1849" s="12">
        <v>14549.0</v>
      </c>
      <c r="D1849" s="11" t="str">
        <f t="shared" si="1"/>
        <v> </v>
      </c>
      <c r="E1849" s="11" t="str">
        <f t="shared" si="2"/>
        <v> </v>
      </c>
    </row>
    <row r="1850" ht="15.75" customHeight="1">
      <c r="A1850" s="11">
        <v>12990.0</v>
      </c>
      <c r="B1850" s="11" t="s">
        <v>1878</v>
      </c>
      <c r="C1850" s="12">
        <v>23448.0</v>
      </c>
      <c r="D1850" s="11" t="str">
        <f t="shared" si="1"/>
        <v> </v>
      </c>
      <c r="E1850" s="11" t="str">
        <f t="shared" si="2"/>
        <v> </v>
      </c>
    </row>
    <row r="1851" ht="15.75" customHeight="1">
      <c r="A1851" s="11">
        <v>12991.0</v>
      </c>
      <c r="B1851" s="11" t="s">
        <v>1879</v>
      </c>
      <c r="C1851" s="12">
        <v>22995.0</v>
      </c>
      <c r="D1851" s="11" t="str">
        <f t="shared" si="1"/>
        <v> </v>
      </c>
      <c r="E1851" s="11" t="str">
        <f t="shared" si="2"/>
        <v> </v>
      </c>
    </row>
    <row r="1852" ht="15.75" customHeight="1">
      <c r="A1852" s="11">
        <v>12993.0</v>
      </c>
      <c r="B1852" s="11" t="s">
        <v>1880</v>
      </c>
      <c r="C1852" s="12">
        <v>19819.0</v>
      </c>
      <c r="D1852" s="11" t="str">
        <f t="shared" si="1"/>
        <v> </v>
      </c>
      <c r="E1852" s="11" t="str">
        <f t="shared" si="2"/>
        <v> </v>
      </c>
    </row>
    <row r="1853" ht="15.75" customHeight="1">
      <c r="A1853" s="11">
        <v>12994.0</v>
      </c>
      <c r="B1853" s="11" t="s">
        <v>1881</v>
      </c>
      <c r="C1853" s="12">
        <v>18326.0</v>
      </c>
      <c r="D1853" s="11" t="str">
        <f t="shared" si="1"/>
        <v> </v>
      </c>
      <c r="E1853" s="11" t="str">
        <f t="shared" si="2"/>
        <v> </v>
      </c>
    </row>
    <row r="1854" ht="15.75" customHeight="1">
      <c r="A1854" s="11">
        <v>12995.0</v>
      </c>
      <c r="B1854" s="11" t="s">
        <v>1882</v>
      </c>
      <c r="C1854" s="12">
        <v>21285.0</v>
      </c>
      <c r="D1854" s="11" t="str">
        <f t="shared" si="1"/>
        <v> </v>
      </c>
      <c r="E1854" s="11" t="str">
        <f t="shared" si="2"/>
        <v> </v>
      </c>
    </row>
    <row r="1855" ht="15.75" customHeight="1">
      <c r="A1855" s="11">
        <v>12999.0</v>
      </c>
      <c r="B1855" s="11" t="s">
        <v>1883</v>
      </c>
      <c r="C1855" s="12">
        <v>21682.0</v>
      </c>
      <c r="D1855" s="11" t="str">
        <f t="shared" si="1"/>
        <v> </v>
      </c>
      <c r="E1855" s="11" t="str">
        <f t="shared" si="2"/>
        <v> </v>
      </c>
    </row>
    <row r="1856" ht="15.75" customHeight="1">
      <c r="A1856" s="11">
        <v>13000.0</v>
      </c>
      <c r="B1856" s="11" t="s">
        <v>1884</v>
      </c>
      <c r="C1856" s="12">
        <v>31824.0</v>
      </c>
      <c r="D1856" s="11" t="str">
        <f t="shared" si="1"/>
        <v> </v>
      </c>
      <c r="E1856" s="11" t="str">
        <f t="shared" si="2"/>
        <v> </v>
      </c>
    </row>
    <row r="1857" ht="15.75" customHeight="1">
      <c r="A1857" s="11">
        <v>13001.0</v>
      </c>
      <c r="B1857" s="11" t="s">
        <v>1885</v>
      </c>
      <c r="C1857" s="12">
        <v>17346.0</v>
      </c>
      <c r="D1857" s="11" t="str">
        <f t="shared" si="1"/>
        <v> </v>
      </c>
      <c r="E1857" s="11" t="str">
        <f t="shared" si="2"/>
        <v> </v>
      </c>
    </row>
    <row r="1858" ht="15.75" customHeight="1">
      <c r="A1858" s="11">
        <v>13002.0</v>
      </c>
      <c r="B1858" s="11" t="s">
        <v>1886</v>
      </c>
      <c r="C1858" s="12">
        <v>17089.0</v>
      </c>
      <c r="D1858" s="11" t="str">
        <f t="shared" si="1"/>
        <v> </v>
      </c>
      <c r="E1858" s="11" t="str">
        <f t="shared" si="2"/>
        <v> </v>
      </c>
    </row>
    <row r="1859" ht="15.75" customHeight="1">
      <c r="A1859" s="11">
        <v>13003.0</v>
      </c>
      <c r="B1859" s="11" t="s">
        <v>1887</v>
      </c>
      <c r="C1859" s="12">
        <v>26497.0</v>
      </c>
      <c r="D1859" s="11" t="str">
        <f t="shared" si="1"/>
        <v> </v>
      </c>
      <c r="E1859" s="11" t="str">
        <f t="shared" si="2"/>
        <v> </v>
      </c>
    </row>
    <row r="1860" ht="15.75" customHeight="1">
      <c r="A1860" s="11">
        <v>13004.0</v>
      </c>
      <c r="B1860" s="11" t="s">
        <v>1888</v>
      </c>
      <c r="C1860" s="12">
        <v>12662.0</v>
      </c>
      <c r="D1860" s="11" t="str">
        <f t="shared" si="1"/>
        <v> </v>
      </c>
      <c r="E1860" s="11" t="str">
        <f t="shared" si="2"/>
        <v> </v>
      </c>
    </row>
    <row r="1861" ht="15.75" customHeight="1">
      <c r="A1861" s="11">
        <v>13005.0</v>
      </c>
      <c r="B1861" s="11" t="s">
        <v>1889</v>
      </c>
      <c r="C1861" s="12">
        <v>22674.0</v>
      </c>
      <c r="D1861" s="11" t="str">
        <f t="shared" si="1"/>
        <v> </v>
      </c>
      <c r="E1861" s="11" t="str">
        <f t="shared" si="2"/>
        <v> </v>
      </c>
    </row>
    <row r="1862" ht="15.75" customHeight="1">
      <c r="A1862" s="11">
        <v>13006.0</v>
      </c>
      <c r="B1862" s="11" t="s">
        <v>1890</v>
      </c>
      <c r="C1862" s="12">
        <v>23373.0</v>
      </c>
      <c r="D1862" s="11" t="str">
        <f t="shared" si="1"/>
        <v> </v>
      </c>
      <c r="E1862" s="11" t="str">
        <f t="shared" si="2"/>
        <v> </v>
      </c>
    </row>
    <row r="1863" ht="15.75" customHeight="1">
      <c r="A1863" s="11">
        <v>13007.0</v>
      </c>
      <c r="B1863" s="11" t="s">
        <v>1891</v>
      </c>
      <c r="C1863" s="12">
        <v>13680.0</v>
      </c>
      <c r="D1863" s="11" t="str">
        <f t="shared" si="1"/>
        <v> </v>
      </c>
      <c r="E1863" s="11" t="str">
        <f t="shared" si="2"/>
        <v> </v>
      </c>
    </row>
    <row r="1864" ht="15.75" customHeight="1">
      <c r="A1864" s="11">
        <v>13008.0</v>
      </c>
      <c r="B1864" s="11" t="s">
        <v>1892</v>
      </c>
      <c r="C1864" s="12">
        <v>15425.0</v>
      </c>
      <c r="D1864" s="11" t="str">
        <f t="shared" si="1"/>
        <v> </v>
      </c>
      <c r="E1864" s="11" t="str">
        <f t="shared" si="2"/>
        <v> </v>
      </c>
    </row>
    <row r="1865" ht="15.75" customHeight="1">
      <c r="A1865" s="11">
        <v>13009.0</v>
      </c>
      <c r="B1865" s="11" t="s">
        <v>1893</v>
      </c>
      <c r="C1865" s="12">
        <v>33387.0</v>
      </c>
      <c r="D1865" s="11" t="str">
        <f t="shared" si="1"/>
        <v> </v>
      </c>
      <c r="E1865" s="11" t="str">
        <f t="shared" si="2"/>
        <v> </v>
      </c>
    </row>
    <row r="1866" ht="15.75" customHeight="1">
      <c r="A1866" s="11">
        <v>13011.0</v>
      </c>
      <c r="B1866" s="11" t="s">
        <v>1894</v>
      </c>
      <c r="C1866" s="12">
        <v>16839.0</v>
      </c>
      <c r="D1866" s="11" t="str">
        <f t="shared" si="1"/>
        <v> </v>
      </c>
      <c r="E1866" s="11" t="str">
        <f t="shared" si="2"/>
        <v> </v>
      </c>
    </row>
    <row r="1867" ht="15.75" customHeight="1">
      <c r="A1867" s="11">
        <v>13012.0</v>
      </c>
      <c r="B1867" s="11" t="s">
        <v>1895</v>
      </c>
      <c r="C1867" s="12">
        <v>29217.0</v>
      </c>
      <c r="D1867" s="11" t="str">
        <f t="shared" si="1"/>
        <v> </v>
      </c>
      <c r="E1867" s="11" t="str">
        <f t="shared" si="2"/>
        <v> </v>
      </c>
    </row>
    <row r="1868" ht="15.75" customHeight="1">
      <c r="A1868" s="11">
        <v>13013.0</v>
      </c>
      <c r="B1868" s="11" t="s">
        <v>1896</v>
      </c>
      <c r="C1868" s="12">
        <v>23643.0</v>
      </c>
      <c r="D1868" s="11" t="str">
        <f t="shared" si="1"/>
        <v> </v>
      </c>
      <c r="E1868" s="11" t="str">
        <f t="shared" si="2"/>
        <v> </v>
      </c>
    </row>
    <row r="1869" ht="15.75" customHeight="1">
      <c r="A1869" s="11">
        <v>13014.0</v>
      </c>
      <c r="B1869" s="11" t="s">
        <v>1897</v>
      </c>
      <c r="C1869" s="12">
        <v>26163.0</v>
      </c>
      <c r="D1869" s="11" t="str">
        <f t="shared" si="1"/>
        <v> </v>
      </c>
      <c r="E1869" s="11" t="str">
        <f t="shared" si="2"/>
        <v> </v>
      </c>
    </row>
    <row r="1870" ht="15.75" customHeight="1">
      <c r="A1870" s="11">
        <v>13015.0</v>
      </c>
      <c r="B1870" s="11" t="s">
        <v>1898</v>
      </c>
      <c r="C1870" s="12">
        <v>35190.0</v>
      </c>
      <c r="D1870" s="11" t="str">
        <f t="shared" si="1"/>
        <v> </v>
      </c>
      <c r="E1870" s="11" t="str">
        <f t="shared" si="2"/>
        <v> </v>
      </c>
    </row>
    <row r="1871" ht="15.75" customHeight="1">
      <c r="A1871" s="11">
        <v>13016.0</v>
      </c>
      <c r="B1871" s="11" t="s">
        <v>1899</v>
      </c>
      <c r="C1871" s="12">
        <v>18558.0</v>
      </c>
      <c r="D1871" s="11" t="str">
        <f t="shared" si="1"/>
        <v>Repeat</v>
      </c>
      <c r="E1871" s="11" t="str">
        <f t="shared" si="2"/>
        <v> </v>
      </c>
    </row>
    <row r="1872" ht="15.75" customHeight="1">
      <c r="A1872" s="11">
        <v>13017.0</v>
      </c>
      <c r="B1872" s="11" t="s">
        <v>1900</v>
      </c>
      <c r="C1872" s="12">
        <v>14692.0</v>
      </c>
      <c r="D1872" s="11" t="str">
        <f t="shared" si="1"/>
        <v> </v>
      </c>
      <c r="E1872" s="11" t="str">
        <f t="shared" si="2"/>
        <v> </v>
      </c>
    </row>
    <row r="1873" ht="15.75" customHeight="1">
      <c r="A1873" s="11">
        <v>13018.0</v>
      </c>
      <c r="B1873" s="11" t="s">
        <v>1901</v>
      </c>
      <c r="C1873" s="12">
        <v>24067.0</v>
      </c>
      <c r="D1873" s="11" t="str">
        <f t="shared" si="1"/>
        <v> </v>
      </c>
      <c r="E1873" s="11" t="str">
        <f t="shared" si="2"/>
        <v> </v>
      </c>
    </row>
    <row r="1874" ht="15.75" customHeight="1">
      <c r="A1874" s="11">
        <v>13019.0</v>
      </c>
      <c r="B1874" s="11" t="s">
        <v>1902</v>
      </c>
      <c r="C1874" s="12">
        <v>20401.0</v>
      </c>
      <c r="D1874" s="11" t="str">
        <f t="shared" si="1"/>
        <v> </v>
      </c>
      <c r="E1874" s="11" t="str">
        <f t="shared" si="2"/>
        <v> </v>
      </c>
    </row>
    <row r="1875" ht="15.75" customHeight="1">
      <c r="A1875" s="11">
        <v>13020.0</v>
      </c>
      <c r="B1875" s="11" t="s">
        <v>1903</v>
      </c>
      <c r="C1875" s="12">
        <v>20565.0</v>
      </c>
      <c r="D1875" s="11" t="str">
        <f t="shared" si="1"/>
        <v> </v>
      </c>
      <c r="E1875" s="11" t="str">
        <f t="shared" si="2"/>
        <v> </v>
      </c>
    </row>
    <row r="1876" ht="15.75" customHeight="1">
      <c r="A1876" s="11">
        <v>13021.0</v>
      </c>
      <c r="B1876" s="11" t="s">
        <v>1904</v>
      </c>
      <c r="C1876" s="12">
        <v>28778.0</v>
      </c>
      <c r="D1876" s="11" t="str">
        <f t="shared" si="1"/>
        <v> </v>
      </c>
      <c r="E1876" s="11" t="str">
        <f t="shared" si="2"/>
        <v> </v>
      </c>
    </row>
    <row r="1877" ht="15.75" customHeight="1">
      <c r="A1877" s="11">
        <v>13022.0</v>
      </c>
      <c r="B1877" s="11" t="s">
        <v>1905</v>
      </c>
      <c r="C1877" s="12">
        <v>18708.0</v>
      </c>
      <c r="D1877" s="11" t="str">
        <f t="shared" si="1"/>
        <v> </v>
      </c>
      <c r="E1877" s="11" t="str">
        <f t="shared" si="2"/>
        <v> </v>
      </c>
    </row>
    <row r="1878" ht="15.75" customHeight="1">
      <c r="A1878" s="11">
        <v>13023.0</v>
      </c>
      <c r="B1878" s="11" t="s">
        <v>1906</v>
      </c>
      <c r="C1878" s="12">
        <v>11936.0</v>
      </c>
      <c r="D1878" s="11" t="str">
        <f t="shared" si="1"/>
        <v> </v>
      </c>
      <c r="E1878" s="11" t="str">
        <f t="shared" si="2"/>
        <v> </v>
      </c>
    </row>
    <row r="1879" ht="15.75" customHeight="1">
      <c r="A1879" s="11">
        <v>13025.0</v>
      </c>
      <c r="B1879" s="11" t="s">
        <v>1907</v>
      </c>
      <c r="C1879" s="12">
        <v>24535.0</v>
      </c>
      <c r="D1879" s="11" t="str">
        <f t="shared" si="1"/>
        <v> </v>
      </c>
      <c r="E1879" s="11" t="str">
        <f t="shared" si="2"/>
        <v> </v>
      </c>
    </row>
    <row r="1880" ht="15.75" customHeight="1">
      <c r="A1880" s="11">
        <v>13026.0</v>
      </c>
      <c r="B1880" s="11" t="s">
        <v>1908</v>
      </c>
      <c r="C1880" s="12">
        <v>23816.0</v>
      </c>
      <c r="D1880" s="11" t="str">
        <f t="shared" si="1"/>
        <v> </v>
      </c>
      <c r="E1880" s="11" t="str">
        <f t="shared" si="2"/>
        <v> </v>
      </c>
    </row>
    <row r="1881" ht="15.75" customHeight="1">
      <c r="A1881" s="11">
        <v>13027.0</v>
      </c>
      <c r="B1881" s="11" t="s">
        <v>1909</v>
      </c>
      <c r="C1881" s="12">
        <v>25661.0</v>
      </c>
      <c r="D1881" s="11" t="str">
        <f t="shared" si="1"/>
        <v> </v>
      </c>
      <c r="E1881" s="11" t="str">
        <f t="shared" si="2"/>
        <v> </v>
      </c>
    </row>
    <row r="1882" ht="15.75" customHeight="1">
      <c r="A1882" s="11">
        <v>13028.0</v>
      </c>
      <c r="B1882" s="11" t="s">
        <v>1910</v>
      </c>
      <c r="C1882" s="12">
        <v>13726.0</v>
      </c>
      <c r="D1882" s="11" t="str">
        <f t="shared" si="1"/>
        <v> </v>
      </c>
      <c r="E1882" s="11" t="str">
        <f t="shared" si="2"/>
        <v> </v>
      </c>
    </row>
    <row r="1883" ht="15.75" customHeight="1">
      <c r="A1883" s="11">
        <v>13029.0</v>
      </c>
      <c r="B1883" s="11" t="s">
        <v>1911</v>
      </c>
      <c r="C1883" s="12">
        <v>25828.0</v>
      </c>
      <c r="D1883" s="11" t="str">
        <f t="shared" si="1"/>
        <v> </v>
      </c>
      <c r="E1883" s="11" t="str">
        <f t="shared" si="2"/>
        <v> </v>
      </c>
    </row>
    <row r="1884" ht="15.75" customHeight="1">
      <c r="A1884" s="11">
        <v>13030.0</v>
      </c>
      <c r="B1884" s="11" t="s">
        <v>1912</v>
      </c>
      <c r="C1884" s="12">
        <v>25067.0</v>
      </c>
      <c r="D1884" s="11" t="str">
        <f t="shared" si="1"/>
        <v> </v>
      </c>
      <c r="E1884" s="11" t="str">
        <f t="shared" si="2"/>
        <v> </v>
      </c>
    </row>
    <row r="1885" ht="15.75" customHeight="1">
      <c r="A1885" s="11">
        <v>13031.0</v>
      </c>
      <c r="B1885" s="11" t="s">
        <v>1913</v>
      </c>
      <c r="C1885" s="12">
        <v>29519.0</v>
      </c>
      <c r="D1885" s="11" t="str">
        <f t="shared" si="1"/>
        <v> </v>
      </c>
      <c r="E1885" s="11" t="str">
        <f t="shared" si="2"/>
        <v> </v>
      </c>
    </row>
    <row r="1886" ht="15.75" customHeight="1">
      <c r="A1886" s="11">
        <v>13032.0</v>
      </c>
      <c r="B1886" s="11" t="s">
        <v>1914</v>
      </c>
      <c r="C1886" s="12">
        <v>21812.0</v>
      </c>
      <c r="D1886" s="11" t="str">
        <f t="shared" si="1"/>
        <v> </v>
      </c>
      <c r="E1886" s="11" t="str">
        <f t="shared" si="2"/>
        <v> </v>
      </c>
    </row>
    <row r="1887" ht="15.75" customHeight="1">
      <c r="A1887" s="11">
        <v>13033.0</v>
      </c>
      <c r="B1887" s="11" t="s">
        <v>1915</v>
      </c>
      <c r="C1887" s="12">
        <v>29923.0</v>
      </c>
      <c r="D1887" s="11" t="str">
        <f t="shared" si="1"/>
        <v> </v>
      </c>
      <c r="E1887" s="11" t="str">
        <f t="shared" si="2"/>
        <v> </v>
      </c>
    </row>
    <row r="1888" ht="15.75" customHeight="1">
      <c r="A1888" s="11">
        <v>13034.0</v>
      </c>
      <c r="B1888" s="11" t="s">
        <v>1916</v>
      </c>
      <c r="C1888" s="12">
        <v>24720.0</v>
      </c>
      <c r="D1888" s="11" t="str">
        <f t="shared" si="1"/>
        <v> </v>
      </c>
      <c r="E1888" s="11" t="str">
        <f t="shared" si="2"/>
        <v> </v>
      </c>
    </row>
    <row r="1889" ht="15.75" customHeight="1">
      <c r="A1889" s="11">
        <v>13035.0</v>
      </c>
      <c r="B1889" s="11" t="s">
        <v>1917</v>
      </c>
      <c r="C1889" s="12">
        <v>22117.0</v>
      </c>
      <c r="D1889" s="11" t="str">
        <f t="shared" si="1"/>
        <v> </v>
      </c>
      <c r="E1889" s="11" t="str">
        <f t="shared" si="2"/>
        <v> </v>
      </c>
    </row>
    <row r="1890" ht="15.75" customHeight="1">
      <c r="A1890" s="11">
        <v>13036.0</v>
      </c>
      <c r="B1890" s="11" t="s">
        <v>1918</v>
      </c>
      <c r="C1890" s="12">
        <v>13864.0</v>
      </c>
      <c r="D1890" s="11" t="str">
        <f t="shared" si="1"/>
        <v> </v>
      </c>
      <c r="E1890" s="11" t="str">
        <f t="shared" si="2"/>
        <v> </v>
      </c>
    </row>
    <row r="1891" ht="15.75" customHeight="1">
      <c r="A1891" s="11">
        <v>13037.0</v>
      </c>
      <c r="B1891" s="11" t="s">
        <v>1919</v>
      </c>
      <c r="C1891" s="12">
        <v>18662.0</v>
      </c>
      <c r="D1891" s="11" t="str">
        <f t="shared" si="1"/>
        <v> </v>
      </c>
      <c r="E1891" s="11" t="str">
        <f t="shared" si="2"/>
        <v> </v>
      </c>
    </row>
    <row r="1892" ht="15.75" customHeight="1">
      <c r="A1892" s="11">
        <v>13039.0</v>
      </c>
      <c r="B1892" s="11" t="s">
        <v>1920</v>
      </c>
      <c r="C1892" s="12">
        <v>15655.0</v>
      </c>
      <c r="D1892" s="11" t="str">
        <f t="shared" si="1"/>
        <v> </v>
      </c>
      <c r="E1892" s="11" t="str">
        <f t="shared" si="2"/>
        <v> </v>
      </c>
    </row>
    <row r="1893" ht="15.75" customHeight="1">
      <c r="A1893" s="11">
        <v>13040.0</v>
      </c>
      <c r="B1893" s="11" t="s">
        <v>1921</v>
      </c>
      <c r="C1893" s="12">
        <v>21483.0</v>
      </c>
      <c r="D1893" s="11" t="str">
        <f t="shared" si="1"/>
        <v> </v>
      </c>
      <c r="E1893" s="11" t="str">
        <f t="shared" si="2"/>
        <v> </v>
      </c>
    </row>
    <row r="1894" ht="15.75" customHeight="1">
      <c r="A1894" s="11">
        <v>13042.0</v>
      </c>
      <c r="B1894" s="11" t="s">
        <v>1922</v>
      </c>
      <c r="C1894" s="12">
        <v>14662.0</v>
      </c>
      <c r="D1894" s="11" t="str">
        <f t="shared" si="1"/>
        <v> </v>
      </c>
      <c r="E1894" s="11" t="str">
        <f t="shared" si="2"/>
        <v> </v>
      </c>
    </row>
    <row r="1895" ht="15.75" customHeight="1">
      <c r="A1895" s="11">
        <v>13043.0</v>
      </c>
      <c r="B1895" s="11" t="s">
        <v>1923</v>
      </c>
      <c r="C1895" s="12">
        <v>31097.0</v>
      </c>
      <c r="D1895" s="11" t="str">
        <f t="shared" si="1"/>
        <v> </v>
      </c>
      <c r="E1895" s="11" t="str">
        <f t="shared" si="2"/>
        <v> </v>
      </c>
    </row>
    <row r="1896" ht="15.75" customHeight="1">
      <c r="A1896" s="11">
        <v>13044.0</v>
      </c>
      <c r="B1896" s="11" t="s">
        <v>1924</v>
      </c>
      <c r="C1896" s="12">
        <v>21958.0</v>
      </c>
      <c r="D1896" s="11" t="str">
        <f t="shared" si="1"/>
        <v> </v>
      </c>
      <c r="E1896" s="11" t="str">
        <f t="shared" si="2"/>
        <v> </v>
      </c>
    </row>
    <row r="1897" ht="15.75" customHeight="1">
      <c r="A1897" s="11">
        <v>13045.0</v>
      </c>
      <c r="B1897" s="11" t="s">
        <v>1925</v>
      </c>
      <c r="C1897" s="12">
        <v>19390.0</v>
      </c>
      <c r="D1897" s="11" t="str">
        <f t="shared" si="1"/>
        <v> </v>
      </c>
      <c r="E1897" s="11" t="str">
        <f t="shared" si="2"/>
        <v> </v>
      </c>
    </row>
    <row r="1898" ht="15.75" customHeight="1">
      <c r="A1898" s="11">
        <v>13047.0</v>
      </c>
      <c r="B1898" s="11" t="s">
        <v>1926</v>
      </c>
      <c r="C1898" s="12">
        <v>22322.0</v>
      </c>
      <c r="D1898" s="11" t="str">
        <f t="shared" si="1"/>
        <v> </v>
      </c>
      <c r="E1898" s="11" t="str">
        <f t="shared" si="2"/>
        <v> </v>
      </c>
    </row>
    <row r="1899" ht="15.75" customHeight="1">
      <c r="A1899" s="11">
        <v>13048.0</v>
      </c>
      <c r="B1899" s="11" t="s">
        <v>1927</v>
      </c>
      <c r="C1899" s="12">
        <v>26988.0</v>
      </c>
      <c r="D1899" s="11" t="str">
        <f t="shared" si="1"/>
        <v> </v>
      </c>
      <c r="E1899" s="11" t="str">
        <f t="shared" si="2"/>
        <v> </v>
      </c>
    </row>
    <row r="1900" ht="15.75" customHeight="1">
      <c r="A1900" s="11">
        <v>13049.0</v>
      </c>
      <c r="B1900" s="11" t="s">
        <v>1928</v>
      </c>
      <c r="C1900" s="12">
        <v>34233.0</v>
      </c>
      <c r="D1900" s="11" t="str">
        <f t="shared" si="1"/>
        <v> </v>
      </c>
      <c r="E1900" s="11" t="str">
        <f t="shared" si="2"/>
        <v> </v>
      </c>
    </row>
    <row r="1901" ht="15.75" customHeight="1">
      <c r="A1901" s="11">
        <v>13050.0</v>
      </c>
      <c r="B1901" s="11" t="s">
        <v>1929</v>
      </c>
      <c r="C1901" s="12">
        <v>23718.0</v>
      </c>
      <c r="D1901" s="11" t="str">
        <f t="shared" si="1"/>
        <v> </v>
      </c>
      <c r="E1901" s="11" t="str">
        <f t="shared" si="2"/>
        <v> </v>
      </c>
    </row>
    <row r="1902" ht="15.75" customHeight="1">
      <c r="A1902" s="11">
        <v>13053.0</v>
      </c>
      <c r="B1902" s="11" t="s">
        <v>1930</v>
      </c>
      <c r="C1902" s="12">
        <v>31604.0</v>
      </c>
      <c r="D1902" s="11" t="str">
        <f t="shared" si="1"/>
        <v> </v>
      </c>
      <c r="E1902" s="11" t="str">
        <f t="shared" si="2"/>
        <v> </v>
      </c>
    </row>
    <row r="1903" ht="15.75" customHeight="1">
      <c r="A1903" s="11">
        <v>13055.0</v>
      </c>
      <c r="B1903" s="11" t="s">
        <v>1931</v>
      </c>
      <c r="C1903" s="12">
        <v>32678.0</v>
      </c>
      <c r="D1903" s="11" t="str">
        <f t="shared" si="1"/>
        <v> </v>
      </c>
      <c r="E1903" s="11" t="str">
        <f t="shared" si="2"/>
        <v> </v>
      </c>
    </row>
    <row r="1904" ht="15.75" customHeight="1">
      <c r="A1904" s="11">
        <v>13057.0</v>
      </c>
      <c r="B1904" s="11" t="s">
        <v>1932</v>
      </c>
      <c r="C1904" s="12">
        <v>28884.0</v>
      </c>
      <c r="D1904" s="11" t="str">
        <f t="shared" si="1"/>
        <v> </v>
      </c>
      <c r="E1904" s="11" t="str">
        <f t="shared" si="2"/>
        <v> </v>
      </c>
    </row>
    <row r="1905" ht="15.75" customHeight="1">
      <c r="A1905" s="11">
        <v>13058.0</v>
      </c>
      <c r="B1905" s="11" t="s">
        <v>1933</v>
      </c>
      <c r="C1905" s="12">
        <v>13733.0</v>
      </c>
      <c r="D1905" s="11" t="str">
        <f t="shared" si="1"/>
        <v> </v>
      </c>
      <c r="E1905" s="11" t="str">
        <f t="shared" si="2"/>
        <v> </v>
      </c>
    </row>
    <row r="1906" ht="15.75" customHeight="1">
      <c r="A1906" s="11">
        <v>13059.0</v>
      </c>
      <c r="B1906" s="11" t="s">
        <v>1934</v>
      </c>
      <c r="C1906" s="12">
        <v>13171.0</v>
      </c>
      <c r="D1906" s="11" t="str">
        <f t="shared" si="1"/>
        <v>Repeat</v>
      </c>
      <c r="E1906" s="11" t="str">
        <f t="shared" si="2"/>
        <v> </v>
      </c>
    </row>
    <row r="1907" ht="15.75" customHeight="1">
      <c r="A1907" s="11">
        <v>13060.0</v>
      </c>
      <c r="B1907" s="11" t="s">
        <v>1935</v>
      </c>
      <c r="C1907" s="12">
        <v>32409.0</v>
      </c>
      <c r="D1907" s="11" t="str">
        <f t="shared" si="1"/>
        <v> </v>
      </c>
      <c r="E1907" s="11" t="str">
        <f t="shared" si="2"/>
        <v> </v>
      </c>
    </row>
    <row r="1908" ht="15.75" customHeight="1">
      <c r="A1908" s="11">
        <v>13061.0</v>
      </c>
      <c r="B1908" s="11" t="s">
        <v>1936</v>
      </c>
      <c r="C1908" s="12">
        <v>17030.0</v>
      </c>
      <c r="D1908" s="11" t="str">
        <f t="shared" si="1"/>
        <v> </v>
      </c>
      <c r="E1908" s="11" t="str">
        <f t="shared" si="2"/>
        <v> </v>
      </c>
    </row>
    <row r="1909" ht="15.75" customHeight="1">
      <c r="A1909" s="11">
        <v>13063.0</v>
      </c>
      <c r="B1909" s="11" t="s">
        <v>1937</v>
      </c>
      <c r="C1909" s="12">
        <v>18086.0</v>
      </c>
      <c r="D1909" s="11" t="str">
        <f t="shared" si="1"/>
        <v> </v>
      </c>
      <c r="E1909" s="11" t="str">
        <f t="shared" si="2"/>
        <v> </v>
      </c>
    </row>
    <row r="1910" ht="15.75" customHeight="1">
      <c r="A1910" s="11">
        <v>13064.0</v>
      </c>
      <c r="B1910" s="11" t="s">
        <v>1938</v>
      </c>
      <c r="C1910" s="12">
        <v>33733.0</v>
      </c>
      <c r="D1910" s="11" t="str">
        <f t="shared" si="1"/>
        <v> </v>
      </c>
      <c r="E1910" s="11" t="str">
        <f t="shared" si="2"/>
        <v> </v>
      </c>
    </row>
    <row r="1911" ht="15.75" customHeight="1">
      <c r="A1911" s="11">
        <v>13067.0</v>
      </c>
      <c r="B1911" s="11" t="s">
        <v>1939</v>
      </c>
      <c r="C1911" s="12">
        <v>28488.0</v>
      </c>
      <c r="D1911" s="11" t="str">
        <f t="shared" si="1"/>
        <v> </v>
      </c>
      <c r="E1911" s="11" t="str">
        <f t="shared" si="2"/>
        <v> </v>
      </c>
    </row>
    <row r="1912" ht="15.75" customHeight="1">
      <c r="A1912" s="11">
        <v>13068.0</v>
      </c>
      <c r="B1912" s="11" t="s">
        <v>1940</v>
      </c>
      <c r="C1912" s="12">
        <v>20171.0</v>
      </c>
      <c r="D1912" s="11" t="str">
        <f t="shared" si="1"/>
        <v> </v>
      </c>
      <c r="E1912" s="11" t="str">
        <f t="shared" si="2"/>
        <v> </v>
      </c>
    </row>
    <row r="1913" ht="15.75" customHeight="1">
      <c r="A1913" s="11">
        <v>13069.0</v>
      </c>
      <c r="B1913" s="11" t="s">
        <v>1941</v>
      </c>
      <c r="C1913" s="12">
        <v>27318.0</v>
      </c>
      <c r="D1913" s="11" t="str">
        <f t="shared" si="1"/>
        <v> </v>
      </c>
      <c r="E1913" s="11" t="str">
        <f t="shared" si="2"/>
        <v> </v>
      </c>
    </row>
    <row r="1914" ht="15.75" customHeight="1">
      <c r="A1914" s="11">
        <v>13071.0</v>
      </c>
      <c r="B1914" s="11" t="s">
        <v>1942</v>
      </c>
      <c r="C1914" s="12">
        <v>31325.0</v>
      </c>
      <c r="D1914" s="11" t="str">
        <f t="shared" si="1"/>
        <v> </v>
      </c>
      <c r="E1914" s="11" t="str">
        <f t="shared" si="2"/>
        <v> </v>
      </c>
    </row>
    <row r="1915" ht="15.75" customHeight="1">
      <c r="A1915" s="11">
        <v>13072.0</v>
      </c>
      <c r="B1915" s="11" t="s">
        <v>1943</v>
      </c>
      <c r="C1915" s="12">
        <v>12365.0</v>
      </c>
      <c r="D1915" s="11" t="str">
        <f t="shared" si="1"/>
        <v> </v>
      </c>
      <c r="E1915" s="11" t="str">
        <f t="shared" si="2"/>
        <v> </v>
      </c>
    </row>
    <row r="1916" ht="15.75" customHeight="1">
      <c r="A1916" s="11">
        <v>13073.0</v>
      </c>
      <c r="B1916" s="11" t="s">
        <v>1944</v>
      </c>
      <c r="C1916" s="12">
        <v>22361.0</v>
      </c>
      <c r="D1916" s="11" t="str">
        <f t="shared" si="1"/>
        <v> </v>
      </c>
      <c r="E1916" s="11" t="str">
        <f t="shared" si="2"/>
        <v> </v>
      </c>
    </row>
    <row r="1917" ht="15.75" customHeight="1">
      <c r="A1917" s="11">
        <v>13074.0</v>
      </c>
      <c r="B1917" s="11" t="s">
        <v>1945</v>
      </c>
      <c r="C1917" s="12">
        <v>20278.0</v>
      </c>
      <c r="D1917" s="11" t="str">
        <f t="shared" si="1"/>
        <v> </v>
      </c>
      <c r="E1917" s="11" t="str">
        <f t="shared" si="2"/>
        <v> </v>
      </c>
    </row>
    <row r="1918" ht="15.75" customHeight="1">
      <c r="A1918" s="11">
        <v>13075.0</v>
      </c>
      <c r="B1918" s="11" t="s">
        <v>1946</v>
      </c>
      <c r="C1918" s="12">
        <v>28893.0</v>
      </c>
      <c r="D1918" s="11" t="str">
        <f t="shared" si="1"/>
        <v> </v>
      </c>
      <c r="E1918" s="11" t="str">
        <f t="shared" si="2"/>
        <v> </v>
      </c>
    </row>
    <row r="1919" ht="15.75" customHeight="1">
      <c r="A1919" s="11">
        <v>13076.0</v>
      </c>
      <c r="B1919" s="11" t="s">
        <v>1947</v>
      </c>
      <c r="C1919" s="12">
        <v>19928.0</v>
      </c>
      <c r="D1919" s="11" t="str">
        <f t="shared" si="1"/>
        <v> </v>
      </c>
      <c r="E1919" s="11" t="str">
        <f t="shared" si="2"/>
        <v> </v>
      </c>
    </row>
    <row r="1920" ht="15.75" customHeight="1">
      <c r="A1920" s="11">
        <v>13077.0</v>
      </c>
      <c r="B1920" s="11" t="s">
        <v>1948</v>
      </c>
      <c r="C1920" s="12">
        <v>15181.0</v>
      </c>
      <c r="D1920" s="11" t="str">
        <f t="shared" si="1"/>
        <v> </v>
      </c>
      <c r="E1920" s="11" t="str">
        <f t="shared" si="2"/>
        <v> </v>
      </c>
    </row>
    <row r="1921" ht="15.75" customHeight="1">
      <c r="A1921" s="11">
        <v>13078.0</v>
      </c>
      <c r="B1921" s="11" t="s">
        <v>1949</v>
      </c>
      <c r="C1921" s="12">
        <v>25457.0</v>
      </c>
      <c r="D1921" s="11" t="str">
        <f t="shared" si="1"/>
        <v> </v>
      </c>
      <c r="E1921" s="11" t="str">
        <f t="shared" si="2"/>
        <v> </v>
      </c>
    </row>
    <row r="1922" ht="15.75" customHeight="1">
      <c r="A1922" s="11">
        <v>13079.0</v>
      </c>
      <c r="B1922" s="11" t="s">
        <v>1950</v>
      </c>
      <c r="C1922" s="12">
        <v>28124.0</v>
      </c>
      <c r="D1922" s="11" t="str">
        <f t="shared" si="1"/>
        <v> </v>
      </c>
      <c r="E1922" s="11" t="str">
        <f t="shared" si="2"/>
        <v> </v>
      </c>
    </row>
    <row r="1923" ht="15.75" customHeight="1">
      <c r="A1923" s="11">
        <v>13080.0</v>
      </c>
      <c r="B1923" s="11" t="s">
        <v>1951</v>
      </c>
      <c r="C1923" s="12">
        <v>26629.0</v>
      </c>
      <c r="D1923" s="11" t="str">
        <f t="shared" si="1"/>
        <v> </v>
      </c>
      <c r="E1923" s="11" t="str">
        <f t="shared" si="2"/>
        <v> </v>
      </c>
    </row>
    <row r="1924" ht="15.75" customHeight="1">
      <c r="A1924" s="11">
        <v>13081.0</v>
      </c>
      <c r="B1924" s="11" t="s">
        <v>1952</v>
      </c>
      <c r="C1924" s="12">
        <v>22303.0</v>
      </c>
      <c r="D1924" s="11" t="str">
        <f t="shared" si="1"/>
        <v> </v>
      </c>
      <c r="E1924" s="11" t="str">
        <f t="shared" si="2"/>
        <v> </v>
      </c>
    </row>
    <row r="1925" ht="15.75" customHeight="1">
      <c r="A1925" s="11">
        <v>13082.0</v>
      </c>
      <c r="B1925" s="11" t="s">
        <v>1953</v>
      </c>
      <c r="C1925" s="12">
        <v>22758.0</v>
      </c>
      <c r="D1925" s="11" t="str">
        <f t="shared" si="1"/>
        <v> </v>
      </c>
      <c r="E1925" s="11" t="str">
        <f t="shared" si="2"/>
        <v> </v>
      </c>
    </row>
    <row r="1926" ht="15.75" customHeight="1">
      <c r="A1926" s="11">
        <v>13083.0</v>
      </c>
      <c r="B1926" s="11" t="s">
        <v>1954</v>
      </c>
      <c r="C1926" s="12">
        <v>15746.0</v>
      </c>
      <c r="D1926" s="11" t="str">
        <f t="shared" si="1"/>
        <v>Repeat</v>
      </c>
      <c r="E1926" s="11" t="str">
        <f t="shared" si="2"/>
        <v> </v>
      </c>
    </row>
    <row r="1927" ht="15.75" customHeight="1">
      <c r="A1927" s="11">
        <v>13084.0</v>
      </c>
      <c r="B1927" s="11" t="s">
        <v>1955</v>
      </c>
      <c r="C1927" s="12">
        <v>22740.0</v>
      </c>
      <c r="D1927" s="11" t="str">
        <f t="shared" si="1"/>
        <v> </v>
      </c>
      <c r="E1927" s="11" t="str">
        <f t="shared" si="2"/>
        <v> </v>
      </c>
    </row>
    <row r="1928" ht="15.75" customHeight="1">
      <c r="A1928" s="11">
        <v>13085.0</v>
      </c>
      <c r="B1928" s="11" t="s">
        <v>1956</v>
      </c>
      <c r="C1928" s="12">
        <v>29704.0</v>
      </c>
      <c r="D1928" s="11" t="str">
        <f t="shared" si="1"/>
        <v> </v>
      </c>
      <c r="E1928" s="11" t="str">
        <f t="shared" si="2"/>
        <v> </v>
      </c>
    </row>
    <row r="1929" ht="15.75" customHeight="1">
      <c r="A1929" s="11">
        <v>13086.0</v>
      </c>
      <c r="B1929" s="11" t="s">
        <v>1957</v>
      </c>
      <c r="C1929" s="12">
        <v>23317.0</v>
      </c>
      <c r="D1929" s="11" t="str">
        <f t="shared" si="1"/>
        <v> </v>
      </c>
      <c r="E1929" s="11" t="str">
        <f t="shared" si="2"/>
        <v> </v>
      </c>
    </row>
    <row r="1930" ht="15.75" customHeight="1">
      <c r="A1930" s="11">
        <v>13087.0</v>
      </c>
      <c r="B1930" s="11" t="s">
        <v>1958</v>
      </c>
      <c r="C1930" s="12">
        <v>24486.0</v>
      </c>
      <c r="D1930" s="11" t="str">
        <f t="shared" si="1"/>
        <v> </v>
      </c>
      <c r="E1930" s="11" t="str">
        <f t="shared" si="2"/>
        <v> </v>
      </c>
    </row>
    <row r="1931" ht="15.75" customHeight="1">
      <c r="A1931" s="11">
        <v>13090.0</v>
      </c>
      <c r="B1931" s="11" t="s">
        <v>1959</v>
      </c>
      <c r="C1931" s="12">
        <v>18189.0</v>
      </c>
      <c r="D1931" s="11" t="str">
        <f t="shared" si="1"/>
        <v> </v>
      </c>
      <c r="E1931" s="11" t="str">
        <f t="shared" si="2"/>
        <v> </v>
      </c>
    </row>
    <row r="1932" ht="15.75" customHeight="1">
      <c r="A1932" s="11">
        <v>13091.0</v>
      </c>
      <c r="B1932" s="11" t="s">
        <v>1960</v>
      </c>
      <c r="C1932" s="12">
        <v>21039.0</v>
      </c>
      <c r="D1932" s="11" t="str">
        <f t="shared" si="1"/>
        <v> </v>
      </c>
      <c r="E1932" s="11" t="str">
        <f t="shared" si="2"/>
        <v> </v>
      </c>
    </row>
    <row r="1933" ht="15.75" customHeight="1">
      <c r="A1933" s="11">
        <v>13092.0</v>
      </c>
      <c r="B1933" s="11" t="s">
        <v>1961</v>
      </c>
      <c r="C1933" s="12">
        <v>31323.0</v>
      </c>
      <c r="D1933" s="11" t="str">
        <f t="shared" si="1"/>
        <v> </v>
      </c>
      <c r="E1933" s="11" t="str">
        <f t="shared" si="2"/>
        <v> </v>
      </c>
    </row>
    <row r="1934" ht="15.75" customHeight="1">
      <c r="A1934" s="11">
        <v>13093.0</v>
      </c>
      <c r="B1934" s="11" t="s">
        <v>1962</v>
      </c>
      <c r="C1934" s="12">
        <v>26382.0</v>
      </c>
      <c r="D1934" s="11" t="str">
        <f t="shared" si="1"/>
        <v> </v>
      </c>
      <c r="E1934" s="11" t="str">
        <f t="shared" si="2"/>
        <v> </v>
      </c>
    </row>
    <row r="1935" ht="15.75" customHeight="1">
      <c r="A1935" s="11">
        <v>13095.0</v>
      </c>
      <c r="B1935" s="11" t="s">
        <v>1963</v>
      </c>
      <c r="C1935" s="12">
        <v>30073.0</v>
      </c>
      <c r="D1935" s="11" t="str">
        <f t="shared" si="1"/>
        <v> </v>
      </c>
      <c r="E1935" s="11" t="str">
        <f t="shared" si="2"/>
        <v> </v>
      </c>
    </row>
    <row r="1936" ht="15.75" customHeight="1">
      <c r="A1936" s="11">
        <v>13097.0</v>
      </c>
      <c r="B1936" s="11" t="s">
        <v>1964</v>
      </c>
      <c r="C1936" s="12">
        <v>16160.0</v>
      </c>
      <c r="D1936" s="11" t="str">
        <f t="shared" si="1"/>
        <v> </v>
      </c>
      <c r="E1936" s="11" t="str">
        <f t="shared" si="2"/>
        <v> </v>
      </c>
    </row>
    <row r="1937" ht="15.75" customHeight="1">
      <c r="A1937" s="11">
        <v>13098.0</v>
      </c>
      <c r="B1937" s="11" t="s">
        <v>1965</v>
      </c>
      <c r="C1937" s="12">
        <v>22044.0</v>
      </c>
      <c r="D1937" s="11" t="str">
        <f t="shared" si="1"/>
        <v> </v>
      </c>
      <c r="E1937" s="11" t="str">
        <f t="shared" si="2"/>
        <v> </v>
      </c>
    </row>
    <row r="1938" ht="15.75" customHeight="1">
      <c r="A1938" s="11">
        <v>13099.0</v>
      </c>
      <c r="B1938" s="11" t="s">
        <v>1966</v>
      </c>
      <c r="C1938" s="12">
        <v>21323.0</v>
      </c>
      <c r="D1938" s="11" t="str">
        <f t="shared" si="1"/>
        <v> </v>
      </c>
      <c r="E1938" s="11" t="str">
        <f t="shared" si="2"/>
        <v> </v>
      </c>
    </row>
    <row r="1939" ht="15.75" customHeight="1">
      <c r="A1939" s="11">
        <v>13100.0</v>
      </c>
      <c r="B1939" s="11" t="s">
        <v>1967</v>
      </c>
      <c r="C1939" s="12">
        <v>22421.0</v>
      </c>
      <c r="D1939" s="11" t="str">
        <f t="shared" si="1"/>
        <v> </v>
      </c>
      <c r="E1939" s="11" t="str">
        <f t="shared" si="2"/>
        <v> </v>
      </c>
    </row>
    <row r="1940" ht="15.75" customHeight="1">
      <c r="A1940" s="11">
        <v>13101.0</v>
      </c>
      <c r="B1940" s="11" t="s">
        <v>1968</v>
      </c>
      <c r="C1940" s="12">
        <v>11887.0</v>
      </c>
      <c r="D1940" s="11" t="str">
        <f t="shared" si="1"/>
        <v> </v>
      </c>
      <c r="E1940" s="11" t="str">
        <f t="shared" si="2"/>
        <v> </v>
      </c>
    </row>
    <row r="1941" ht="15.75" customHeight="1">
      <c r="A1941" s="11">
        <v>13103.0</v>
      </c>
      <c r="B1941" s="11" t="s">
        <v>1969</v>
      </c>
      <c r="C1941" s="12">
        <v>15756.0</v>
      </c>
      <c r="D1941" s="11" t="str">
        <f t="shared" si="1"/>
        <v> </v>
      </c>
      <c r="E1941" s="11" t="str">
        <f t="shared" si="2"/>
        <v> </v>
      </c>
    </row>
    <row r="1942" ht="15.75" customHeight="1">
      <c r="A1942" s="11">
        <v>13105.0</v>
      </c>
      <c r="B1942" s="11" t="s">
        <v>1970</v>
      </c>
      <c r="C1942" s="12">
        <v>23582.0</v>
      </c>
      <c r="D1942" s="11" t="str">
        <f t="shared" si="1"/>
        <v> </v>
      </c>
      <c r="E1942" s="11" t="str">
        <f t="shared" si="2"/>
        <v> </v>
      </c>
    </row>
    <row r="1943" ht="15.75" customHeight="1">
      <c r="A1943" s="11">
        <v>13106.0</v>
      </c>
      <c r="B1943" s="11" t="s">
        <v>1971</v>
      </c>
      <c r="C1943" s="12">
        <v>16337.0</v>
      </c>
      <c r="D1943" s="11" t="str">
        <f t="shared" si="1"/>
        <v> </v>
      </c>
      <c r="E1943" s="11" t="str">
        <f t="shared" si="2"/>
        <v> </v>
      </c>
    </row>
    <row r="1944" ht="15.75" customHeight="1">
      <c r="A1944" s="11">
        <v>13108.0</v>
      </c>
      <c r="B1944" s="11" t="s">
        <v>1972</v>
      </c>
      <c r="C1944" s="12">
        <v>22041.0</v>
      </c>
      <c r="D1944" s="11" t="str">
        <f t="shared" si="1"/>
        <v> </v>
      </c>
      <c r="E1944" s="11" t="str">
        <f t="shared" si="2"/>
        <v> </v>
      </c>
    </row>
    <row r="1945" ht="15.75" customHeight="1">
      <c r="A1945" s="11">
        <v>13109.0</v>
      </c>
      <c r="B1945" s="11" t="s">
        <v>1973</v>
      </c>
      <c r="C1945" s="12">
        <v>29219.0</v>
      </c>
      <c r="D1945" s="11" t="str">
        <f t="shared" si="1"/>
        <v> </v>
      </c>
      <c r="E1945" s="11" t="str">
        <f t="shared" si="2"/>
        <v> </v>
      </c>
    </row>
    <row r="1946" ht="15.75" customHeight="1">
      <c r="A1946" s="11">
        <v>13110.0</v>
      </c>
      <c r="B1946" s="11" t="s">
        <v>1974</v>
      </c>
      <c r="C1946" s="12">
        <v>20684.0</v>
      </c>
      <c r="D1946" s="11" t="str">
        <f t="shared" si="1"/>
        <v> </v>
      </c>
      <c r="E1946" s="11" t="str">
        <f t="shared" si="2"/>
        <v> </v>
      </c>
    </row>
    <row r="1947" ht="15.75" customHeight="1">
      <c r="A1947" s="11">
        <v>13111.0</v>
      </c>
      <c r="B1947" s="11" t="s">
        <v>1975</v>
      </c>
      <c r="C1947" s="12">
        <v>20919.0</v>
      </c>
      <c r="D1947" s="11" t="str">
        <f t="shared" si="1"/>
        <v> </v>
      </c>
      <c r="E1947" s="11" t="str">
        <f t="shared" si="2"/>
        <v> </v>
      </c>
    </row>
    <row r="1948" ht="15.75" customHeight="1">
      <c r="A1948" s="11">
        <v>13112.0</v>
      </c>
      <c r="B1948" s="11" t="s">
        <v>1976</v>
      </c>
      <c r="C1948" s="12">
        <v>28129.0</v>
      </c>
      <c r="D1948" s="11" t="str">
        <f t="shared" si="1"/>
        <v> </v>
      </c>
      <c r="E1948" s="11" t="str">
        <f t="shared" si="2"/>
        <v> </v>
      </c>
    </row>
    <row r="1949" ht="15.75" customHeight="1">
      <c r="A1949" s="11">
        <v>13113.0</v>
      </c>
      <c r="B1949" s="11" t="s">
        <v>1977</v>
      </c>
      <c r="C1949" s="12">
        <v>22753.0</v>
      </c>
      <c r="D1949" s="11" t="str">
        <f t="shared" si="1"/>
        <v> </v>
      </c>
      <c r="E1949" s="11" t="str">
        <f t="shared" si="2"/>
        <v> </v>
      </c>
    </row>
    <row r="1950" ht="15.75" customHeight="1">
      <c r="A1950" s="11">
        <v>13114.0</v>
      </c>
      <c r="B1950" s="11" t="s">
        <v>1978</v>
      </c>
      <c r="C1950" s="12">
        <v>24926.0</v>
      </c>
      <c r="D1950" s="11" t="str">
        <f t="shared" si="1"/>
        <v> </v>
      </c>
      <c r="E1950" s="11" t="str">
        <f t="shared" si="2"/>
        <v> </v>
      </c>
    </row>
    <row r="1951" ht="15.75" customHeight="1">
      <c r="A1951" s="11">
        <v>13115.0</v>
      </c>
      <c r="B1951" s="11" t="s">
        <v>1979</v>
      </c>
      <c r="C1951" s="12">
        <v>23761.0</v>
      </c>
      <c r="D1951" s="11" t="str">
        <f t="shared" si="1"/>
        <v> </v>
      </c>
      <c r="E1951" s="11" t="str">
        <f t="shared" si="2"/>
        <v> </v>
      </c>
    </row>
    <row r="1952" ht="15.75" customHeight="1">
      <c r="A1952" s="11">
        <v>13116.0</v>
      </c>
      <c r="B1952" s="11" t="s">
        <v>1980</v>
      </c>
      <c r="C1952" s="12">
        <v>22927.0</v>
      </c>
      <c r="D1952" s="11" t="str">
        <f t="shared" si="1"/>
        <v> </v>
      </c>
      <c r="E1952" s="11" t="str">
        <f t="shared" si="2"/>
        <v> </v>
      </c>
    </row>
    <row r="1953" ht="15.75" customHeight="1">
      <c r="A1953" s="11">
        <v>13117.0</v>
      </c>
      <c r="B1953" s="11" t="s">
        <v>1981</v>
      </c>
      <c r="C1953" s="12">
        <v>30717.0</v>
      </c>
      <c r="D1953" s="11" t="str">
        <f t="shared" si="1"/>
        <v> </v>
      </c>
      <c r="E1953" s="11" t="str">
        <f t="shared" si="2"/>
        <v> </v>
      </c>
    </row>
    <row r="1954" ht="15.75" customHeight="1">
      <c r="A1954" s="11">
        <v>13118.0</v>
      </c>
      <c r="B1954" s="11" t="s">
        <v>1982</v>
      </c>
      <c r="C1954" s="12">
        <v>19651.0</v>
      </c>
      <c r="D1954" s="11" t="str">
        <f t="shared" si="1"/>
        <v> </v>
      </c>
      <c r="E1954" s="11" t="str">
        <f t="shared" si="2"/>
        <v> </v>
      </c>
    </row>
    <row r="1955" ht="15.75" customHeight="1">
      <c r="A1955" s="11">
        <v>13119.0</v>
      </c>
      <c r="B1955" s="11" t="s">
        <v>1983</v>
      </c>
      <c r="C1955" s="12">
        <v>19599.0</v>
      </c>
      <c r="D1955" s="11" t="str">
        <f t="shared" si="1"/>
        <v> </v>
      </c>
      <c r="E1955" s="11" t="str">
        <f t="shared" si="2"/>
        <v> </v>
      </c>
    </row>
    <row r="1956" ht="15.75" customHeight="1">
      <c r="A1956" s="11">
        <v>13120.0</v>
      </c>
      <c r="B1956" s="11" t="s">
        <v>1984</v>
      </c>
      <c r="C1956" s="12">
        <v>22519.0</v>
      </c>
      <c r="D1956" s="11" t="str">
        <f t="shared" si="1"/>
        <v> </v>
      </c>
      <c r="E1956" s="11" t="str">
        <f t="shared" si="2"/>
        <v> </v>
      </c>
    </row>
    <row r="1957" ht="15.75" customHeight="1">
      <c r="A1957" s="11">
        <v>13121.0</v>
      </c>
      <c r="B1957" s="11" t="s">
        <v>1985</v>
      </c>
      <c r="C1957" s="12">
        <v>21470.0</v>
      </c>
      <c r="D1957" s="11" t="str">
        <f t="shared" si="1"/>
        <v> </v>
      </c>
      <c r="E1957" s="11" t="str">
        <f t="shared" si="2"/>
        <v> </v>
      </c>
    </row>
    <row r="1958" ht="15.75" customHeight="1">
      <c r="A1958" s="11">
        <v>13122.0</v>
      </c>
      <c r="B1958" s="11" t="s">
        <v>1986</v>
      </c>
      <c r="C1958" s="12">
        <v>26562.0</v>
      </c>
      <c r="D1958" s="11" t="str">
        <f t="shared" si="1"/>
        <v> </v>
      </c>
      <c r="E1958" s="11" t="str">
        <f t="shared" si="2"/>
        <v> </v>
      </c>
    </row>
    <row r="1959" ht="15.75" customHeight="1">
      <c r="A1959" s="11">
        <v>13123.0</v>
      </c>
      <c r="B1959" s="11" t="s">
        <v>1987</v>
      </c>
      <c r="C1959" s="12">
        <v>16969.0</v>
      </c>
      <c r="D1959" s="11" t="str">
        <f t="shared" si="1"/>
        <v> </v>
      </c>
      <c r="E1959" s="11" t="str">
        <f t="shared" si="2"/>
        <v> </v>
      </c>
    </row>
    <row r="1960" ht="15.75" customHeight="1">
      <c r="A1960" s="11">
        <v>13125.0</v>
      </c>
      <c r="B1960" s="11" t="s">
        <v>1988</v>
      </c>
      <c r="C1960" s="12">
        <v>21701.0</v>
      </c>
      <c r="D1960" s="11" t="str">
        <f t="shared" si="1"/>
        <v> </v>
      </c>
      <c r="E1960" s="11" t="str">
        <f t="shared" si="2"/>
        <v> </v>
      </c>
    </row>
    <row r="1961" ht="15.75" customHeight="1">
      <c r="A1961" s="11">
        <v>13126.0</v>
      </c>
      <c r="B1961" s="11" t="s">
        <v>1989</v>
      </c>
      <c r="C1961" s="12">
        <v>36795.0</v>
      </c>
      <c r="D1961" s="11" t="str">
        <f t="shared" si="1"/>
        <v> </v>
      </c>
      <c r="E1961" s="11" t="str">
        <f t="shared" si="2"/>
        <v> </v>
      </c>
    </row>
    <row r="1962" ht="15.75" customHeight="1">
      <c r="A1962" s="11">
        <v>13127.0</v>
      </c>
      <c r="B1962" s="11" t="s">
        <v>1990</v>
      </c>
      <c r="C1962" s="12">
        <v>21410.0</v>
      </c>
      <c r="D1962" s="11" t="str">
        <f t="shared" si="1"/>
        <v> </v>
      </c>
      <c r="E1962" s="11" t="str">
        <f t="shared" si="2"/>
        <v> </v>
      </c>
    </row>
    <row r="1963" ht="15.75" customHeight="1">
      <c r="A1963" s="11">
        <v>13129.0</v>
      </c>
      <c r="B1963" s="11" t="s">
        <v>1991</v>
      </c>
      <c r="C1963" s="12">
        <v>16956.0</v>
      </c>
      <c r="D1963" s="11" t="str">
        <f t="shared" si="1"/>
        <v> </v>
      </c>
      <c r="E1963" s="11" t="str">
        <f t="shared" si="2"/>
        <v> </v>
      </c>
    </row>
    <row r="1964" ht="15.75" customHeight="1">
      <c r="A1964" s="11">
        <v>13131.0</v>
      </c>
      <c r="B1964" s="11" t="s">
        <v>1992</v>
      </c>
      <c r="C1964" s="12">
        <v>10157.0</v>
      </c>
      <c r="D1964" s="11" t="str">
        <f t="shared" si="1"/>
        <v> </v>
      </c>
      <c r="E1964" s="11" t="str">
        <f t="shared" si="2"/>
        <v> </v>
      </c>
    </row>
    <row r="1965" ht="15.75" customHeight="1">
      <c r="A1965" s="11">
        <v>13133.0</v>
      </c>
      <c r="B1965" s="11" t="s">
        <v>1993</v>
      </c>
      <c r="C1965" s="12">
        <v>14302.0</v>
      </c>
      <c r="D1965" s="11" t="str">
        <f t="shared" si="1"/>
        <v> </v>
      </c>
      <c r="E1965" s="11" t="str">
        <f t="shared" si="2"/>
        <v> </v>
      </c>
    </row>
    <row r="1966" ht="15.75" customHeight="1">
      <c r="A1966" s="11">
        <v>13134.0</v>
      </c>
      <c r="B1966" s="11" t="s">
        <v>1994</v>
      </c>
      <c r="C1966" s="12">
        <v>19418.0</v>
      </c>
      <c r="D1966" s="11" t="str">
        <f t="shared" si="1"/>
        <v> </v>
      </c>
      <c r="E1966" s="11" t="str">
        <f t="shared" si="2"/>
        <v> </v>
      </c>
    </row>
    <row r="1967" ht="15.75" customHeight="1">
      <c r="A1967" s="11">
        <v>13135.0</v>
      </c>
      <c r="B1967" s="11" t="s">
        <v>1995</v>
      </c>
      <c r="C1967" s="12">
        <v>21114.0</v>
      </c>
      <c r="D1967" s="11" t="str">
        <f t="shared" si="1"/>
        <v> </v>
      </c>
      <c r="E1967" s="11" t="str">
        <f t="shared" si="2"/>
        <v> </v>
      </c>
    </row>
    <row r="1968" ht="15.75" customHeight="1">
      <c r="A1968" s="11">
        <v>13136.0</v>
      </c>
      <c r="B1968" s="11" t="s">
        <v>1996</v>
      </c>
      <c r="C1968" s="12">
        <v>15876.0</v>
      </c>
      <c r="D1968" s="11" t="str">
        <f t="shared" si="1"/>
        <v> </v>
      </c>
      <c r="E1968" s="11" t="str">
        <f t="shared" si="2"/>
        <v> </v>
      </c>
    </row>
    <row r="1969" ht="15.75" customHeight="1">
      <c r="A1969" s="11">
        <v>13137.0</v>
      </c>
      <c r="B1969" s="11" t="s">
        <v>1997</v>
      </c>
      <c r="C1969" s="12">
        <v>26539.0</v>
      </c>
      <c r="D1969" s="11" t="str">
        <f t="shared" si="1"/>
        <v> </v>
      </c>
      <c r="E1969" s="11" t="str">
        <f t="shared" si="2"/>
        <v> </v>
      </c>
    </row>
    <row r="1970" ht="15.75" customHeight="1">
      <c r="A1970" s="11">
        <v>13138.0</v>
      </c>
      <c r="B1970" s="11" t="s">
        <v>1998</v>
      </c>
      <c r="C1970" s="12">
        <v>16393.0</v>
      </c>
      <c r="D1970" s="11" t="str">
        <f t="shared" si="1"/>
        <v> </v>
      </c>
      <c r="E1970" s="11" t="str">
        <f t="shared" si="2"/>
        <v> </v>
      </c>
    </row>
    <row r="1971" ht="15.75" customHeight="1">
      <c r="A1971" s="11">
        <v>13139.0</v>
      </c>
      <c r="B1971" s="11" t="s">
        <v>1999</v>
      </c>
      <c r="C1971" s="12">
        <v>29676.0</v>
      </c>
      <c r="D1971" s="11" t="str">
        <f t="shared" si="1"/>
        <v> </v>
      </c>
      <c r="E1971" s="11" t="str">
        <f t="shared" si="2"/>
        <v> </v>
      </c>
    </row>
    <row r="1972" ht="15.75" customHeight="1">
      <c r="A1972" s="11">
        <v>13141.0</v>
      </c>
      <c r="B1972" s="11" t="s">
        <v>2000</v>
      </c>
      <c r="C1972" s="12">
        <v>20017.0</v>
      </c>
      <c r="D1972" s="11" t="str">
        <f t="shared" si="1"/>
        <v> </v>
      </c>
      <c r="E1972" s="11" t="str">
        <f t="shared" si="2"/>
        <v> </v>
      </c>
    </row>
    <row r="1973" ht="15.75" customHeight="1">
      <c r="A1973" s="11">
        <v>13142.0</v>
      </c>
      <c r="B1973" s="11" t="s">
        <v>2001</v>
      </c>
      <c r="C1973" s="12">
        <v>17688.0</v>
      </c>
      <c r="D1973" s="11" t="str">
        <f t="shared" si="1"/>
        <v> </v>
      </c>
      <c r="E1973" s="11" t="str">
        <f t="shared" si="2"/>
        <v> </v>
      </c>
    </row>
    <row r="1974" ht="15.75" customHeight="1">
      <c r="A1974" s="11">
        <v>13143.0</v>
      </c>
      <c r="B1974" s="11" t="s">
        <v>2002</v>
      </c>
      <c r="C1974" s="12">
        <v>16616.0</v>
      </c>
      <c r="D1974" s="11" t="str">
        <f t="shared" si="1"/>
        <v> </v>
      </c>
      <c r="E1974" s="11" t="str">
        <f t="shared" si="2"/>
        <v> </v>
      </c>
    </row>
    <row r="1975" ht="15.75" customHeight="1">
      <c r="A1975" s="11">
        <v>13145.0</v>
      </c>
      <c r="B1975" s="11" t="s">
        <v>2003</v>
      </c>
      <c r="C1975" s="12">
        <v>10543.0</v>
      </c>
      <c r="D1975" s="11" t="str">
        <f t="shared" si="1"/>
        <v> </v>
      </c>
      <c r="E1975" s="11" t="str">
        <f t="shared" si="2"/>
        <v> </v>
      </c>
    </row>
    <row r="1976" ht="15.75" customHeight="1">
      <c r="A1976" s="11">
        <v>13147.0</v>
      </c>
      <c r="B1976" s="11" t="s">
        <v>2004</v>
      </c>
      <c r="C1976" s="12">
        <v>23337.0</v>
      </c>
      <c r="D1976" s="11" t="str">
        <f t="shared" si="1"/>
        <v> </v>
      </c>
      <c r="E1976" s="11" t="str">
        <f t="shared" si="2"/>
        <v> </v>
      </c>
    </row>
    <row r="1977" ht="15.75" customHeight="1">
      <c r="A1977" s="11">
        <v>13148.0</v>
      </c>
      <c r="B1977" s="11" t="s">
        <v>2005</v>
      </c>
      <c r="C1977" s="12">
        <v>22367.0</v>
      </c>
      <c r="D1977" s="11" t="str">
        <f t="shared" si="1"/>
        <v> </v>
      </c>
      <c r="E1977" s="11" t="str">
        <f t="shared" si="2"/>
        <v> </v>
      </c>
    </row>
    <row r="1978" ht="15.75" customHeight="1">
      <c r="A1978" s="11">
        <v>13151.0</v>
      </c>
      <c r="B1978" s="11" t="s">
        <v>2006</v>
      </c>
      <c r="C1978" s="12">
        <v>16195.0</v>
      </c>
      <c r="D1978" s="11" t="str">
        <f t="shared" si="1"/>
        <v> </v>
      </c>
      <c r="E1978" s="11" t="str">
        <f t="shared" si="2"/>
        <v> </v>
      </c>
    </row>
    <row r="1979" ht="15.75" customHeight="1">
      <c r="A1979" s="11">
        <v>13152.0</v>
      </c>
      <c r="B1979" s="11" t="s">
        <v>2007</v>
      </c>
      <c r="C1979" s="12">
        <v>18561.0</v>
      </c>
      <c r="D1979" s="11" t="str">
        <f t="shared" si="1"/>
        <v> </v>
      </c>
      <c r="E1979" s="11" t="str">
        <f t="shared" si="2"/>
        <v> </v>
      </c>
    </row>
    <row r="1980" ht="15.75" customHeight="1">
      <c r="A1980" s="11">
        <v>13154.0</v>
      </c>
      <c r="B1980" s="11" t="s">
        <v>2008</v>
      </c>
      <c r="C1980" s="12">
        <v>21703.0</v>
      </c>
      <c r="D1980" s="11" t="str">
        <f t="shared" si="1"/>
        <v> </v>
      </c>
      <c r="E1980" s="11" t="str">
        <f t="shared" si="2"/>
        <v> </v>
      </c>
    </row>
    <row r="1981" ht="15.75" customHeight="1">
      <c r="A1981" s="11">
        <v>13155.0</v>
      </c>
      <c r="B1981" s="11" t="s">
        <v>2009</v>
      </c>
      <c r="C1981" s="12">
        <v>19354.0</v>
      </c>
      <c r="D1981" s="11" t="str">
        <f t="shared" si="1"/>
        <v> </v>
      </c>
      <c r="E1981" s="11" t="str">
        <f t="shared" si="2"/>
        <v> </v>
      </c>
    </row>
    <row r="1982" ht="15.75" customHeight="1">
      <c r="A1982" s="11">
        <v>13156.0</v>
      </c>
      <c r="B1982" s="11" t="s">
        <v>2010</v>
      </c>
      <c r="C1982" s="12">
        <v>17173.0</v>
      </c>
      <c r="D1982" s="11" t="str">
        <f t="shared" si="1"/>
        <v> </v>
      </c>
      <c r="E1982" s="11" t="str">
        <f t="shared" si="2"/>
        <v> </v>
      </c>
    </row>
    <row r="1983" ht="15.75" customHeight="1">
      <c r="A1983" s="11">
        <v>13157.0</v>
      </c>
      <c r="B1983" s="11" t="s">
        <v>2011</v>
      </c>
      <c r="C1983" s="12">
        <v>24796.0</v>
      </c>
      <c r="D1983" s="11" t="str">
        <f t="shared" si="1"/>
        <v> </v>
      </c>
      <c r="E1983" s="11" t="str">
        <f t="shared" si="2"/>
        <v> </v>
      </c>
    </row>
    <row r="1984" ht="15.75" customHeight="1">
      <c r="A1984" s="11">
        <v>13158.0</v>
      </c>
      <c r="B1984" s="11" t="s">
        <v>2012</v>
      </c>
      <c r="C1984" s="12">
        <v>15817.0</v>
      </c>
      <c r="D1984" s="11" t="str">
        <f t="shared" si="1"/>
        <v> </v>
      </c>
      <c r="E1984" s="11" t="str">
        <f t="shared" si="2"/>
        <v> </v>
      </c>
    </row>
    <row r="1985" ht="15.75" customHeight="1">
      <c r="A1985" s="11">
        <v>13159.0</v>
      </c>
      <c r="B1985" s="11" t="s">
        <v>2013</v>
      </c>
      <c r="C1985" s="12">
        <v>14395.0</v>
      </c>
      <c r="D1985" s="11" t="str">
        <f t="shared" si="1"/>
        <v> </v>
      </c>
      <c r="E1985" s="11" t="str">
        <f t="shared" si="2"/>
        <v> </v>
      </c>
    </row>
    <row r="1986" ht="15.75" customHeight="1">
      <c r="A1986" s="11">
        <v>13160.0</v>
      </c>
      <c r="B1986" s="11" t="s">
        <v>2014</v>
      </c>
      <c r="C1986" s="12">
        <v>16977.0</v>
      </c>
      <c r="D1986" s="11" t="str">
        <f t="shared" si="1"/>
        <v> </v>
      </c>
      <c r="E1986" s="11" t="str">
        <f t="shared" si="2"/>
        <v> </v>
      </c>
    </row>
    <row r="1987" ht="15.75" customHeight="1">
      <c r="A1987" s="11">
        <v>13161.0</v>
      </c>
      <c r="B1987" s="11" t="s">
        <v>2015</v>
      </c>
      <c r="C1987" s="12">
        <v>29344.0</v>
      </c>
      <c r="D1987" s="11" t="str">
        <f t="shared" si="1"/>
        <v> </v>
      </c>
      <c r="E1987" s="11" t="str">
        <f t="shared" si="2"/>
        <v> </v>
      </c>
    </row>
    <row r="1988" ht="15.75" customHeight="1">
      <c r="A1988" s="11">
        <v>13162.0</v>
      </c>
      <c r="B1988" s="11" t="s">
        <v>2016</v>
      </c>
      <c r="C1988" s="12">
        <v>18435.0</v>
      </c>
      <c r="D1988" s="11" t="str">
        <f t="shared" si="1"/>
        <v> </v>
      </c>
      <c r="E1988" s="11" t="str">
        <f t="shared" si="2"/>
        <v> </v>
      </c>
    </row>
    <row r="1989" ht="15.75" customHeight="1">
      <c r="A1989" s="11">
        <v>13163.0</v>
      </c>
      <c r="B1989" s="11" t="s">
        <v>2017</v>
      </c>
      <c r="C1989" s="12">
        <v>19997.0</v>
      </c>
      <c r="D1989" s="11" t="str">
        <f t="shared" si="1"/>
        <v> </v>
      </c>
      <c r="E1989" s="11" t="str">
        <f t="shared" si="2"/>
        <v> </v>
      </c>
    </row>
    <row r="1990" ht="15.75" customHeight="1">
      <c r="A1990" s="11">
        <v>13164.0</v>
      </c>
      <c r="B1990" s="11" t="s">
        <v>2018</v>
      </c>
      <c r="C1990" s="12">
        <v>29818.0</v>
      </c>
      <c r="D1990" s="11" t="str">
        <f t="shared" si="1"/>
        <v> </v>
      </c>
      <c r="E1990" s="11" t="str">
        <f t="shared" si="2"/>
        <v> </v>
      </c>
    </row>
    <row r="1991" ht="15.75" customHeight="1">
      <c r="A1991" s="11">
        <v>13165.0</v>
      </c>
      <c r="B1991" s="11" t="s">
        <v>2019</v>
      </c>
      <c r="C1991" s="12">
        <v>16689.0</v>
      </c>
      <c r="D1991" s="11" t="str">
        <f t="shared" si="1"/>
        <v> </v>
      </c>
      <c r="E1991" s="11" t="str">
        <f t="shared" si="2"/>
        <v> </v>
      </c>
    </row>
    <row r="1992" ht="15.75" customHeight="1">
      <c r="A1992" s="11">
        <v>13166.0</v>
      </c>
      <c r="B1992" s="11" t="s">
        <v>2020</v>
      </c>
      <c r="C1992" s="12">
        <v>26645.0</v>
      </c>
      <c r="D1992" s="11" t="str">
        <f t="shared" si="1"/>
        <v> </v>
      </c>
      <c r="E1992" s="11" t="str">
        <f t="shared" si="2"/>
        <v> </v>
      </c>
    </row>
    <row r="1993" ht="15.75" customHeight="1">
      <c r="A1993" s="11">
        <v>13167.0</v>
      </c>
      <c r="B1993" s="11" t="s">
        <v>2021</v>
      </c>
      <c r="C1993" s="12">
        <v>14721.0</v>
      </c>
      <c r="D1993" s="11" t="str">
        <f t="shared" si="1"/>
        <v> </v>
      </c>
      <c r="E1993" s="11" t="str">
        <f t="shared" si="2"/>
        <v> </v>
      </c>
    </row>
    <row r="1994" ht="15.75" customHeight="1">
      <c r="A1994" s="11">
        <v>13168.0</v>
      </c>
      <c r="B1994" s="11" t="s">
        <v>2022</v>
      </c>
      <c r="C1994" s="12">
        <v>23564.0</v>
      </c>
      <c r="D1994" s="11" t="str">
        <f t="shared" si="1"/>
        <v> </v>
      </c>
      <c r="E1994" s="11" t="str">
        <f t="shared" si="2"/>
        <v> </v>
      </c>
    </row>
    <row r="1995" ht="15.75" customHeight="1">
      <c r="A1995" s="11">
        <v>13170.0</v>
      </c>
      <c r="B1995" s="11" t="s">
        <v>2023</v>
      </c>
      <c r="C1995" s="12">
        <v>20543.0</v>
      </c>
      <c r="D1995" s="11" t="str">
        <f t="shared" si="1"/>
        <v> </v>
      </c>
      <c r="E1995" s="11" t="str">
        <f t="shared" si="2"/>
        <v> </v>
      </c>
    </row>
    <row r="1996" ht="15.75" customHeight="1">
      <c r="A1996" s="11">
        <v>13172.0</v>
      </c>
      <c r="B1996" s="11" t="s">
        <v>2024</v>
      </c>
      <c r="C1996" s="12">
        <v>15766.0</v>
      </c>
      <c r="D1996" s="11" t="str">
        <f t="shared" si="1"/>
        <v> </v>
      </c>
      <c r="E1996" s="11" t="str">
        <f t="shared" si="2"/>
        <v> </v>
      </c>
    </row>
    <row r="1997" ht="15.75" customHeight="1">
      <c r="A1997" s="11">
        <v>13173.0</v>
      </c>
      <c r="B1997" s="11" t="s">
        <v>2025</v>
      </c>
      <c r="C1997" s="12">
        <v>18441.0</v>
      </c>
      <c r="D1997" s="11" t="str">
        <f t="shared" si="1"/>
        <v> </v>
      </c>
      <c r="E1997" s="11" t="str">
        <f t="shared" si="2"/>
        <v> </v>
      </c>
    </row>
    <row r="1998" ht="15.75" customHeight="1">
      <c r="A1998" s="11">
        <v>13175.0</v>
      </c>
      <c r="B1998" s="11" t="s">
        <v>2026</v>
      </c>
      <c r="C1998" s="12">
        <v>22622.0</v>
      </c>
      <c r="D1998" s="11" t="str">
        <f t="shared" si="1"/>
        <v> </v>
      </c>
      <c r="E1998" s="11" t="str">
        <f t="shared" si="2"/>
        <v> </v>
      </c>
    </row>
    <row r="1999" ht="15.75" customHeight="1">
      <c r="A1999" s="11">
        <v>13176.0</v>
      </c>
      <c r="B1999" s="11" t="s">
        <v>2027</v>
      </c>
      <c r="C1999" s="12">
        <v>18491.0</v>
      </c>
      <c r="D1999" s="11" t="str">
        <f t="shared" si="1"/>
        <v> </v>
      </c>
      <c r="E1999" s="11" t="str">
        <f t="shared" si="2"/>
        <v> </v>
      </c>
    </row>
    <row r="2000" ht="15.75" customHeight="1">
      <c r="A2000" s="11">
        <v>13177.0</v>
      </c>
      <c r="B2000" s="11" t="s">
        <v>2028</v>
      </c>
      <c r="C2000" s="12">
        <v>18220.0</v>
      </c>
      <c r="D2000" s="11" t="str">
        <f t="shared" si="1"/>
        <v> </v>
      </c>
      <c r="E2000" s="11" t="str">
        <f t="shared" si="2"/>
        <v> </v>
      </c>
    </row>
    <row r="2001" ht="15.75" customHeight="1">
      <c r="A2001" s="11">
        <v>13178.0</v>
      </c>
      <c r="B2001" s="11" t="s">
        <v>2029</v>
      </c>
      <c r="C2001" s="12">
        <v>17144.0</v>
      </c>
      <c r="D2001" s="11" t="str">
        <f t="shared" si="1"/>
        <v> </v>
      </c>
      <c r="E2001" s="11" t="str">
        <f t="shared" si="2"/>
        <v> </v>
      </c>
    </row>
    <row r="2002" ht="15.75" customHeight="1">
      <c r="A2002" s="11">
        <v>13179.0</v>
      </c>
      <c r="B2002" s="11" t="s">
        <v>2030</v>
      </c>
      <c r="C2002" s="12">
        <v>22004.0</v>
      </c>
      <c r="D2002" s="11" t="str">
        <f t="shared" si="1"/>
        <v> </v>
      </c>
      <c r="E2002" s="11" t="str">
        <f t="shared" si="2"/>
        <v> </v>
      </c>
    </row>
    <row r="2003" ht="15.75" customHeight="1">
      <c r="A2003" s="11">
        <v>13180.0</v>
      </c>
      <c r="B2003" s="11" t="s">
        <v>2031</v>
      </c>
      <c r="C2003" s="12">
        <v>14986.0</v>
      </c>
      <c r="D2003" s="11" t="str">
        <f t="shared" si="1"/>
        <v> </v>
      </c>
      <c r="E2003" s="11" t="str">
        <f t="shared" si="2"/>
        <v> </v>
      </c>
    </row>
    <row r="2004" ht="15.75" customHeight="1">
      <c r="A2004" s="11">
        <v>13182.0</v>
      </c>
      <c r="B2004" s="11" t="s">
        <v>2032</v>
      </c>
      <c r="C2004" s="12">
        <v>25850.0</v>
      </c>
      <c r="D2004" s="11" t="str">
        <f t="shared" si="1"/>
        <v> </v>
      </c>
      <c r="E2004" s="11" t="str">
        <f t="shared" si="2"/>
        <v> </v>
      </c>
    </row>
    <row r="2005" ht="15.75" customHeight="1">
      <c r="A2005" s="11">
        <v>13183.0</v>
      </c>
      <c r="B2005" s="11" t="s">
        <v>2033</v>
      </c>
      <c r="C2005" s="12">
        <v>32643.0</v>
      </c>
      <c r="D2005" s="11" t="str">
        <f t="shared" si="1"/>
        <v> </v>
      </c>
      <c r="E2005" s="11" t="str">
        <f t="shared" si="2"/>
        <v> </v>
      </c>
    </row>
    <row r="2006" ht="15.75" customHeight="1">
      <c r="A2006" s="11">
        <v>13184.0</v>
      </c>
      <c r="B2006" s="11" t="s">
        <v>2034</v>
      </c>
      <c r="C2006" s="12">
        <v>16603.0</v>
      </c>
      <c r="D2006" s="11" t="str">
        <f t="shared" si="1"/>
        <v> </v>
      </c>
      <c r="E2006" s="11" t="str">
        <f t="shared" si="2"/>
        <v> </v>
      </c>
    </row>
    <row r="2007" ht="15.75" customHeight="1">
      <c r="A2007" s="11">
        <v>13185.0</v>
      </c>
      <c r="B2007" s="11" t="s">
        <v>2035</v>
      </c>
      <c r="C2007" s="12">
        <v>25611.0</v>
      </c>
      <c r="D2007" s="11" t="str">
        <f t="shared" si="1"/>
        <v> </v>
      </c>
      <c r="E2007" s="11" t="str">
        <f t="shared" si="2"/>
        <v> </v>
      </c>
    </row>
    <row r="2008" ht="15.75" customHeight="1">
      <c r="A2008" s="11">
        <v>13186.0</v>
      </c>
      <c r="B2008" s="11" t="s">
        <v>2036</v>
      </c>
      <c r="C2008" s="12">
        <v>18239.0</v>
      </c>
      <c r="D2008" s="11" t="str">
        <f t="shared" si="1"/>
        <v> </v>
      </c>
      <c r="E2008" s="11" t="str">
        <f t="shared" si="2"/>
        <v> </v>
      </c>
    </row>
    <row r="2009" ht="15.75" customHeight="1">
      <c r="A2009" s="11">
        <v>13187.0</v>
      </c>
      <c r="B2009" s="11" t="s">
        <v>2037</v>
      </c>
      <c r="C2009" s="12">
        <v>20156.0</v>
      </c>
      <c r="D2009" s="11" t="str">
        <f t="shared" si="1"/>
        <v> </v>
      </c>
      <c r="E2009" s="11" t="str">
        <f t="shared" si="2"/>
        <v>Repeat</v>
      </c>
    </row>
    <row r="2010" ht="15.75" customHeight="1">
      <c r="A2010" s="11">
        <v>13188.0</v>
      </c>
      <c r="B2010" s="11" t="s">
        <v>2038</v>
      </c>
      <c r="C2010" s="12">
        <v>30647.0</v>
      </c>
      <c r="D2010" s="11" t="str">
        <f t="shared" si="1"/>
        <v> </v>
      </c>
      <c r="E2010" s="11" t="str">
        <f t="shared" si="2"/>
        <v> </v>
      </c>
    </row>
    <row r="2011" ht="15.75" customHeight="1">
      <c r="A2011" s="11">
        <v>13189.0</v>
      </c>
      <c r="B2011" s="11" t="s">
        <v>2039</v>
      </c>
      <c r="C2011" s="12">
        <v>14536.0</v>
      </c>
      <c r="D2011" s="11" t="str">
        <f t="shared" si="1"/>
        <v> </v>
      </c>
      <c r="E2011" s="11" t="str">
        <f t="shared" si="2"/>
        <v> </v>
      </c>
    </row>
    <row r="2012" ht="15.75" customHeight="1">
      <c r="A2012" s="11">
        <v>13190.0</v>
      </c>
      <c r="B2012" s="11" t="s">
        <v>2040</v>
      </c>
      <c r="C2012" s="12">
        <v>16384.0</v>
      </c>
      <c r="D2012" s="11" t="str">
        <f t="shared" si="1"/>
        <v> </v>
      </c>
      <c r="E2012" s="11" t="str">
        <f t="shared" si="2"/>
        <v> </v>
      </c>
    </row>
    <row r="2013" ht="15.75" customHeight="1">
      <c r="A2013" s="11">
        <v>13193.0</v>
      </c>
      <c r="B2013" s="11" t="s">
        <v>2041</v>
      </c>
      <c r="C2013" s="12">
        <v>19682.0</v>
      </c>
      <c r="D2013" s="11" t="str">
        <f t="shared" si="1"/>
        <v> </v>
      </c>
      <c r="E2013" s="11" t="str">
        <f t="shared" si="2"/>
        <v> </v>
      </c>
    </row>
    <row r="2014" ht="15.75" customHeight="1">
      <c r="A2014" s="11">
        <v>13194.0</v>
      </c>
      <c r="B2014" s="11" t="s">
        <v>2042</v>
      </c>
      <c r="C2014" s="12">
        <v>24353.0</v>
      </c>
      <c r="D2014" s="11" t="str">
        <f t="shared" si="1"/>
        <v> </v>
      </c>
      <c r="E2014" s="11" t="str">
        <f t="shared" si="2"/>
        <v> </v>
      </c>
    </row>
    <row r="2015" ht="15.75" customHeight="1">
      <c r="A2015" s="11">
        <v>13198.0</v>
      </c>
      <c r="B2015" s="11" t="s">
        <v>2043</v>
      </c>
      <c r="C2015" s="12">
        <v>21237.0</v>
      </c>
      <c r="D2015" s="11" t="str">
        <f t="shared" si="1"/>
        <v> </v>
      </c>
      <c r="E2015" s="11" t="str">
        <f t="shared" si="2"/>
        <v> </v>
      </c>
    </row>
    <row r="2016" ht="15.75" customHeight="1">
      <c r="A2016" s="11">
        <v>13199.0</v>
      </c>
      <c r="B2016" s="11" t="s">
        <v>2044</v>
      </c>
      <c r="C2016" s="12">
        <v>31390.0</v>
      </c>
      <c r="D2016" s="11" t="str">
        <f t="shared" si="1"/>
        <v> </v>
      </c>
      <c r="E2016" s="11" t="str">
        <f t="shared" si="2"/>
        <v> </v>
      </c>
    </row>
    <row r="2017" ht="15.75" customHeight="1">
      <c r="A2017" s="11">
        <v>13200.0</v>
      </c>
      <c r="B2017" s="11" t="s">
        <v>2045</v>
      </c>
      <c r="C2017" s="12">
        <v>28504.0</v>
      </c>
      <c r="D2017" s="11" t="str">
        <f t="shared" si="1"/>
        <v> </v>
      </c>
      <c r="E2017" s="11" t="str">
        <f t="shared" si="2"/>
        <v> </v>
      </c>
    </row>
    <row r="2018" ht="15.75" customHeight="1">
      <c r="A2018" s="11">
        <v>13201.0</v>
      </c>
      <c r="B2018" s="11" t="s">
        <v>2046</v>
      </c>
      <c r="C2018" s="12">
        <v>12899.0</v>
      </c>
      <c r="D2018" s="11" t="str">
        <f t="shared" si="1"/>
        <v> </v>
      </c>
      <c r="E2018" s="11" t="str">
        <f t="shared" si="2"/>
        <v> </v>
      </c>
    </row>
    <row r="2019" ht="15.75" customHeight="1">
      <c r="A2019" s="11">
        <v>13202.0</v>
      </c>
      <c r="B2019" s="11" t="s">
        <v>2047</v>
      </c>
      <c r="C2019" s="12">
        <v>28992.0</v>
      </c>
      <c r="D2019" s="11" t="str">
        <f t="shared" si="1"/>
        <v> </v>
      </c>
      <c r="E2019" s="11" t="str">
        <f t="shared" si="2"/>
        <v> </v>
      </c>
    </row>
    <row r="2020" ht="15.75" customHeight="1">
      <c r="A2020" s="11">
        <v>13203.0</v>
      </c>
      <c r="B2020" s="11" t="s">
        <v>2048</v>
      </c>
      <c r="C2020" s="12">
        <v>27567.0</v>
      </c>
      <c r="D2020" s="11" t="str">
        <f t="shared" si="1"/>
        <v> </v>
      </c>
      <c r="E2020" s="11" t="str">
        <f t="shared" si="2"/>
        <v> </v>
      </c>
    </row>
    <row r="2021" ht="15.75" customHeight="1">
      <c r="A2021" s="11">
        <v>13205.0</v>
      </c>
      <c r="B2021" s="11" t="s">
        <v>2049</v>
      </c>
      <c r="C2021" s="12">
        <v>30581.0</v>
      </c>
      <c r="D2021" s="11" t="str">
        <f t="shared" si="1"/>
        <v> </v>
      </c>
      <c r="E2021" s="11" t="str">
        <f t="shared" si="2"/>
        <v> </v>
      </c>
    </row>
    <row r="2022" ht="15.75" customHeight="1">
      <c r="A2022" s="11">
        <v>13207.0</v>
      </c>
      <c r="B2022" s="11" t="s">
        <v>2050</v>
      </c>
      <c r="C2022" s="12">
        <v>16382.0</v>
      </c>
      <c r="D2022" s="11" t="str">
        <f t="shared" si="1"/>
        <v> </v>
      </c>
      <c r="E2022" s="11" t="str">
        <f t="shared" si="2"/>
        <v> </v>
      </c>
    </row>
    <row r="2023" ht="15.75" customHeight="1">
      <c r="A2023" s="11">
        <v>13208.0</v>
      </c>
      <c r="B2023" s="11" t="s">
        <v>2051</v>
      </c>
      <c r="C2023" s="12">
        <v>14296.0</v>
      </c>
      <c r="D2023" s="11" t="str">
        <f t="shared" si="1"/>
        <v> </v>
      </c>
      <c r="E2023" s="11" t="str">
        <f t="shared" si="2"/>
        <v> </v>
      </c>
    </row>
    <row r="2024" ht="15.75" customHeight="1">
      <c r="A2024" s="11">
        <v>13209.0</v>
      </c>
      <c r="B2024" s="11" t="s">
        <v>2052</v>
      </c>
      <c r="C2024" s="12">
        <v>16109.0</v>
      </c>
      <c r="D2024" s="11" t="str">
        <f t="shared" si="1"/>
        <v> </v>
      </c>
      <c r="E2024" s="11" t="str">
        <f t="shared" si="2"/>
        <v> </v>
      </c>
    </row>
    <row r="2025" ht="15.75" customHeight="1">
      <c r="A2025" s="11">
        <v>13210.0</v>
      </c>
      <c r="B2025" s="11" t="s">
        <v>2053</v>
      </c>
      <c r="C2025" s="12">
        <v>9639.0</v>
      </c>
      <c r="D2025" s="11" t="str">
        <f t="shared" si="1"/>
        <v> </v>
      </c>
      <c r="E2025" s="11" t="str">
        <f t="shared" si="2"/>
        <v> </v>
      </c>
    </row>
    <row r="2026" ht="15.75" customHeight="1">
      <c r="A2026" s="11">
        <v>13211.0</v>
      </c>
      <c r="B2026" s="11" t="s">
        <v>2054</v>
      </c>
      <c r="C2026" s="12">
        <v>10769.0</v>
      </c>
      <c r="D2026" s="11" t="str">
        <f t="shared" si="1"/>
        <v>Repeat</v>
      </c>
      <c r="E2026" s="11" t="str">
        <f t="shared" si="2"/>
        <v> </v>
      </c>
    </row>
    <row r="2027" ht="15.75" customHeight="1">
      <c r="A2027" s="11">
        <v>13212.0</v>
      </c>
      <c r="B2027" s="11" t="s">
        <v>2055</v>
      </c>
      <c r="C2027" s="12">
        <v>16689.0</v>
      </c>
      <c r="D2027" s="11" t="str">
        <f t="shared" si="1"/>
        <v> </v>
      </c>
      <c r="E2027" s="11" t="str">
        <f t="shared" si="2"/>
        <v> </v>
      </c>
    </row>
    <row r="2028" ht="15.75" customHeight="1">
      <c r="A2028" s="11">
        <v>13213.0</v>
      </c>
      <c r="B2028" s="11" t="s">
        <v>2056</v>
      </c>
      <c r="C2028" s="12">
        <v>11246.0</v>
      </c>
      <c r="D2028" s="11" t="str">
        <f t="shared" si="1"/>
        <v> </v>
      </c>
      <c r="E2028" s="11" t="str">
        <f t="shared" si="2"/>
        <v> </v>
      </c>
    </row>
    <row r="2029" ht="15.75" customHeight="1">
      <c r="A2029" s="11">
        <v>13214.0</v>
      </c>
      <c r="B2029" s="11" t="s">
        <v>2057</v>
      </c>
      <c r="C2029" s="12">
        <v>23305.0</v>
      </c>
      <c r="D2029" s="11" t="str">
        <f t="shared" si="1"/>
        <v> </v>
      </c>
      <c r="E2029" s="11" t="str">
        <f t="shared" si="2"/>
        <v> </v>
      </c>
    </row>
    <row r="2030" ht="15.75" customHeight="1">
      <c r="A2030" s="11">
        <v>13215.0</v>
      </c>
      <c r="B2030" s="11" t="s">
        <v>2058</v>
      </c>
      <c r="C2030" s="12">
        <v>20143.0</v>
      </c>
      <c r="D2030" s="11" t="str">
        <f t="shared" si="1"/>
        <v> </v>
      </c>
      <c r="E2030" s="11" t="str">
        <f t="shared" si="2"/>
        <v> </v>
      </c>
    </row>
    <row r="2031" ht="15.75" customHeight="1">
      <c r="A2031" s="11">
        <v>13216.0</v>
      </c>
      <c r="B2031" s="11" t="s">
        <v>2059</v>
      </c>
      <c r="C2031" s="12">
        <v>17675.0</v>
      </c>
      <c r="D2031" s="11" t="str">
        <f t="shared" si="1"/>
        <v> </v>
      </c>
      <c r="E2031" s="11" t="str">
        <f t="shared" si="2"/>
        <v> </v>
      </c>
    </row>
    <row r="2032" ht="15.75" customHeight="1">
      <c r="A2032" s="11">
        <v>13217.0</v>
      </c>
      <c r="B2032" s="11" t="s">
        <v>2060</v>
      </c>
      <c r="C2032" s="12">
        <v>17043.0</v>
      </c>
      <c r="D2032" s="11" t="str">
        <f t="shared" si="1"/>
        <v> </v>
      </c>
      <c r="E2032" s="11" t="str">
        <f t="shared" si="2"/>
        <v> </v>
      </c>
    </row>
    <row r="2033" ht="15.75" customHeight="1">
      <c r="A2033" s="11">
        <v>13218.0</v>
      </c>
      <c r="B2033" s="11" t="s">
        <v>2061</v>
      </c>
      <c r="C2033" s="12">
        <v>27002.0</v>
      </c>
      <c r="D2033" s="11" t="str">
        <f t="shared" si="1"/>
        <v> </v>
      </c>
      <c r="E2033" s="11" t="str">
        <f t="shared" si="2"/>
        <v> </v>
      </c>
    </row>
    <row r="2034" ht="15.75" customHeight="1">
      <c r="A2034" s="11">
        <v>13219.0</v>
      </c>
      <c r="B2034" s="11" t="s">
        <v>2062</v>
      </c>
      <c r="C2034" s="12">
        <v>28182.0</v>
      </c>
      <c r="D2034" s="11" t="str">
        <f t="shared" si="1"/>
        <v> </v>
      </c>
      <c r="E2034" s="11" t="str">
        <f t="shared" si="2"/>
        <v> </v>
      </c>
    </row>
    <row r="2035" ht="15.75" customHeight="1">
      <c r="A2035" s="11">
        <v>13220.0</v>
      </c>
      <c r="B2035" s="11" t="s">
        <v>2063</v>
      </c>
      <c r="C2035" s="12">
        <v>38379.0</v>
      </c>
      <c r="D2035" s="11" t="str">
        <f t="shared" si="1"/>
        <v> </v>
      </c>
      <c r="E2035" s="11" t="str">
        <f t="shared" si="2"/>
        <v> </v>
      </c>
    </row>
    <row r="2036" ht="15.75" customHeight="1">
      <c r="A2036" s="11">
        <v>13221.0</v>
      </c>
      <c r="B2036" s="11" t="s">
        <v>2064</v>
      </c>
      <c r="C2036" s="12">
        <v>14945.0</v>
      </c>
      <c r="D2036" s="11" t="str">
        <f t="shared" si="1"/>
        <v> </v>
      </c>
      <c r="E2036" s="11" t="str">
        <f t="shared" si="2"/>
        <v> </v>
      </c>
    </row>
    <row r="2037" ht="15.75" customHeight="1">
      <c r="A2037" s="11">
        <v>13222.0</v>
      </c>
      <c r="B2037" s="11" t="s">
        <v>2065</v>
      </c>
      <c r="C2037" s="12">
        <v>22150.0</v>
      </c>
      <c r="D2037" s="11" t="str">
        <f t="shared" si="1"/>
        <v> </v>
      </c>
      <c r="E2037" s="11" t="str">
        <f t="shared" si="2"/>
        <v> </v>
      </c>
    </row>
    <row r="2038" ht="15.75" customHeight="1">
      <c r="A2038" s="11">
        <v>13223.0</v>
      </c>
      <c r="B2038" s="11" t="s">
        <v>2066</v>
      </c>
      <c r="C2038" s="12">
        <v>11749.0</v>
      </c>
      <c r="D2038" s="11" t="str">
        <f t="shared" si="1"/>
        <v> </v>
      </c>
      <c r="E2038" s="11" t="str">
        <f t="shared" si="2"/>
        <v> </v>
      </c>
    </row>
    <row r="2039" ht="15.75" customHeight="1">
      <c r="A2039" s="11">
        <v>13225.0</v>
      </c>
      <c r="B2039" s="11" t="s">
        <v>2067</v>
      </c>
      <c r="C2039" s="12">
        <v>20670.0</v>
      </c>
      <c r="D2039" s="11" t="str">
        <f t="shared" si="1"/>
        <v> </v>
      </c>
      <c r="E2039" s="11" t="str">
        <f t="shared" si="2"/>
        <v> </v>
      </c>
    </row>
    <row r="2040" ht="15.75" customHeight="1">
      <c r="A2040" s="11">
        <v>13226.0</v>
      </c>
      <c r="B2040" s="11" t="s">
        <v>2068</v>
      </c>
      <c r="C2040" s="12">
        <v>25765.0</v>
      </c>
      <c r="D2040" s="11" t="str">
        <f t="shared" si="1"/>
        <v> </v>
      </c>
      <c r="E2040" s="11" t="str">
        <f t="shared" si="2"/>
        <v> </v>
      </c>
    </row>
    <row r="2041" ht="15.75" customHeight="1">
      <c r="A2041" s="11">
        <v>13227.0</v>
      </c>
      <c r="B2041" s="11" t="s">
        <v>2069</v>
      </c>
      <c r="C2041" s="12">
        <v>33382.0</v>
      </c>
      <c r="D2041" s="11" t="str">
        <f t="shared" si="1"/>
        <v> </v>
      </c>
      <c r="E2041" s="11" t="str">
        <f t="shared" si="2"/>
        <v> </v>
      </c>
    </row>
    <row r="2042" ht="15.75" customHeight="1">
      <c r="A2042" s="11">
        <v>13228.0</v>
      </c>
      <c r="B2042" s="11" t="s">
        <v>2070</v>
      </c>
      <c r="C2042" s="12">
        <v>19069.0</v>
      </c>
      <c r="D2042" s="11" t="str">
        <f t="shared" si="1"/>
        <v> </v>
      </c>
      <c r="E2042" s="11" t="str">
        <f t="shared" si="2"/>
        <v> </v>
      </c>
    </row>
    <row r="2043" ht="15.75" customHeight="1">
      <c r="A2043" s="11">
        <v>13229.0</v>
      </c>
      <c r="B2043" s="11" t="s">
        <v>2071</v>
      </c>
      <c r="C2043" s="12">
        <v>22321.0</v>
      </c>
      <c r="D2043" s="11" t="str">
        <f t="shared" si="1"/>
        <v> </v>
      </c>
      <c r="E2043" s="11" t="str">
        <f t="shared" si="2"/>
        <v> </v>
      </c>
    </row>
    <row r="2044" ht="15.75" customHeight="1">
      <c r="A2044" s="11">
        <v>13230.0</v>
      </c>
      <c r="B2044" s="11" t="s">
        <v>2072</v>
      </c>
      <c r="C2044" s="12">
        <v>13097.0</v>
      </c>
      <c r="D2044" s="11" t="str">
        <f t="shared" si="1"/>
        <v> </v>
      </c>
      <c r="E2044" s="11" t="str">
        <f t="shared" si="2"/>
        <v> </v>
      </c>
    </row>
    <row r="2045" ht="15.75" customHeight="1">
      <c r="A2045" s="11">
        <v>13231.0</v>
      </c>
      <c r="B2045" s="11" t="s">
        <v>2073</v>
      </c>
      <c r="C2045" s="12">
        <v>17683.0</v>
      </c>
      <c r="D2045" s="11" t="str">
        <f t="shared" si="1"/>
        <v> </v>
      </c>
      <c r="E2045" s="11" t="str">
        <f t="shared" si="2"/>
        <v> </v>
      </c>
    </row>
    <row r="2046" ht="15.75" customHeight="1">
      <c r="A2046" s="11">
        <v>13232.0</v>
      </c>
      <c r="B2046" s="11" t="s">
        <v>2074</v>
      </c>
      <c r="C2046" s="12">
        <v>14058.0</v>
      </c>
      <c r="D2046" s="11" t="str">
        <f t="shared" si="1"/>
        <v> </v>
      </c>
      <c r="E2046" s="11" t="str">
        <f t="shared" si="2"/>
        <v> </v>
      </c>
    </row>
    <row r="2047" ht="15.75" customHeight="1">
      <c r="A2047" s="11">
        <v>13234.0</v>
      </c>
      <c r="B2047" s="11" t="s">
        <v>2075</v>
      </c>
      <c r="C2047" s="12">
        <v>17399.0</v>
      </c>
      <c r="D2047" s="11" t="str">
        <f t="shared" si="1"/>
        <v> </v>
      </c>
      <c r="E2047" s="11" t="str">
        <f t="shared" si="2"/>
        <v> </v>
      </c>
    </row>
    <row r="2048" ht="15.75" customHeight="1">
      <c r="A2048" s="11">
        <v>13235.0</v>
      </c>
      <c r="B2048" s="11" t="s">
        <v>2076</v>
      </c>
      <c r="C2048" s="12">
        <v>25452.0</v>
      </c>
      <c r="D2048" s="11" t="str">
        <f t="shared" si="1"/>
        <v> </v>
      </c>
      <c r="E2048" s="11" t="str">
        <f t="shared" si="2"/>
        <v> </v>
      </c>
    </row>
    <row r="2049" ht="15.75" customHeight="1">
      <c r="A2049" s="11">
        <v>13236.0</v>
      </c>
      <c r="B2049" s="11" t="s">
        <v>2077</v>
      </c>
      <c r="C2049" s="12">
        <v>32201.0</v>
      </c>
      <c r="D2049" s="11" t="str">
        <f t="shared" si="1"/>
        <v> </v>
      </c>
      <c r="E2049" s="11" t="str">
        <f t="shared" si="2"/>
        <v> </v>
      </c>
    </row>
    <row r="2050" ht="15.75" customHeight="1">
      <c r="A2050" s="11">
        <v>13240.0</v>
      </c>
      <c r="B2050" s="11" t="s">
        <v>2078</v>
      </c>
      <c r="C2050" s="12">
        <v>14574.0</v>
      </c>
      <c r="D2050" s="11" t="str">
        <f t="shared" si="1"/>
        <v> </v>
      </c>
      <c r="E2050" s="11" t="str">
        <f t="shared" si="2"/>
        <v> </v>
      </c>
    </row>
    <row r="2051" ht="15.75" customHeight="1">
      <c r="A2051" s="11">
        <v>13241.0</v>
      </c>
      <c r="B2051" s="11" t="s">
        <v>2079</v>
      </c>
      <c r="C2051" s="12">
        <v>33447.0</v>
      </c>
      <c r="D2051" s="11" t="str">
        <f t="shared" si="1"/>
        <v> </v>
      </c>
      <c r="E2051" s="11" t="str">
        <f t="shared" si="2"/>
        <v> </v>
      </c>
    </row>
    <row r="2052" ht="15.75" customHeight="1">
      <c r="A2052" s="11">
        <v>13242.0</v>
      </c>
      <c r="B2052" s="11" t="s">
        <v>2080</v>
      </c>
      <c r="C2052" s="12">
        <v>15282.0</v>
      </c>
      <c r="D2052" s="11" t="str">
        <f t="shared" si="1"/>
        <v> </v>
      </c>
      <c r="E2052" s="11" t="str">
        <f t="shared" si="2"/>
        <v> </v>
      </c>
    </row>
    <row r="2053" ht="15.75" customHeight="1">
      <c r="A2053" s="11">
        <v>13243.0</v>
      </c>
      <c r="B2053" s="11" t="s">
        <v>2081</v>
      </c>
      <c r="C2053" s="12">
        <v>24558.0</v>
      </c>
      <c r="D2053" s="11" t="str">
        <f t="shared" si="1"/>
        <v> </v>
      </c>
      <c r="E2053" s="11" t="str">
        <f t="shared" si="2"/>
        <v> </v>
      </c>
    </row>
    <row r="2054" ht="15.75" customHeight="1">
      <c r="A2054" s="11">
        <v>13244.0</v>
      </c>
      <c r="B2054" s="11" t="s">
        <v>2082</v>
      </c>
      <c r="C2054" s="12">
        <v>16520.0</v>
      </c>
      <c r="D2054" s="11" t="str">
        <f t="shared" si="1"/>
        <v> </v>
      </c>
      <c r="E2054" s="11" t="str">
        <f t="shared" si="2"/>
        <v> </v>
      </c>
    </row>
    <row r="2055" ht="15.75" customHeight="1">
      <c r="A2055" s="11">
        <v>13245.0</v>
      </c>
      <c r="B2055" s="11" t="s">
        <v>2083</v>
      </c>
      <c r="C2055" s="12">
        <v>22091.0</v>
      </c>
      <c r="D2055" s="11" t="str">
        <f t="shared" si="1"/>
        <v> </v>
      </c>
      <c r="E2055" s="11" t="str">
        <f t="shared" si="2"/>
        <v> </v>
      </c>
    </row>
    <row r="2056" ht="15.75" customHeight="1">
      <c r="A2056" s="11">
        <v>13246.0</v>
      </c>
      <c r="B2056" s="11" t="s">
        <v>2084</v>
      </c>
      <c r="C2056" s="12">
        <v>17498.0</v>
      </c>
      <c r="D2056" s="11" t="str">
        <f t="shared" si="1"/>
        <v> </v>
      </c>
      <c r="E2056" s="11" t="str">
        <f t="shared" si="2"/>
        <v> </v>
      </c>
    </row>
    <row r="2057" ht="15.75" customHeight="1">
      <c r="A2057" s="11">
        <v>13247.0</v>
      </c>
      <c r="B2057" s="11" t="s">
        <v>2085</v>
      </c>
      <c r="C2057" s="12">
        <v>24750.0</v>
      </c>
      <c r="D2057" s="11" t="str">
        <f t="shared" si="1"/>
        <v> </v>
      </c>
      <c r="E2057" s="11" t="str">
        <f t="shared" si="2"/>
        <v> </v>
      </c>
    </row>
    <row r="2058" ht="15.75" customHeight="1">
      <c r="A2058" s="11">
        <v>13248.0</v>
      </c>
      <c r="B2058" s="11" t="s">
        <v>2086</v>
      </c>
      <c r="C2058" s="12">
        <v>10321.0</v>
      </c>
      <c r="D2058" s="11" t="str">
        <f t="shared" si="1"/>
        <v> </v>
      </c>
      <c r="E2058" s="11" t="str">
        <f t="shared" si="2"/>
        <v> </v>
      </c>
    </row>
    <row r="2059" ht="15.75" customHeight="1">
      <c r="A2059" s="11">
        <v>13249.0</v>
      </c>
      <c r="B2059" s="11" t="s">
        <v>2087</v>
      </c>
      <c r="C2059" s="12">
        <v>29930.0</v>
      </c>
      <c r="D2059" s="11" t="str">
        <f t="shared" si="1"/>
        <v> </v>
      </c>
      <c r="E2059" s="11" t="str">
        <f t="shared" si="2"/>
        <v> </v>
      </c>
    </row>
    <row r="2060" ht="15.75" customHeight="1">
      <c r="A2060" s="11">
        <v>13250.0</v>
      </c>
      <c r="B2060" s="11" t="s">
        <v>2088</v>
      </c>
      <c r="C2060" s="12">
        <v>21602.0</v>
      </c>
      <c r="D2060" s="11" t="str">
        <f t="shared" si="1"/>
        <v> </v>
      </c>
      <c r="E2060" s="11" t="str">
        <f t="shared" si="2"/>
        <v> </v>
      </c>
    </row>
    <row r="2061" ht="15.75" customHeight="1">
      <c r="A2061" s="11">
        <v>13251.0</v>
      </c>
      <c r="B2061" s="11" t="s">
        <v>2089</v>
      </c>
      <c r="C2061" s="12">
        <v>19917.0</v>
      </c>
      <c r="D2061" s="11" t="str">
        <f t="shared" si="1"/>
        <v> </v>
      </c>
      <c r="E2061" s="11" t="str">
        <f t="shared" si="2"/>
        <v> </v>
      </c>
    </row>
    <row r="2062" ht="15.75" customHeight="1">
      <c r="A2062" s="11">
        <v>13253.0</v>
      </c>
      <c r="B2062" s="11" t="s">
        <v>2090</v>
      </c>
      <c r="C2062" s="12">
        <v>24571.0</v>
      </c>
      <c r="D2062" s="11" t="str">
        <f t="shared" si="1"/>
        <v> </v>
      </c>
      <c r="E2062" s="11" t="str">
        <f t="shared" si="2"/>
        <v> </v>
      </c>
    </row>
    <row r="2063" ht="15.75" customHeight="1">
      <c r="A2063" s="11">
        <v>13255.0</v>
      </c>
      <c r="B2063" s="11" t="s">
        <v>2091</v>
      </c>
      <c r="C2063" s="12">
        <v>26899.0</v>
      </c>
      <c r="D2063" s="11" t="str">
        <f t="shared" si="1"/>
        <v> </v>
      </c>
      <c r="E2063" s="11" t="str">
        <f t="shared" si="2"/>
        <v> </v>
      </c>
    </row>
    <row r="2064" ht="15.75" customHeight="1">
      <c r="A2064" s="11">
        <v>13256.0</v>
      </c>
      <c r="B2064" s="11" t="s">
        <v>2092</v>
      </c>
      <c r="C2064" s="12">
        <v>33683.0</v>
      </c>
      <c r="D2064" s="11" t="str">
        <f t="shared" si="1"/>
        <v> </v>
      </c>
      <c r="E2064" s="11" t="str">
        <f t="shared" si="2"/>
        <v> </v>
      </c>
    </row>
    <row r="2065" ht="15.75" customHeight="1">
      <c r="A2065" s="11">
        <v>13257.0</v>
      </c>
      <c r="B2065" s="11" t="s">
        <v>2093</v>
      </c>
      <c r="C2065" s="12">
        <v>18289.0</v>
      </c>
      <c r="D2065" s="11" t="str">
        <f t="shared" si="1"/>
        <v> </v>
      </c>
      <c r="E2065" s="11" t="str">
        <f t="shared" si="2"/>
        <v> </v>
      </c>
    </row>
    <row r="2066" ht="15.75" customHeight="1">
      <c r="A2066" s="11">
        <v>13260.0</v>
      </c>
      <c r="B2066" s="11" t="s">
        <v>2094</v>
      </c>
      <c r="C2066" s="12">
        <v>22127.0</v>
      </c>
      <c r="D2066" s="11" t="str">
        <f t="shared" si="1"/>
        <v> </v>
      </c>
      <c r="E2066" s="11" t="str">
        <f t="shared" si="2"/>
        <v> </v>
      </c>
    </row>
    <row r="2067" ht="15.75" customHeight="1">
      <c r="A2067" s="11">
        <v>13261.0</v>
      </c>
      <c r="B2067" s="11" t="s">
        <v>2095</v>
      </c>
      <c r="C2067" s="12">
        <v>24102.0</v>
      </c>
      <c r="D2067" s="11" t="str">
        <f t="shared" si="1"/>
        <v> </v>
      </c>
      <c r="E2067" s="11" t="str">
        <f t="shared" si="2"/>
        <v> </v>
      </c>
    </row>
    <row r="2068" ht="15.75" customHeight="1">
      <c r="A2068" s="11">
        <v>13262.0</v>
      </c>
      <c r="B2068" s="11" t="s">
        <v>2096</v>
      </c>
      <c r="C2068" s="12">
        <v>17162.0</v>
      </c>
      <c r="D2068" s="11" t="str">
        <f t="shared" si="1"/>
        <v> </v>
      </c>
      <c r="E2068" s="11" t="str">
        <f t="shared" si="2"/>
        <v> </v>
      </c>
    </row>
    <row r="2069" ht="15.75" customHeight="1">
      <c r="A2069" s="11">
        <v>13263.0</v>
      </c>
      <c r="B2069" s="11" t="s">
        <v>2097</v>
      </c>
      <c r="C2069" s="12">
        <v>24387.0</v>
      </c>
      <c r="D2069" s="11" t="str">
        <f t="shared" si="1"/>
        <v>Repeat</v>
      </c>
      <c r="E2069" s="11" t="str">
        <f t="shared" si="2"/>
        <v> </v>
      </c>
    </row>
    <row r="2070" ht="15.75" customHeight="1">
      <c r="A2070" s="11">
        <v>13264.0</v>
      </c>
      <c r="B2070" s="11" t="s">
        <v>2098</v>
      </c>
      <c r="C2070" s="12">
        <v>26293.0</v>
      </c>
      <c r="D2070" s="11" t="str">
        <f t="shared" si="1"/>
        <v> </v>
      </c>
      <c r="E2070" s="11" t="str">
        <f t="shared" si="2"/>
        <v> </v>
      </c>
    </row>
    <row r="2071" ht="15.75" customHeight="1">
      <c r="A2071" s="11">
        <v>13267.0</v>
      </c>
      <c r="B2071" s="11" t="s">
        <v>2099</v>
      </c>
      <c r="C2071" s="12">
        <v>27789.0</v>
      </c>
      <c r="D2071" s="11" t="str">
        <f t="shared" si="1"/>
        <v> </v>
      </c>
      <c r="E2071" s="11" t="str">
        <f t="shared" si="2"/>
        <v> </v>
      </c>
    </row>
    <row r="2072" ht="15.75" customHeight="1">
      <c r="A2072" s="11">
        <v>13270.0</v>
      </c>
      <c r="B2072" s="11" t="s">
        <v>2100</v>
      </c>
      <c r="C2072" s="12">
        <v>32085.0</v>
      </c>
      <c r="D2072" s="11" t="str">
        <f t="shared" si="1"/>
        <v> </v>
      </c>
      <c r="E2072" s="11" t="str">
        <f t="shared" si="2"/>
        <v> </v>
      </c>
    </row>
    <row r="2073" ht="15.75" customHeight="1">
      <c r="A2073" s="11">
        <v>13271.0</v>
      </c>
      <c r="B2073" s="11" t="s">
        <v>2101</v>
      </c>
      <c r="C2073" s="12">
        <v>22599.0</v>
      </c>
      <c r="D2073" s="11" t="str">
        <f t="shared" si="1"/>
        <v> </v>
      </c>
      <c r="E2073" s="11" t="str">
        <f t="shared" si="2"/>
        <v> </v>
      </c>
    </row>
    <row r="2074" ht="15.75" customHeight="1">
      <c r="A2074" s="11">
        <v>13272.0</v>
      </c>
      <c r="B2074" s="11" t="s">
        <v>2102</v>
      </c>
      <c r="C2074" s="12">
        <v>32877.0</v>
      </c>
      <c r="D2074" s="11" t="str">
        <f t="shared" si="1"/>
        <v> </v>
      </c>
      <c r="E2074" s="11" t="str">
        <f t="shared" si="2"/>
        <v> </v>
      </c>
    </row>
    <row r="2075" ht="15.75" customHeight="1">
      <c r="A2075" s="11">
        <v>13273.0</v>
      </c>
      <c r="B2075" s="11" t="s">
        <v>2103</v>
      </c>
      <c r="C2075" s="12">
        <v>30146.0</v>
      </c>
      <c r="D2075" s="11" t="str">
        <f t="shared" si="1"/>
        <v> </v>
      </c>
      <c r="E2075" s="11" t="str">
        <f t="shared" si="2"/>
        <v> </v>
      </c>
    </row>
    <row r="2076" ht="15.75" customHeight="1">
      <c r="A2076" s="11">
        <v>13274.0</v>
      </c>
      <c r="B2076" s="11" t="s">
        <v>2104</v>
      </c>
      <c r="C2076" s="12">
        <v>36698.0</v>
      </c>
      <c r="D2076" s="11" t="str">
        <f t="shared" si="1"/>
        <v> </v>
      </c>
      <c r="E2076" s="11" t="str">
        <f t="shared" si="2"/>
        <v> </v>
      </c>
    </row>
    <row r="2077" ht="15.75" customHeight="1">
      <c r="A2077" s="11">
        <v>13275.0</v>
      </c>
      <c r="B2077" s="11" t="s">
        <v>2105</v>
      </c>
      <c r="C2077" s="12">
        <v>21287.0</v>
      </c>
      <c r="D2077" s="11" t="str">
        <f t="shared" si="1"/>
        <v> </v>
      </c>
      <c r="E2077" s="11" t="str">
        <f t="shared" si="2"/>
        <v> </v>
      </c>
    </row>
    <row r="2078" ht="15.75" customHeight="1">
      <c r="A2078" s="11">
        <v>13276.0</v>
      </c>
      <c r="B2078" s="11" t="s">
        <v>2106</v>
      </c>
      <c r="C2078" s="12">
        <v>20418.0</v>
      </c>
      <c r="D2078" s="11" t="str">
        <f t="shared" si="1"/>
        <v> </v>
      </c>
      <c r="E2078" s="11" t="str">
        <f t="shared" si="2"/>
        <v> </v>
      </c>
    </row>
    <row r="2079" ht="15.75" customHeight="1">
      <c r="A2079" s="11">
        <v>13277.0</v>
      </c>
      <c r="B2079" s="11" t="s">
        <v>2107</v>
      </c>
      <c r="C2079" s="12">
        <v>25578.0</v>
      </c>
      <c r="D2079" s="11" t="str">
        <f t="shared" si="1"/>
        <v> </v>
      </c>
      <c r="E2079" s="11" t="str">
        <f t="shared" si="2"/>
        <v> </v>
      </c>
    </row>
    <row r="2080" ht="15.75" customHeight="1">
      <c r="A2080" s="11">
        <v>13278.0</v>
      </c>
      <c r="B2080" s="11" t="s">
        <v>2108</v>
      </c>
      <c r="C2080" s="12">
        <v>20536.0</v>
      </c>
      <c r="D2080" s="11" t="str">
        <f t="shared" si="1"/>
        <v> </v>
      </c>
      <c r="E2080" s="11" t="str">
        <f t="shared" si="2"/>
        <v> </v>
      </c>
    </row>
    <row r="2081" ht="15.75" customHeight="1">
      <c r="A2081" s="11">
        <v>13279.0</v>
      </c>
      <c r="B2081" s="11" t="s">
        <v>2109</v>
      </c>
      <c r="C2081" s="12">
        <v>33000.0</v>
      </c>
      <c r="D2081" s="11" t="str">
        <f t="shared" si="1"/>
        <v> </v>
      </c>
      <c r="E2081" s="11" t="str">
        <f t="shared" si="2"/>
        <v> </v>
      </c>
    </row>
    <row r="2082" ht="15.75" customHeight="1">
      <c r="A2082" s="11">
        <v>13280.0</v>
      </c>
      <c r="B2082" s="11" t="s">
        <v>2110</v>
      </c>
      <c r="C2082" s="12">
        <v>11978.0</v>
      </c>
      <c r="D2082" s="11" t="str">
        <f t="shared" si="1"/>
        <v> </v>
      </c>
      <c r="E2082" s="11" t="str">
        <f t="shared" si="2"/>
        <v> </v>
      </c>
    </row>
    <row r="2083" ht="15.75" customHeight="1">
      <c r="A2083" s="11">
        <v>13281.0</v>
      </c>
      <c r="B2083" s="11" t="s">
        <v>2111</v>
      </c>
      <c r="C2083" s="12">
        <v>30188.0</v>
      </c>
      <c r="D2083" s="11" t="str">
        <f t="shared" si="1"/>
        <v> </v>
      </c>
      <c r="E2083" s="11" t="str">
        <f t="shared" si="2"/>
        <v> </v>
      </c>
    </row>
    <row r="2084" ht="15.75" customHeight="1">
      <c r="A2084" s="11">
        <v>13283.0</v>
      </c>
      <c r="B2084" s="11" t="s">
        <v>2112</v>
      </c>
      <c r="C2084" s="12">
        <v>28196.0</v>
      </c>
      <c r="D2084" s="11" t="str">
        <f t="shared" si="1"/>
        <v> </v>
      </c>
      <c r="E2084" s="11" t="str">
        <f t="shared" si="2"/>
        <v> </v>
      </c>
    </row>
    <row r="2085" ht="15.75" customHeight="1">
      <c r="A2085" s="11">
        <v>13284.0</v>
      </c>
      <c r="B2085" s="11" t="s">
        <v>2113</v>
      </c>
      <c r="C2085" s="12">
        <v>23129.0</v>
      </c>
      <c r="D2085" s="11" t="str">
        <f t="shared" si="1"/>
        <v> </v>
      </c>
      <c r="E2085" s="11" t="str">
        <f t="shared" si="2"/>
        <v> </v>
      </c>
    </row>
    <row r="2086" ht="15.75" customHeight="1">
      <c r="A2086" s="11">
        <v>13285.0</v>
      </c>
      <c r="B2086" s="11" t="s">
        <v>2114</v>
      </c>
      <c r="C2086" s="12">
        <v>24102.0</v>
      </c>
      <c r="D2086" s="11" t="str">
        <f t="shared" si="1"/>
        <v> </v>
      </c>
      <c r="E2086" s="11" t="str">
        <f t="shared" si="2"/>
        <v> </v>
      </c>
    </row>
    <row r="2087" ht="15.75" customHeight="1">
      <c r="A2087" s="11">
        <v>13288.0</v>
      </c>
      <c r="B2087" s="11" t="s">
        <v>2115</v>
      </c>
      <c r="C2087" s="12">
        <v>18606.0</v>
      </c>
      <c r="D2087" s="11" t="str">
        <f t="shared" si="1"/>
        <v> </v>
      </c>
      <c r="E2087" s="11" t="str">
        <f t="shared" si="2"/>
        <v> </v>
      </c>
    </row>
    <row r="2088" ht="15.75" customHeight="1">
      <c r="A2088" s="11">
        <v>13289.0</v>
      </c>
      <c r="B2088" s="11" t="s">
        <v>2116</v>
      </c>
      <c r="C2088" s="12">
        <v>19890.0</v>
      </c>
      <c r="D2088" s="11" t="str">
        <f t="shared" si="1"/>
        <v> </v>
      </c>
      <c r="E2088" s="11" t="str">
        <f t="shared" si="2"/>
        <v> </v>
      </c>
    </row>
    <row r="2089" ht="15.75" customHeight="1">
      <c r="A2089" s="11">
        <v>13290.0</v>
      </c>
      <c r="B2089" s="11" t="s">
        <v>2117</v>
      </c>
      <c r="C2089" s="12">
        <v>25837.0</v>
      </c>
      <c r="D2089" s="11" t="str">
        <f t="shared" si="1"/>
        <v> </v>
      </c>
      <c r="E2089" s="11" t="str">
        <f t="shared" si="2"/>
        <v> </v>
      </c>
    </row>
    <row r="2090" ht="15.75" customHeight="1">
      <c r="A2090" s="11">
        <v>13291.0</v>
      </c>
      <c r="B2090" s="11" t="s">
        <v>2118</v>
      </c>
      <c r="C2090" s="12">
        <v>18527.0</v>
      </c>
      <c r="D2090" s="11" t="str">
        <f t="shared" si="1"/>
        <v>Repeat</v>
      </c>
      <c r="E2090" s="11" t="str">
        <f t="shared" si="2"/>
        <v> </v>
      </c>
    </row>
    <row r="2091" ht="15.75" customHeight="1">
      <c r="A2091" s="11">
        <v>13292.0</v>
      </c>
      <c r="B2091" s="11" t="s">
        <v>2119</v>
      </c>
      <c r="C2091" s="12">
        <v>24152.0</v>
      </c>
      <c r="D2091" s="11" t="str">
        <f t="shared" si="1"/>
        <v> </v>
      </c>
      <c r="E2091" s="11" t="str">
        <f t="shared" si="2"/>
        <v> </v>
      </c>
    </row>
    <row r="2092" ht="15.75" customHeight="1">
      <c r="A2092" s="11">
        <v>13293.0</v>
      </c>
      <c r="B2092" s="11" t="s">
        <v>2120</v>
      </c>
      <c r="C2092" s="12">
        <v>30806.0</v>
      </c>
      <c r="D2092" s="11" t="str">
        <f t="shared" si="1"/>
        <v> </v>
      </c>
      <c r="E2092" s="11" t="str">
        <f t="shared" si="2"/>
        <v> </v>
      </c>
    </row>
    <row r="2093" ht="15.75" customHeight="1">
      <c r="A2093" s="11">
        <v>13296.0</v>
      </c>
      <c r="B2093" s="11" t="s">
        <v>2121</v>
      </c>
      <c r="C2093" s="12">
        <v>28851.0</v>
      </c>
      <c r="D2093" s="11" t="str">
        <f t="shared" si="1"/>
        <v> </v>
      </c>
      <c r="E2093" s="11" t="str">
        <f t="shared" si="2"/>
        <v> </v>
      </c>
    </row>
    <row r="2094" ht="15.75" customHeight="1">
      <c r="A2094" s="11">
        <v>13297.0</v>
      </c>
      <c r="B2094" s="11" t="s">
        <v>2122</v>
      </c>
      <c r="C2094" s="12">
        <v>12876.0</v>
      </c>
      <c r="D2094" s="11" t="str">
        <f t="shared" si="1"/>
        <v> </v>
      </c>
      <c r="E2094" s="11" t="str">
        <f t="shared" si="2"/>
        <v> </v>
      </c>
    </row>
    <row r="2095" ht="15.75" customHeight="1">
      <c r="A2095" s="11">
        <v>13299.0</v>
      </c>
      <c r="B2095" s="11" t="s">
        <v>2123</v>
      </c>
      <c r="C2095" s="12">
        <v>28288.0</v>
      </c>
      <c r="D2095" s="11" t="str">
        <f t="shared" si="1"/>
        <v> </v>
      </c>
      <c r="E2095" s="11" t="str">
        <f t="shared" si="2"/>
        <v> </v>
      </c>
    </row>
    <row r="2096" ht="15.75" customHeight="1">
      <c r="A2096" s="11">
        <v>13301.0</v>
      </c>
      <c r="B2096" s="11" t="s">
        <v>2124</v>
      </c>
      <c r="C2096" s="12">
        <v>17094.0</v>
      </c>
      <c r="D2096" s="11" t="str">
        <f t="shared" si="1"/>
        <v> </v>
      </c>
      <c r="E2096" s="11" t="str">
        <f t="shared" si="2"/>
        <v> </v>
      </c>
    </row>
    <row r="2097" ht="15.75" customHeight="1">
      <c r="A2097" s="11">
        <v>13302.0</v>
      </c>
      <c r="B2097" s="11" t="s">
        <v>2125</v>
      </c>
      <c r="C2097" s="12">
        <v>37321.0</v>
      </c>
      <c r="D2097" s="11" t="str">
        <f t="shared" si="1"/>
        <v> </v>
      </c>
      <c r="E2097" s="11" t="str">
        <f t="shared" si="2"/>
        <v> </v>
      </c>
    </row>
    <row r="2098" ht="15.75" customHeight="1">
      <c r="A2098" s="11">
        <v>13303.0</v>
      </c>
      <c r="B2098" s="11" t="s">
        <v>2126</v>
      </c>
      <c r="C2098" s="12">
        <v>23547.0</v>
      </c>
      <c r="D2098" s="11" t="str">
        <f t="shared" si="1"/>
        <v> </v>
      </c>
      <c r="E2098" s="11" t="str">
        <f t="shared" si="2"/>
        <v> </v>
      </c>
    </row>
    <row r="2099" ht="15.75" customHeight="1">
      <c r="A2099" s="11">
        <v>13304.0</v>
      </c>
      <c r="B2099" s="11" t="s">
        <v>2127</v>
      </c>
      <c r="C2099" s="12">
        <v>30797.0</v>
      </c>
      <c r="D2099" s="11" t="str">
        <f t="shared" si="1"/>
        <v> </v>
      </c>
      <c r="E2099" s="11" t="str">
        <f t="shared" si="2"/>
        <v> </v>
      </c>
    </row>
    <row r="2100" ht="15.75" customHeight="1">
      <c r="A2100" s="11">
        <v>13305.0</v>
      </c>
      <c r="B2100" s="11" t="s">
        <v>2128</v>
      </c>
      <c r="C2100" s="12">
        <v>20391.0</v>
      </c>
      <c r="D2100" s="11" t="str">
        <f t="shared" si="1"/>
        <v> </v>
      </c>
      <c r="E2100" s="11" t="str">
        <f t="shared" si="2"/>
        <v> </v>
      </c>
    </row>
    <row r="2101" ht="15.75" customHeight="1">
      <c r="A2101" s="11">
        <v>13306.0</v>
      </c>
      <c r="B2101" s="11" t="s">
        <v>2129</v>
      </c>
      <c r="C2101" s="12">
        <v>31106.0</v>
      </c>
      <c r="D2101" s="11" t="str">
        <f t="shared" si="1"/>
        <v>Repeat</v>
      </c>
      <c r="E2101" s="11" t="str">
        <f t="shared" si="2"/>
        <v> </v>
      </c>
    </row>
    <row r="2102" ht="15.75" customHeight="1">
      <c r="A2102" s="11">
        <v>13308.0</v>
      </c>
      <c r="B2102" s="11" t="s">
        <v>2130</v>
      </c>
      <c r="C2102" s="12">
        <v>32031.0</v>
      </c>
      <c r="D2102" s="11" t="str">
        <f t="shared" si="1"/>
        <v> </v>
      </c>
      <c r="E2102" s="11" t="str">
        <f t="shared" si="2"/>
        <v> </v>
      </c>
    </row>
    <row r="2103" ht="15.75" customHeight="1">
      <c r="A2103" s="11">
        <v>13309.0</v>
      </c>
      <c r="B2103" s="11" t="s">
        <v>2131</v>
      </c>
      <c r="C2103" s="12">
        <v>12991.0</v>
      </c>
      <c r="D2103" s="11" t="str">
        <f t="shared" si="1"/>
        <v> </v>
      </c>
      <c r="E2103" s="11" t="str">
        <f t="shared" si="2"/>
        <v> </v>
      </c>
    </row>
    <row r="2104" ht="15.75" customHeight="1">
      <c r="A2104" s="11">
        <v>13310.0</v>
      </c>
      <c r="B2104" s="11" t="s">
        <v>2132</v>
      </c>
      <c r="C2104" s="12">
        <v>36600.0</v>
      </c>
      <c r="D2104" s="11" t="str">
        <f t="shared" si="1"/>
        <v> </v>
      </c>
      <c r="E2104" s="11" t="str">
        <f t="shared" si="2"/>
        <v> </v>
      </c>
    </row>
    <row r="2105" ht="15.75" customHeight="1">
      <c r="A2105" s="11">
        <v>13311.0</v>
      </c>
      <c r="B2105" s="11" t="s">
        <v>2133</v>
      </c>
      <c r="C2105" s="12">
        <v>12297.0</v>
      </c>
      <c r="D2105" s="11" t="str">
        <f t="shared" si="1"/>
        <v> </v>
      </c>
      <c r="E2105" s="11" t="str">
        <f t="shared" si="2"/>
        <v> </v>
      </c>
    </row>
    <row r="2106" ht="15.75" customHeight="1">
      <c r="A2106" s="11">
        <v>13313.0</v>
      </c>
      <c r="B2106" s="11" t="s">
        <v>2134</v>
      </c>
      <c r="C2106" s="12">
        <v>21205.0</v>
      </c>
      <c r="D2106" s="11" t="str">
        <f t="shared" si="1"/>
        <v> </v>
      </c>
      <c r="E2106" s="11" t="str">
        <f t="shared" si="2"/>
        <v> </v>
      </c>
    </row>
    <row r="2107" ht="15.75" customHeight="1">
      <c r="A2107" s="11">
        <v>13315.0</v>
      </c>
      <c r="B2107" s="11" t="s">
        <v>2135</v>
      </c>
      <c r="C2107" s="12">
        <v>23603.0</v>
      </c>
      <c r="D2107" s="11" t="str">
        <f t="shared" si="1"/>
        <v> </v>
      </c>
      <c r="E2107" s="11" t="str">
        <f t="shared" si="2"/>
        <v> </v>
      </c>
    </row>
    <row r="2108" ht="15.75" customHeight="1">
      <c r="A2108" s="11">
        <v>13316.0</v>
      </c>
      <c r="B2108" s="11" t="s">
        <v>2136</v>
      </c>
      <c r="C2108" s="12">
        <v>19172.0</v>
      </c>
      <c r="D2108" s="11" t="str">
        <f t="shared" si="1"/>
        <v> </v>
      </c>
      <c r="E2108" s="11" t="str">
        <f t="shared" si="2"/>
        <v> </v>
      </c>
    </row>
    <row r="2109" ht="15.75" customHeight="1">
      <c r="A2109" s="11">
        <v>13317.0</v>
      </c>
      <c r="B2109" s="11" t="s">
        <v>2137</v>
      </c>
      <c r="C2109" s="12">
        <v>30581.0</v>
      </c>
      <c r="D2109" s="11" t="str">
        <f t="shared" si="1"/>
        <v> </v>
      </c>
      <c r="E2109" s="11" t="str">
        <f t="shared" si="2"/>
        <v> </v>
      </c>
    </row>
    <row r="2110" ht="15.75" customHeight="1">
      <c r="A2110" s="11">
        <v>13318.0</v>
      </c>
      <c r="B2110" s="11" t="s">
        <v>2138</v>
      </c>
      <c r="C2110" s="12">
        <v>17654.0</v>
      </c>
      <c r="D2110" s="11" t="str">
        <f t="shared" si="1"/>
        <v> </v>
      </c>
      <c r="E2110" s="11" t="str">
        <f t="shared" si="2"/>
        <v> </v>
      </c>
    </row>
    <row r="2111" ht="15.75" customHeight="1">
      <c r="A2111" s="11">
        <v>13319.0</v>
      </c>
      <c r="B2111" s="11" t="s">
        <v>2139</v>
      </c>
      <c r="C2111" s="12">
        <v>16761.0</v>
      </c>
      <c r="D2111" s="11" t="str">
        <f t="shared" si="1"/>
        <v> </v>
      </c>
      <c r="E2111" s="11" t="str">
        <f t="shared" si="2"/>
        <v> </v>
      </c>
    </row>
    <row r="2112" ht="15.75" customHeight="1">
      <c r="A2112" s="11">
        <v>13320.0</v>
      </c>
      <c r="B2112" s="11" t="s">
        <v>2140</v>
      </c>
      <c r="C2112" s="12">
        <v>17970.0</v>
      </c>
      <c r="D2112" s="11" t="str">
        <f t="shared" si="1"/>
        <v> </v>
      </c>
      <c r="E2112" s="11" t="str">
        <f t="shared" si="2"/>
        <v> </v>
      </c>
    </row>
    <row r="2113" ht="15.75" customHeight="1">
      <c r="A2113" s="11">
        <v>13321.0</v>
      </c>
      <c r="B2113" s="11" t="s">
        <v>2141</v>
      </c>
      <c r="C2113" s="12">
        <v>22496.0</v>
      </c>
      <c r="D2113" s="11" t="str">
        <f t="shared" si="1"/>
        <v> </v>
      </c>
      <c r="E2113" s="11" t="str">
        <f t="shared" si="2"/>
        <v> </v>
      </c>
    </row>
    <row r="2114" ht="15.75" customHeight="1">
      <c r="A2114" s="11">
        <v>13322.0</v>
      </c>
      <c r="B2114" s="11" t="s">
        <v>2142</v>
      </c>
      <c r="C2114" s="12">
        <v>26475.0</v>
      </c>
      <c r="D2114" s="11" t="str">
        <f t="shared" si="1"/>
        <v> </v>
      </c>
      <c r="E2114" s="11" t="str">
        <f t="shared" si="2"/>
        <v> </v>
      </c>
    </row>
    <row r="2115" ht="15.75" customHeight="1">
      <c r="A2115" s="11">
        <v>13323.0</v>
      </c>
      <c r="B2115" s="11" t="s">
        <v>2143</v>
      </c>
      <c r="C2115" s="12">
        <v>30587.0</v>
      </c>
      <c r="D2115" s="11" t="str">
        <f t="shared" si="1"/>
        <v> </v>
      </c>
      <c r="E2115" s="11" t="str">
        <f t="shared" si="2"/>
        <v> </v>
      </c>
    </row>
    <row r="2116" ht="15.75" customHeight="1">
      <c r="A2116" s="11">
        <v>13324.0</v>
      </c>
      <c r="B2116" s="11" t="s">
        <v>2144</v>
      </c>
      <c r="C2116" s="12">
        <v>30974.0</v>
      </c>
      <c r="D2116" s="11" t="str">
        <f t="shared" si="1"/>
        <v> </v>
      </c>
      <c r="E2116" s="11" t="str">
        <f t="shared" si="2"/>
        <v> </v>
      </c>
    </row>
    <row r="2117" ht="15.75" customHeight="1">
      <c r="A2117" s="11">
        <v>13325.0</v>
      </c>
      <c r="B2117" s="11" t="s">
        <v>2145</v>
      </c>
      <c r="C2117" s="12">
        <v>29092.0</v>
      </c>
      <c r="D2117" s="11" t="str">
        <f t="shared" si="1"/>
        <v> </v>
      </c>
      <c r="E2117" s="11" t="str">
        <f t="shared" si="2"/>
        <v> </v>
      </c>
    </row>
    <row r="2118" ht="15.75" customHeight="1">
      <c r="A2118" s="11">
        <v>13326.0</v>
      </c>
      <c r="B2118" s="11" t="s">
        <v>2146</v>
      </c>
      <c r="C2118" s="12">
        <v>26087.0</v>
      </c>
      <c r="D2118" s="11" t="str">
        <f t="shared" si="1"/>
        <v> </v>
      </c>
      <c r="E2118" s="11" t="str">
        <f t="shared" si="2"/>
        <v> </v>
      </c>
    </row>
    <row r="2119" ht="15.75" customHeight="1">
      <c r="A2119" s="11">
        <v>13328.0</v>
      </c>
      <c r="B2119" s="11" t="s">
        <v>2147</v>
      </c>
      <c r="C2119" s="12">
        <v>12357.0</v>
      </c>
      <c r="D2119" s="11" t="str">
        <f t="shared" si="1"/>
        <v> </v>
      </c>
      <c r="E2119" s="11" t="str">
        <f t="shared" si="2"/>
        <v> </v>
      </c>
    </row>
    <row r="2120" ht="15.75" customHeight="1">
      <c r="A2120" s="11">
        <v>13329.0</v>
      </c>
      <c r="B2120" s="11" t="s">
        <v>2148</v>
      </c>
      <c r="C2120" s="12">
        <v>26626.0</v>
      </c>
      <c r="D2120" s="11" t="str">
        <f t="shared" si="1"/>
        <v> </v>
      </c>
      <c r="E2120" s="11" t="str">
        <f t="shared" si="2"/>
        <v> </v>
      </c>
    </row>
    <row r="2121" ht="15.75" customHeight="1">
      <c r="A2121" s="11">
        <v>13330.0</v>
      </c>
      <c r="B2121" s="11" t="s">
        <v>2149</v>
      </c>
      <c r="C2121" s="12">
        <v>28022.0</v>
      </c>
      <c r="D2121" s="11" t="str">
        <f t="shared" si="1"/>
        <v> </v>
      </c>
      <c r="E2121" s="11" t="str">
        <f t="shared" si="2"/>
        <v> </v>
      </c>
    </row>
    <row r="2122" ht="15.75" customHeight="1">
      <c r="A2122" s="11">
        <v>13331.0</v>
      </c>
      <c r="B2122" s="11" t="s">
        <v>2150</v>
      </c>
      <c r="C2122" s="12">
        <v>17613.0</v>
      </c>
      <c r="D2122" s="11" t="str">
        <f t="shared" si="1"/>
        <v> </v>
      </c>
      <c r="E2122" s="11" t="str">
        <f t="shared" si="2"/>
        <v> </v>
      </c>
    </row>
    <row r="2123" ht="15.75" customHeight="1">
      <c r="A2123" s="11">
        <v>13332.0</v>
      </c>
      <c r="B2123" s="11" t="s">
        <v>2151</v>
      </c>
      <c r="C2123" s="12">
        <v>18573.0</v>
      </c>
      <c r="D2123" s="11" t="str">
        <f t="shared" si="1"/>
        <v> </v>
      </c>
      <c r="E2123" s="11" t="str">
        <f t="shared" si="2"/>
        <v> </v>
      </c>
    </row>
    <row r="2124" ht="15.75" customHeight="1">
      <c r="A2124" s="11">
        <v>13334.0</v>
      </c>
      <c r="B2124" s="11" t="s">
        <v>2152</v>
      </c>
      <c r="C2124" s="12">
        <v>22843.0</v>
      </c>
      <c r="D2124" s="11" t="str">
        <f t="shared" si="1"/>
        <v> </v>
      </c>
      <c r="E2124" s="11" t="str">
        <f t="shared" si="2"/>
        <v> </v>
      </c>
    </row>
    <row r="2125" ht="15.75" customHeight="1">
      <c r="A2125" s="11">
        <v>13336.0</v>
      </c>
      <c r="B2125" s="11" t="s">
        <v>2153</v>
      </c>
      <c r="C2125" s="12">
        <v>15346.0</v>
      </c>
      <c r="D2125" s="11" t="str">
        <f t="shared" si="1"/>
        <v> </v>
      </c>
      <c r="E2125" s="11" t="str">
        <f t="shared" si="2"/>
        <v> </v>
      </c>
    </row>
    <row r="2126" ht="15.75" customHeight="1">
      <c r="A2126" s="11">
        <v>13337.0</v>
      </c>
      <c r="B2126" s="11" t="s">
        <v>2154</v>
      </c>
      <c r="C2126" s="12">
        <v>24039.0</v>
      </c>
      <c r="D2126" s="11" t="str">
        <f t="shared" si="1"/>
        <v> </v>
      </c>
      <c r="E2126" s="11" t="str">
        <f t="shared" si="2"/>
        <v> </v>
      </c>
    </row>
    <row r="2127" ht="15.75" customHeight="1">
      <c r="A2127" s="11">
        <v>13338.0</v>
      </c>
      <c r="B2127" s="11" t="s">
        <v>2155</v>
      </c>
      <c r="C2127" s="12">
        <v>23074.0</v>
      </c>
      <c r="D2127" s="11" t="str">
        <f t="shared" si="1"/>
        <v> </v>
      </c>
      <c r="E2127" s="11" t="str">
        <f t="shared" si="2"/>
        <v> </v>
      </c>
    </row>
    <row r="2128" ht="15.75" customHeight="1">
      <c r="A2128" s="11">
        <v>13339.0</v>
      </c>
      <c r="B2128" s="11" t="s">
        <v>2156</v>
      </c>
      <c r="C2128" s="12">
        <v>21631.0</v>
      </c>
      <c r="D2128" s="11" t="str">
        <f t="shared" si="1"/>
        <v> </v>
      </c>
      <c r="E2128" s="11" t="str">
        <f t="shared" si="2"/>
        <v> </v>
      </c>
    </row>
    <row r="2129" ht="15.75" customHeight="1">
      <c r="A2129" s="11">
        <v>13342.0</v>
      </c>
      <c r="B2129" s="11" t="s">
        <v>2157</v>
      </c>
      <c r="C2129" s="12">
        <v>19837.0</v>
      </c>
      <c r="D2129" s="11" t="str">
        <f t="shared" si="1"/>
        <v> </v>
      </c>
      <c r="E2129" s="11" t="str">
        <f t="shared" si="2"/>
        <v> </v>
      </c>
    </row>
    <row r="2130" ht="15.75" customHeight="1">
      <c r="A2130" s="11">
        <v>13344.0</v>
      </c>
      <c r="B2130" s="11" t="s">
        <v>2158</v>
      </c>
      <c r="C2130" s="12">
        <v>24375.0</v>
      </c>
      <c r="D2130" s="11" t="str">
        <f t="shared" si="1"/>
        <v> </v>
      </c>
      <c r="E2130" s="11" t="str">
        <f t="shared" si="2"/>
        <v> </v>
      </c>
    </row>
    <row r="2131" ht="15.75" customHeight="1">
      <c r="A2131" s="11">
        <v>13348.0</v>
      </c>
      <c r="B2131" s="11" t="s">
        <v>2159</v>
      </c>
      <c r="C2131" s="12">
        <v>19524.0</v>
      </c>
      <c r="D2131" s="11" t="str">
        <f t="shared" si="1"/>
        <v> </v>
      </c>
      <c r="E2131" s="11" t="str">
        <f t="shared" si="2"/>
        <v> </v>
      </c>
    </row>
    <row r="2132" ht="15.75" customHeight="1">
      <c r="A2132" s="11">
        <v>13349.0</v>
      </c>
      <c r="B2132" s="11" t="s">
        <v>2160</v>
      </c>
      <c r="C2132" s="12">
        <v>24549.0</v>
      </c>
      <c r="D2132" s="11" t="str">
        <f t="shared" si="1"/>
        <v> </v>
      </c>
      <c r="E2132" s="11" t="str">
        <f t="shared" si="2"/>
        <v> </v>
      </c>
    </row>
    <row r="2133" ht="15.75" customHeight="1">
      <c r="A2133" s="11">
        <v>13350.0</v>
      </c>
      <c r="B2133" s="11" t="s">
        <v>2161</v>
      </c>
      <c r="C2133" s="12">
        <v>31655.0</v>
      </c>
      <c r="D2133" s="11" t="str">
        <f t="shared" si="1"/>
        <v> </v>
      </c>
      <c r="E2133" s="11" t="str">
        <f t="shared" si="2"/>
        <v> </v>
      </c>
    </row>
    <row r="2134" ht="15.75" customHeight="1">
      <c r="A2134" s="11">
        <v>13353.0</v>
      </c>
      <c r="B2134" s="11" t="s">
        <v>2162</v>
      </c>
      <c r="C2134" s="12">
        <v>23623.0</v>
      </c>
      <c r="D2134" s="11" t="str">
        <f t="shared" si="1"/>
        <v> </v>
      </c>
      <c r="E2134" s="11" t="str">
        <f t="shared" si="2"/>
        <v> </v>
      </c>
    </row>
    <row r="2135" ht="15.75" customHeight="1">
      <c r="A2135" s="11">
        <v>13355.0</v>
      </c>
      <c r="B2135" s="11" t="s">
        <v>2163</v>
      </c>
      <c r="C2135" s="12">
        <v>27322.0</v>
      </c>
      <c r="D2135" s="11" t="str">
        <f t="shared" si="1"/>
        <v> </v>
      </c>
      <c r="E2135" s="11" t="str">
        <f t="shared" si="2"/>
        <v> </v>
      </c>
    </row>
    <row r="2136" ht="15.75" customHeight="1">
      <c r="A2136" s="11">
        <v>13356.0</v>
      </c>
      <c r="B2136" s="11" t="s">
        <v>2164</v>
      </c>
      <c r="C2136" s="12">
        <v>30492.0</v>
      </c>
      <c r="D2136" s="11" t="str">
        <f t="shared" si="1"/>
        <v> </v>
      </c>
      <c r="E2136" s="11" t="str">
        <f t="shared" si="2"/>
        <v> </v>
      </c>
    </row>
    <row r="2137" ht="15.75" customHeight="1">
      <c r="A2137" s="11">
        <v>13357.0</v>
      </c>
      <c r="B2137" s="11" t="s">
        <v>2165</v>
      </c>
      <c r="C2137" s="12">
        <v>20115.0</v>
      </c>
      <c r="D2137" s="11" t="str">
        <f t="shared" si="1"/>
        <v> </v>
      </c>
      <c r="E2137" s="11" t="str">
        <f t="shared" si="2"/>
        <v> </v>
      </c>
    </row>
    <row r="2138" ht="15.75" customHeight="1">
      <c r="A2138" s="11">
        <v>13358.0</v>
      </c>
      <c r="B2138" s="11" t="s">
        <v>2166</v>
      </c>
      <c r="C2138" s="12">
        <v>36171.0</v>
      </c>
      <c r="D2138" s="11" t="str">
        <f t="shared" si="1"/>
        <v> </v>
      </c>
      <c r="E2138" s="11" t="str">
        <f t="shared" si="2"/>
        <v> </v>
      </c>
    </row>
    <row r="2139" ht="15.75" customHeight="1">
      <c r="A2139" s="11">
        <v>13359.0</v>
      </c>
      <c r="B2139" s="11" t="s">
        <v>2167</v>
      </c>
      <c r="C2139" s="12">
        <v>16573.0</v>
      </c>
      <c r="D2139" s="11" t="str">
        <f t="shared" si="1"/>
        <v> </v>
      </c>
      <c r="E2139" s="11" t="str">
        <f t="shared" si="2"/>
        <v> </v>
      </c>
    </row>
    <row r="2140" ht="15.75" customHeight="1">
      <c r="A2140" s="11">
        <v>13360.0</v>
      </c>
      <c r="B2140" s="11" t="s">
        <v>2168</v>
      </c>
      <c r="C2140" s="12">
        <v>18616.0</v>
      </c>
      <c r="D2140" s="11" t="str">
        <f t="shared" si="1"/>
        <v> </v>
      </c>
      <c r="E2140" s="11" t="str">
        <f t="shared" si="2"/>
        <v> </v>
      </c>
    </row>
    <row r="2141" ht="15.75" customHeight="1">
      <c r="A2141" s="11">
        <v>13361.0</v>
      </c>
      <c r="B2141" s="11" t="s">
        <v>2169</v>
      </c>
      <c r="C2141" s="12">
        <v>15748.0</v>
      </c>
      <c r="D2141" s="11" t="str">
        <f t="shared" si="1"/>
        <v> </v>
      </c>
      <c r="E2141" s="11" t="str">
        <f t="shared" si="2"/>
        <v> </v>
      </c>
    </row>
    <row r="2142" ht="15.75" customHeight="1">
      <c r="A2142" s="11">
        <v>13362.0</v>
      </c>
      <c r="B2142" s="11" t="s">
        <v>2170</v>
      </c>
      <c r="C2142" s="12">
        <v>22098.0</v>
      </c>
      <c r="D2142" s="11" t="str">
        <f t="shared" si="1"/>
        <v> </v>
      </c>
      <c r="E2142" s="11" t="str">
        <f t="shared" si="2"/>
        <v> </v>
      </c>
    </row>
    <row r="2143" ht="15.75" customHeight="1">
      <c r="A2143" s="11">
        <v>13363.0</v>
      </c>
      <c r="B2143" s="11" t="s">
        <v>2171</v>
      </c>
      <c r="C2143" s="12">
        <v>15853.0</v>
      </c>
      <c r="D2143" s="11" t="str">
        <f t="shared" si="1"/>
        <v> </v>
      </c>
      <c r="E2143" s="11" t="str">
        <f t="shared" si="2"/>
        <v> </v>
      </c>
    </row>
    <row r="2144" ht="15.75" customHeight="1">
      <c r="A2144" s="11">
        <v>13364.0</v>
      </c>
      <c r="B2144" s="11" t="s">
        <v>2172</v>
      </c>
      <c r="C2144" s="12">
        <v>35818.0</v>
      </c>
      <c r="D2144" s="11" t="str">
        <f t="shared" si="1"/>
        <v> </v>
      </c>
      <c r="E2144" s="11" t="str">
        <f t="shared" si="2"/>
        <v> </v>
      </c>
    </row>
    <row r="2145" ht="15.75" customHeight="1">
      <c r="A2145" s="11">
        <v>13367.0</v>
      </c>
      <c r="B2145" s="11" t="s">
        <v>2173</v>
      </c>
      <c r="C2145" s="12">
        <v>20122.0</v>
      </c>
      <c r="D2145" s="11" t="str">
        <f t="shared" si="1"/>
        <v>Repeat</v>
      </c>
      <c r="E2145" s="11" t="str">
        <f t="shared" si="2"/>
        <v> </v>
      </c>
    </row>
    <row r="2146" ht="15.75" customHeight="1">
      <c r="A2146" s="11">
        <v>13368.0</v>
      </c>
      <c r="B2146" s="11" t="s">
        <v>2174</v>
      </c>
      <c r="C2146" s="12">
        <v>34588.0</v>
      </c>
      <c r="D2146" s="11" t="str">
        <f t="shared" si="1"/>
        <v> </v>
      </c>
      <c r="E2146" s="11" t="str">
        <f t="shared" si="2"/>
        <v> </v>
      </c>
    </row>
    <row r="2147" ht="15.75" customHeight="1">
      <c r="A2147" s="11">
        <v>13369.0</v>
      </c>
      <c r="B2147" s="11" t="s">
        <v>2175</v>
      </c>
      <c r="C2147" s="12">
        <v>12842.0</v>
      </c>
      <c r="D2147" s="11" t="str">
        <f t="shared" si="1"/>
        <v>Repeat</v>
      </c>
      <c r="E2147" s="11" t="str">
        <f t="shared" si="2"/>
        <v> </v>
      </c>
    </row>
    <row r="2148" ht="15.75" customHeight="1">
      <c r="A2148" s="11">
        <v>13370.0</v>
      </c>
      <c r="B2148" s="11" t="s">
        <v>2176</v>
      </c>
      <c r="C2148" s="12">
        <v>35860.0</v>
      </c>
      <c r="D2148" s="11" t="str">
        <f t="shared" si="1"/>
        <v> </v>
      </c>
      <c r="E2148" s="11" t="str">
        <f t="shared" si="2"/>
        <v> </v>
      </c>
    </row>
    <row r="2149" ht="15.75" customHeight="1">
      <c r="A2149" s="11">
        <v>13371.0</v>
      </c>
      <c r="B2149" s="11" t="s">
        <v>2177</v>
      </c>
      <c r="C2149" s="12">
        <v>32272.0</v>
      </c>
      <c r="D2149" s="11" t="str">
        <f t="shared" si="1"/>
        <v> </v>
      </c>
      <c r="E2149" s="11" t="str">
        <f t="shared" si="2"/>
        <v> </v>
      </c>
    </row>
    <row r="2150" ht="15.75" customHeight="1">
      <c r="A2150" s="11">
        <v>13372.0</v>
      </c>
      <c r="B2150" s="11" t="s">
        <v>2178</v>
      </c>
      <c r="C2150" s="12">
        <v>35814.0</v>
      </c>
      <c r="D2150" s="11" t="str">
        <f t="shared" si="1"/>
        <v> </v>
      </c>
      <c r="E2150" s="11" t="str">
        <f t="shared" si="2"/>
        <v> </v>
      </c>
    </row>
    <row r="2151" ht="15.75" customHeight="1">
      <c r="A2151" s="11">
        <v>13373.0</v>
      </c>
      <c r="B2151" s="11" t="s">
        <v>2179</v>
      </c>
      <c r="C2151" s="12">
        <v>14775.0</v>
      </c>
      <c r="D2151" s="11" t="str">
        <f t="shared" si="1"/>
        <v>Repeat</v>
      </c>
      <c r="E2151" s="11" t="str">
        <f t="shared" si="2"/>
        <v> </v>
      </c>
    </row>
    <row r="2152" ht="15.75" customHeight="1">
      <c r="A2152" s="11">
        <v>13374.0</v>
      </c>
      <c r="B2152" s="11" t="s">
        <v>2180</v>
      </c>
      <c r="C2152" s="12">
        <v>24116.0</v>
      </c>
      <c r="D2152" s="11" t="str">
        <f t="shared" si="1"/>
        <v> </v>
      </c>
      <c r="E2152" s="11" t="str">
        <f t="shared" si="2"/>
        <v> </v>
      </c>
    </row>
    <row r="2153" ht="15.75" customHeight="1">
      <c r="A2153" s="11">
        <v>13375.0</v>
      </c>
      <c r="B2153" s="11" t="s">
        <v>2181</v>
      </c>
      <c r="C2153" s="12">
        <v>28113.0</v>
      </c>
      <c r="D2153" s="11" t="str">
        <f t="shared" si="1"/>
        <v> </v>
      </c>
      <c r="E2153" s="11" t="str">
        <f t="shared" si="2"/>
        <v> </v>
      </c>
    </row>
    <row r="2154" ht="15.75" customHeight="1">
      <c r="A2154" s="11">
        <v>13376.0</v>
      </c>
      <c r="B2154" s="11" t="s">
        <v>2182</v>
      </c>
      <c r="C2154" s="12">
        <v>19556.0</v>
      </c>
      <c r="D2154" s="11" t="str">
        <f t="shared" si="1"/>
        <v> </v>
      </c>
      <c r="E2154" s="11" t="str">
        <f t="shared" si="2"/>
        <v> </v>
      </c>
    </row>
    <row r="2155" ht="15.75" customHeight="1">
      <c r="A2155" s="11">
        <v>13377.0</v>
      </c>
      <c r="B2155" s="11" t="s">
        <v>2183</v>
      </c>
      <c r="C2155" s="12">
        <v>29960.0</v>
      </c>
      <c r="D2155" s="11" t="str">
        <f t="shared" si="1"/>
        <v> </v>
      </c>
      <c r="E2155" s="11" t="str">
        <f t="shared" si="2"/>
        <v> </v>
      </c>
    </row>
    <row r="2156" ht="15.75" customHeight="1">
      <c r="A2156" s="11">
        <v>13379.0</v>
      </c>
      <c r="B2156" s="11" t="s">
        <v>2184</v>
      </c>
      <c r="C2156" s="12">
        <v>11769.0</v>
      </c>
      <c r="D2156" s="11" t="str">
        <f t="shared" si="1"/>
        <v> </v>
      </c>
      <c r="E2156" s="11" t="str">
        <f t="shared" si="2"/>
        <v> </v>
      </c>
    </row>
    <row r="2157" ht="15.75" customHeight="1">
      <c r="A2157" s="11">
        <v>13380.0</v>
      </c>
      <c r="B2157" s="11" t="s">
        <v>2185</v>
      </c>
      <c r="C2157" s="12">
        <v>15948.0</v>
      </c>
      <c r="D2157" s="11" t="str">
        <f t="shared" si="1"/>
        <v> </v>
      </c>
      <c r="E2157" s="11" t="str">
        <f t="shared" si="2"/>
        <v> </v>
      </c>
    </row>
    <row r="2158" ht="15.75" customHeight="1">
      <c r="A2158" s="11">
        <v>13381.0</v>
      </c>
      <c r="B2158" s="11" t="s">
        <v>2186</v>
      </c>
      <c r="C2158" s="12">
        <v>28026.0</v>
      </c>
      <c r="D2158" s="11" t="str">
        <f t="shared" si="1"/>
        <v> </v>
      </c>
      <c r="E2158" s="11" t="str">
        <f t="shared" si="2"/>
        <v> </v>
      </c>
    </row>
    <row r="2159" ht="15.75" customHeight="1">
      <c r="A2159" s="11">
        <v>13383.0</v>
      </c>
      <c r="B2159" s="11" t="s">
        <v>2187</v>
      </c>
      <c r="C2159" s="12">
        <v>27079.0</v>
      </c>
      <c r="D2159" s="11" t="str">
        <f t="shared" si="1"/>
        <v> </v>
      </c>
      <c r="E2159" s="11" t="str">
        <f t="shared" si="2"/>
        <v> </v>
      </c>
    </row>
    <row r="2160" ht="15.75" customHeight="1">
      <c r="A2160" s="11">
        <v>13384.0</v>
      </c>
      <c r="B2160" s="11" t="s">
        <v>2188</v>
      </c>
      <c r="C2160" s="12">
        <v>24863.0</v>
      </c>
      <c r="D2160" s="11" t="str">
        <f t="shared" si="1"/>
        <v> </v>
      </c>
      <c r="E2160" s="11" t="str">
        <f t="shared" si="2"/>
        <v> </v>
      </c>
    </row>
    <row r="2161" ht="15.75" customHeight="1">
      <c r="A2161" s="11">
        <v>13386.0</v>
      </c>
      <c r="B2161" s="11" t="s">
        <v>2189</v>
      </c>
      <c r="C2161" s="12">
        <v>23761.0</v>
      </c>
      <c r="D2161" s="11" t="str">
        <f t="shared" si="1"/>
        <v> </v>
      </c>
      <c r="E2161" s="11" t="str">
        <f t="shared" si="2"/>
        <v> </v>
      </c>
    </row>
    <row r="2162" ht="15.75" customHeight="1">
      <c r="A2162" s="11">
        <v>13387.0</v>
      </c>
      <c r="B2162" s="11" t="s">
        <v>2190</v>
      </c>
      <c r="C2162" s="12">
        <v>17950.0</v>
      </c>
      <c r="D2162" s="11" t="str">
        <f t="shared" si="1"/>
        <v> </v>
      </c>
      <c r="E2162" s="11" t="str">
        <f t="shared" si="2"/>
        <v> </v>
      </c>
    </row>
    <row r="2163" ht="15.75" customHeight="1">
      <c r="A2163" s="11">
        <v>13388.0</v>
      </c>
      <c r="B2163" s="11" t="s">
        <v>2191</v>
      </c>
      <c r="C2163" s="12">
        <v>23605.0</v>
      </c>
      <c r="D2163" s="11" t="str">
        <f t="shared" si="1"/>
        <v> </v>
      </c>
      <c r="E2163" s="11" t="str">
        <f t="shared" si="2"/>
        <v> </v>
      </c>
    </row>
    <row r="2164" ht="15.75" customHeight="1">
      <c r="A2164" s="11">
        <v>13389.0</v>
      </c>
      <c r="B2164" s="11" t="s">
        <v>2192</v>
      </c>
      <c r="C2164" s="12">
        <v>11099.0</v>
      </c>
      <c r="D2164" s="11" t="str">
        <f t="shared" si="1"/>
        <v> </v>
      </c>
      <c r="E2164" s="11" t="str">
        <f t="shared" si="2"/>
        <v> </v>
      </c>
    </row>
    <row r="2165" ht="15.75" customHeight="1">
      <c r="A2165" s="11">
        <v>13390.0</v>
      </c>
      <c r="B2165" s="11" t="s">
        <v>2193</v>
      </c>
      <c r="C2165" s="12">
        <v>16395.0</v>
      </c>
      <c r="D2165" s="11" t="str">
        <f t="shared" si="1"/>
        <v> </v>
      </c>
      <c r="E2165" s="11" t="str">
        <f t="shared" si="2"/>
        <v> </v>
      </c>
    </row>
    <row r="2166" ht="15.75" customHeight="1">
      <c r="A2166" s="11">
        <v>13391.0</v>
      </c>
      <c r="B2166" s="11" t="s">
        <v>2194</v>
      </c>
      <c r="C2166" s="12">
        <v>24313.0</v>
      </c>
      <c r="D2166" s="11" t="str">
        <f t="shared" si="1"/>
        <v> </v>
      </c>
      <c r="E2166" s="11" t="str">
        <f t="shared" si="2"/>
        <v> </v>
      </c>
    </row>
    <row r="2167" ht="15.75" customHeight="1">
      <c r="A2167" s="11">
        <v>13394.0</v>
      </c>
      <c r="B2167" s="11" t="s">
        <v>2195</v>
      </c>
      <c r="C2167" s="12">
        <v>31473.0</v>
      </c>
      <c r="D2167" s="11" t="str">
        <f t="shared" si="1"/>
        <v> </v>
      </c>
      <c r="E2167" s="11" t="str">
        <f t="shared" si="2"/>
        <v> </v>
      </c>
    </row>
    <row r="2168" ht="15.75" customHeight="1">
      <c r="A2168" s="11">
        <v>13396.0</v>
      </c>
      <c r="B2168" s="11" t="s">
        <v>2196</v>
      </c>
      <c r="C2168" s="12">
        <v>26558.0</v>
      </c>
      <c r="D2168" s="11" t="str">
        <f t="shared" si="1"/>
        <v> </v>
      </c>
      <c r="E2168" s="11" t="str">
        <f t="shared" si="2"/>
        <v> </v>
      </c>
    </row>
    <row r="2169" ht="15.75" customHeight="1">
      <c r="A2169" s="11">
        <v>13397.0</v>
      </c>
      <c r="B2169" s="11" t="s">
        <v>2197</v>
      </c>
      <c r="C2169" s="12">
        <v>29375.0</v>
      </c>
      <c r="D2169" s="11" t="str">
        <f t="shared" si="1"/>
        <v> </v>
      </c>
      <c r="E2169" s="11" t="str">
        <f t="shared" si="2"/>
        <v> </v>
      </c>
    </row>
    <row r="2170" ht="15.75" customHeight="1">
      <c r="A2170" s="11">
        <v>13398.0</v>
      </c>
      <c r="B2170" s="11" t="s">
        <v>2198</v>
      </c>
      <c r="C2170" s="12">
        <v>20859.0</v>
      </c>
      <c r="D2170" s="11" t="str">
        <f t="shared" si="1"/>
        <v> </v>
      </c>
      <c r="E2170" s="11" t="str">
        <f t="shared" si="2"/>
        <v> </v>
      </c>
    </row>
    <row r="2171" ht="15.75" customHeight="1">
      <c r="A2171" s="11">
        <v>13401.0</v>
      </c>
      <c r="B2171" s="11" t="s">
        <v>2199</v>
      </c>
      <c r="C2171" s="12">
        <v>23906.0</v>
      </c>
      <c r="D2171" s="11" t="str">
        <f t="shared" si="1"/>
        <v> </v>
      </c>
      <c r="E2171" s="11" t="str">
        <f t="shared" si="2"/>
        <v> </v>
      </c>
    </row>
    <row r="2172" ht="15.75" customHeight="1">
      <c r="A2172" s="11">
        <v>13402.0</v>
      </c>
      <c r="B2172" s="11" t="s">
        <v>2200</v>
      </c>
      <c r="C2172" s="12">
        <v>27668.0</v>
      </c>
      <c r="D2172" s="11" t="str">
        <f t="shared" si="1"/>
        <v> </v>
      </c>
      <c r="E2172" s="11" t="str">
        <f t="shared" si="2"/>
        <v> </v>
      </c>
    </row>
    <row r="2173" ht="15.75" customHeight="1">
      <c r="A2173" s="11">
        <v>13403.0</v>
      </c>
      <c r="B2173" s="11" t="s">
        <v>2201</v>
      </c>
      <c r="C2173" s="12">
        <v>23973.0</v>
      </c>
      <c r="D2173" s="11" t="str">
        <f t="shared" si="1"/>
        <v> </v>
      </c>
      <c r="E2173" s="11" t="str">
        <f t="shared" si="2"/>
        <v> </v>
      </c>
    </row>
    <row r="2174" ht="15.75" customHeight="1">
      <c r="A2174" s="11">
        <v>13404.0</v>
      </c>
      <c r="B2174" s="11" t="s">
        <v>2202</v>
      </c>
      <c r="C2174" s="12">
        <v>22340.0</v>
      </c>
      <c r="D2174" s="11" t="str">
        <f t="shared" si="1"/>
        <v> </v>
      </c>
      <c r="E2174" s="11" t="str">
        <f t="shared" si="2"/>
        <v> </v>
      </c>
    </row>
    <row r="2175" ht="15.75" customHeight="1">
      <c r="A2175" s="11">
        <v>13405.0</v>
      </c>
      <c r="B2175" s="11" t="s">
        <v>2203</v>
      </c>
      <c r="C2175" s="12">
        <v>23929.0</v>
      </c>
      <c r="D2175" s="11" t="str">
        <f t="shared" si="1"/>
        <v> </v>
      </c>
      <c r="E2175" s="11" t="str">
        <f t="shared" si="2"/>
        <v>Repeat</v>
      </c>
    </row>
    <row r="2176" ht="15.75" customHeight="1">
      <c r="A2176" s="11">
        <v>13408.0</v>
      </c>
      <c r="B2176" s="11" t="s">
        <v>2204</v>
      </c>
      <c r="C2176" s="12">
        <v>17829.0</v>
      </c>
      <c r="D2176" s="11" t="str">
        <f t="shared" si="1"/>
        <v> </v>
      </c>
      <c r="E2176" s="11" t="str">
        <f t="shared" si="2"/>
        <v> </v>
      </c>
    </row>
    <row r="2177" ht="15.75" customHeight="1">
      <c r="A2177" s="11">
        <v>13409.0</v>
      </c>
      <c r="B2177" s="11" t="s">
        <v>2205</v>
      </c>
      <c r="C2177" s="12">
        <v>23489.0</v>
      </c>
      <c r="D2177" s="11" t="str">
        <f t="shared" si="1"/>
        <v> </v>
      </c>
      <c r="E2177" s="11" t="str">
        <f t="shared" si="2"/>
        <v> </v>
      </c>
    </row>
    <row r="2178" ht="15.75" customHeight="1">
      <c r="A2178" s="11">
        <v>13410.0</v>
      </c>
      <c r="B2178" s="11" t="s">
        <v>2206</v>
      </c>
      <c r="C2178" s="12">
        <v>29956.0</v>
      </c>
      <c r="D2178" s="11" t="str">
        <f t="shared" si="1"/>
        <v> </v>
      </c>
      <c r="E2178" s="11" t="str">
        <f t="shared" si="2"/>
        <v> </v>
      </c>
    </row>
    <row r="2179" ht="15.75" customHeight="1">
      <c r="A2179" s="11">
        <v>13411.0</v>
      </c>
      <c r="B2179" s="11" t="s">
        <v>2207</v>
      </c>
      <c r="C2179" s="12">
        <v>13234.0</v>
      </c>
      <c r="D2179" s="11" t="str">
        <f t="shared" si="1"/>
        <v> </v>
      </c>
      <c r="E2179" s="11" t="str">
        <f t="shared" si="2"/>
        <v> </v>
      </c>
    </row>
    <row r="2180" ht="15.75" customHeight="1">
      <c r="A2180" s="11">
        <v>13412.0</v>
      </c>
      <c r="B2180" s="11" t="s">
        <v>2208</v>
      </c>
      <c r="C2180" s="12">
        <v>23853.0</v>
      </c>
      <c r="D2180" s="11" t="str">
        <f t="shared" si="1"/>
        <v> </v>
      </c>
      <c r="E2180" s="11" t="str">
        <f t="shared" si="2"/>
        <v> </v>
      </c>
    </row>
    <row r="2181" ht="15.75" customHeight="1">
      <c r="A2181" s="11">
        <v>13413.0</v>
      </c>
      <c r="B2181" s="11" t="s">
        <v>2209</v>
      </c>
      <c r="C2181" s="12">
        <v>23843.0</v>
      </c>
      <c r="D2181" s="11" t="str">
        <f t="shared" si="1"/>
        <v> </v>
      </c>
      <c r="E2181" s="11" t="str">
        <f t="shared" si="2"/>
        <v> </v>
      </c>
    </row>
    <row r="2182" ht="15.75" customHeight="1">
      <c r="A2182" s="11">
        <v>13414.0</v>
      </c>
      <c r="B2182" s="11" t="s">
        <v>2210</v>
      </c>
      <c r="C2182" s="12">
        <v>15253.0</v>
      </c>
      <c r="D2182" s="11" t="str">
        <f t="shared" si="1"/>
        <v> </v>
      </c>
      <c r="E2182" s="11" t="str">
        <f t="shared" si="2"/>
        <v> </v>
      </c>
    </row>
    <row r="2183" ht="15.75" customHeight="1">
      <c r="A2183" s="11">
        <v>13416.0</v>
      </c>
      <c r="B2183" s="11" t="s">
        <v>2211</v>
      </c>
      <c r="C2183" s="12">
        <v>33613.0</v>
      </c>
      <c r="D2183" s="11" t="str">
        <f t="shared" si="1"/>
        <v> </v>
      </c>
      <c r="E2183" s="11" t="str">
        <f t="shared" si="2"/>
        <v> </v>
      </c>
    </row>
    <row r="2184" ht="15.75" customHeight="1">
      <c r="A2184" s="11">
        <v>13417.0</v>
      </c>
      <c r="B2184" s="11" t="s">
        <v>2212</v>
      </c>
      <c r="C2184" s="12">
        <v>25871.0</v>
      </c>
      <c r="D2184" s="11" t="str">
        <f t="shared" si="1"/>
        <v> </v>
      </c>
      <c r="E2184" s="11" t="str">
        <f t="shared" si="2"/>
        <v> </v>
      </c>
    </row>
    <row r="2185" ht="15.75" customHeight="1">
      <c r="A2185" s="11">
        <v>13419.0</v>
      </c>
      <c r="B2185" s="11" t="s">
        <v>2213</v>
      </c>
      <c r="C2185" s="12">
        <v>28160.0</v>
      </c>
      <c r="D2185" s="11" t="str">
        <f t="shared" si="1"/>
        <v> </v>
      </c>
      <c r="E2185" s="11" t="str">
        <f t="shared" si="2"/>
        <v> </v>
      </c>
    </row>
    <row r="2186" ht="15.75" customHeight="1">
      <c r="A2186" s="11">
        <v>13422.0</v>
      </c>
      <c r="B2186" s="11" t="s">
        <v>2214</v>
      </c>
      <c r="C2186" s="12">
        <v>22036.0</v>
      </c>
      <c r="D2186" s="11" t="str">
        <f t="shared" si="1"/>
        <v> </v>
      </c>
      <c r="E2186" s="11" t="str">
        <f t="shared" si="2"/>
        <v> </v>
      </c>
    </row>
    <row r="2187" ht="15.75" customHeight="1">
      <c r="A2187" s="11">
        <v>13424.0</v>
      </c>
      <c r="B2187" s="11" t="s">
        <v>2215</v>
      </c>
      <c r="C2187" s="12">
        <v>14544.0</v>
      </c>
      <c r="D2187" s="11" t="str">
        <f t="shared" si="1"/>
        <v>Repeat</v>
      </c>
      <c r="E2187" s="11" t="str">
        <f t="shared" si="2"/>
        <v> </v>
      </c>
    </row>
    <row r="2188" ht="15.75" customHeight="1">
      <c r="A2188" s="11">
        <v>13428.0</v>
      </c>
      <c r="B2188" s="11" t="s">
        <v>2216</v>
      </c>
      <c r="C2188" s="12">
        <v>16093.0</v>
      </c>
      <c r="D2188" s="11" t="str">
        <f t="shared" si="1"/>
        <v> </v>
      </c>
      <c r="E2188" s="11" t="str">
        <f t="shared" si="2"/>
        <v> </v>
      </c>
    </row>
    <row r="2189" ht="15.75" customHeight="1">
      <c r="A2189" s="11">
        <v>13429.0</v>
      </c>
      <c r="B2189" s="11" t="s">
        <v>2217</v>
      </c>
      <c r="C2189" s="12">
        <v>18323.0</v>
      </c>
      <c r="D2189" s="11" t="str">
        <f t="shared" si="1"/>
        <v> </v>
      </c>
      <c r="E2189" s="11" t="str">
        <f t="shared" si="2"/>
        <v> </v>
      </c>
    </row>
    <row r="2190" ht="15.75" customHeight="1">
      <c r="A2190" s="11">
        <v>13430.0</v>
      </c>
      <c r="B2190" s="11" t="s">
        <v>2218</v>
      </c>
      <c r="C2190" s="12">
        <v>12403.0</v>
      </c>
      <c r="D2190" s="11" t="str">
        <f t="shared" si="1"/>
        <v> </v>
      </c>
      <c r="E2190" s="11" t="str">
        <f t="shared" si="2"/>
        <v> </v>
      </c>
    </row>
    <row r="2191" ht="15.75" customHeight="1">
      <c r="A2191" s="11">
        <v>13432.0</v>
      </c>
      <c r="B2191" s="11" t="s">
        <v>2219</v>
      </c>
      <c r="C2191" s="12">
        <v>26678.0</v>
      </c>
      <c r="D2191" s="11" t="str">
        <f t="shared" si="1"/>
        <v> </v>
      </c>
      <c r="E2191" s="11" t="str">
        <f t="shared" si="2"/>
        <v> </v>
      </c>
    </row>
    <row r="2192" ht="15.75" customHeight="1">
      <c r="A2192" s="11">
        <v>13433.0</v>
      </c>
      <c r="B2192" s="11" t="s">
        <v>2220</v>
      </c>
      <c r="C2192" s="12">
        <v>35948.0</v>
      </c>
      <c r="D2192" s="11" t="str">
        <f t="shared" si="1"/>
        <v> </v>
      </c>
      <c r="E2192" s="11" t="str">
        <f t="shared" si="2"/>
        <v> </v>
      </c>
    </row>
    <row r="2193" ht="15.75" customHeight="1">
      <c r="A2193" s="11">
        <v>13434.0</v>
      </c>
      <c r="B2193" s="11" t="s">
        <v>2221</v>
      </c>
      <c r="C2193" s="12">
        <v>20122.0</v>
      </c>
      <c r="D2193" s="11" t="str">
        <f t="shared" si="1"/>
        <v> </v>
      </c>
      <c r="E2193" s="11" t="str">
        <f t="shared" si="2"/>
        <v> </v>
      </c>
    </row>
    <row r="2194" ht="15.75" customHeight="1">
      <c r="A2194" s="11">
        <v>13435.0</v>
      </c>
      <c r="B2194" s="11" t="s">
        <v>2222</v>
      </c>
      <c r="C2194" s="12">
        <v>22269.0</v>
      </c>
      <c r="D2194" s="11" t="str">
        <f t="shared" si="1"/>
        <v> </v>
      </c>
      <c r="E2194" s="11" t="str">
        <f t="shared" si="2"/>
        <v> </v>
      </c>
    </row>
    <row r="2195" ht="15.75" customHeight="1">
      <c r="A2195" s="11">
        <v>13436.0</v>
      </c>
      <c r="B2195" s="11" t="s">
        <v>2223</v>
      </c>
      <c r="C2195" s="12">
        <v>12775.0</v>
      </c>
      <c r="D2195" s="11" t="str">
        <f t="shared" si="1"/>
        <v> </v>
      </c>
      <c r="E2195" s="11" t="str">
        <f t="shared" si="2"/>
        <v> </v>
      </c>
    </row>
    <row r="2196" ht="15.75" customHeight="1">
      <c r="A2196" s="11">
        <v>13437.0</v>
      </c>
      <c r="B2196" s="11" t="s">
        <v>2224</v>
      </c>
      <c r="C2196" s="12">
        <v>18994.0</v>
      </c>
      <c r="D2196" s="11" t="str">
        <f t="shared" si="1"/>
        <v> </v>
      </c>
      <c r="E2196" s="11" t="str">
        <f t="shared" si="2"/>
        <v> </v>
      </c>
    </row>
    <row r="2197" ht="15.75" customHeight="1">
      <c r="A2197" s="11">
        <v>13438.0</v>
      </c>
      <c r="B2197" s="11" t="s">
        <v>2225</v>
      </c>
      <c r="C2197" s="12">
        <v>25227.0</v>
      </c>
      <c r="D2197" s="11" t="str">
        <f t="shared" si="1"/>
        <v> </v>
      </c>
      <c r="E2197" s="11" t="str">
        <f t="shared" si="2"/>
        <v> </v>
      </c>
    </row>
    <row r="2198" ht="15.75" customHeight="1">
      <c r="A2198" s="11">
        <v>13439.0</v>
      </c>
      <c r="B2198" s="11" t="s">
        <v>2226</v>
      </c>
      <c r="C2198" s="12">
        <v>28205.0</v>
      </c>
      <c r="D2198" s="11" t="str">
        <f t="shared" si="1"/>
        <v> </v>
      </c>
      <c r="E2198" s="11" t="str">
        <f t="shared" si="2"/>
        <v> </v>
      </c>
    </row>
    <row r="2199" ht="15.75" customHeight="1">
      <c r="A2199" s="11">
        <v>13440.0</v>
      </c>
      <c r="B2199" s="11" t="s">
        <v>2227</v>
      </c>
      <c r="C2199" s="12">
        <v>16642.0</v>
      </c>
      <c r="D2199" s="11" t="str">
        <f t="shared" si="1"/>
        <v> </v>
      </c>
      <c r="E2199" s="11" t="str">
        <f t="shared" si="2"/>
        <v> </v>
      </c>
    </row>
    <row r="2200" ht="15.75" customHeight="1">
      <c r="A2200" s="11">
        <v>13441.0</v>
      </c>
      <c r="B2200" s="11" t="s">
        <v>2228</v>
      </c>
      <c r="C2200" s="12">
        <v>18256.0</v>
      </c>
      <c r="D2200" s="11" t="str">
        <f t="shared" si="1"/>
        <v>Repeat</v>
      </c>
      <c r="E2200" s="11" t="str">
        <f t="shared" si="2"/>
        <v> </v>
      </c>
    </row>
    <row r="2201" ht="15.75" customHeight="1">
      <c r="A2201" s="11">
        <v>13442.0</v>
      </c>
      <c r="B2201" s="11" t="s">
        <v>2229</v>
      </c>
      <c r="C2201" s="12">
        <v>19087.0</v>
      </c>
      <c r="D2201" s="11" t="str">
        <f t="shared" si="1"/>
        <v> </v>
      </c>
      <c r="E2201" s="11" t="str">
        <f t="shared" si="2"/>
        <v> </v>
      </c>
    </row>
    <row r="2202" ht="15.75" customHeight="1">
      <c r="A2202" s="11">
        <v>13443.0</v>
      </c>
      <c r="B2202" s="11" t="s">
        <v>2230</v>
      </c>
      <c r="C2202" s="12">
        <v>14562.0</v>
      </c>
      <c r="D2202" s="11" t="str">
        <f t="shared" si="1"/>
        <v> </v>
      </c>
      <c r="E2202" s="11" t="str">
        <f t="shared" si="2"/>
        <v> </v>
      </c>
    </row>
    <row r="2203" ht="15.75" customHeight="1">
      <c r="A2203" s="11">
        <v>13444.0</v>
      </c>
      <c r="B2203" s="11" t="s">
        <v>2231</v>
      </c>
      <c r="C2203" s="12">
        <v>35496.0</v>
      </c>
      <c r="D2203" s="11" t="str">
        <f t="shared" si="1"/>
        <v> </v>
      </c>
      <c r="E2203" s="11" t="str">
        <f t="shared" si="2"/>
        <v> </v>
      </c>
    </row>
    <row r="2204" ht="15.75" customHeight="1">
      <c r="A2204" s="11">
        <v>13445.0</v>
      </c>
      <c r="B2204" s="11" t="s">
        <v>2232</v>
      </c>
      <c r="C2204" s="12">
        <v>30216.0</v>
      </c>
      <c r="D2204" s="11" t="str">
        <f t="shared" si="1"/>
        <v> </v>
      </c>
      <c r="E2204" s="11" t="str">
        <f t="shared" si="2"/>
        <v> </v>
      </c>
    </row>
    <row r="2205" ht="15.75" customHeight="1">
      <c r="A2205" s="11">
        <v>13446.0</v>
      </c>
      <c r="B2205" s="11" t="s">
        <v>2233</v>
      </c>
      <c r="C2205" s="12">
        <v>22265.0</v>
      </c>
      <c r="D2205" s="11" t="str">
        <f t="shared" si="1"/>
        <v> </v>
      </c>
      <c r="E2205" s="11" t="str">
        <f t="shared" si="2"/>
        <v> </v>
      </c>
    </row>
    <row r="2206" ht="15.75" customHeight="1">
      <c r="A2206" s="11">
        <v>13447.0</v>
      </c>
      <c r="B2206" s="11" t="s">
        <v>2234</v>
      </c>
      <c r="C2206" s="12">
        <v>24516.0</v>
      </c>
      <c r="D2206" s="11" t="str">
        <f t="shared" si="1"/>
        <v> </v>
      </c>
      <c r="E2206" s="11" t="str">
        <f t="shared" si="2"/>
        <v> </v>
      </c>
    </row>
    <row r="2207" ht="15.75" customHeight="1">
      <c r="A2207" s="11">
        <v>13448.0</v>
      </c>
      <c r="B2207" s="11" t="s">
        <v>2235</v>
      </c>
      <c r="C2207" s="12">
        <v>30002.0</v>
      </c>
      <c r="D2207" s="11" t="str">
        <f t="shared" si="1"/>
        <v> </v>
      </c>
      <c r="E2207" s="11" t="str">
        <f t="shared" si="2"/>
        <v> </v>
      </c>
    </row>
    <row r="2208" ht="15.75" customHeight="1">
      <c r="A2208" s="11">
        <v>13449.0</v>
      </c>
      <c r="B2208" s="11" t="s">
        <v>2236</v>
      </c>
      <c r="C2208" s="12">
        <v>18811.0</v>
      </c>
      <c r="D2208" s="11" t="str">
        <f t="shared" si="1"/>
        <v> </v>
      </c>
      <c r="E2208" s="11" t="str">
        <f t="shared" si="2"/>
        <v> </v>
      </c>
    </row>
    <row r="2209" ht="15.75" customHeight="1">
      <c r="A2209" s="11">
        <v>13450.0</v>
      </c>
      <c r="B2209" s="11" t="s">
        <v>2237</v>
      </c>
      <c r="C2209" s="12">
        <v>15126.0</v>
      </c>
      <c r="D2209" s="11" t="str">
        <f t="shared" si="1"/>
        <v> </v>
      </c>
      <c r="E2209" s="11" t="str">
        <f t="shared" si="2"/>
        <v> </v>
      </c>
    </row>
    <row r="2210" ht="15.75" customHeight="1">
      <c r="A2210" s="11">
        <v>13454.0</v>
      </c>
      <c r="B2210" s="11" t="s">
        <v>2238</v>
      </c>
      <c r="C2210" s="12">
        <v>35190.0</v>
      </c>
      <c r="D2210" s="11" t="str">
        <f t="shared" si="1"/>
        <v> </v>
      </c>
      <c r="E2210" s="11" t="str">
        <f t="shared" si="2"/>
        <v> </v>
      </c>
    </row>
    <row r="2211" ht="15.75" customHeight="1">
      <c r="A2211" s="11">
        <v>13455.0</v>
      </c>
      <c r="B2211" s="11" t="s">
        <v>2239</v>
      </c>
      <c r="C2211" s="12">
        <v>25474.0</v>
      </c>
      <c r="D2211" s="11" t="str">
        <f t="shared" si="1"/>
        <v> </v>
      </c>
      <c r="E2211" s="11" t="str">
        <f t="shared" si="2"/>
        <v> </v>
      </c>
    </row>
    <row r="2212" ht="15.75" customHeight="1">
      <c r="A2212" s="11">
        <v>13456.0</v>
      </c>
      <c r="B2212" s="11" t="s">
        <v>2240</v>
      </c>
      <c r="C2212" s="12">
        <v>20639.0</v>
      </c>
      <c r="D2212" s="11" t="str">
        <f t="shared" si="1"/>
        <v> </v>
      </c>
      <c r="E2212" s="11" t="str">
        <f t="shared" si="2"/>
        <v> </v>
      </c>
    </row>
    <row r="2213" ht="15.75" customHeight="1">
      <c r="A2213" s="11">
        <v>13457.0</v>
      </c>
      <c r="B2213" s="11" t="s">
        <v>2241</v>
      </c>
      <c r="C2213" s="12">
        <v>30016.0</v>
      </c>
      <c r="D2213" s="11" t="str">
        <f t="shared" si="1"/>
        <v> </v>
      </c>
      <c r="E2213" s="11" t="str">
        <f t="shared" si="2"/>
        <v> </v>
      </c>
    </row>
    <row r="2214" ht="15.75" customHeight="1">
      <c r="A2214" s="11">
        <v>13458.0</v>
      </c>
      <c r="B2214" s="11" t="s">
        <v>2242</v>
      </c>
      <c r="C2214" s="12">
        <v>21888.0</v>
      </c>
      <c r="D2214" s="11" t="str">
        <f t="shared" si="1"/>
        <v> </v>
      </c>
      <c r="E2214" s="11" t="str">
        <f t="shared" si="2"/>
        <v> </v>
      </c>
    </row>
    <row r="2215" ht="15.75" customHeight="1">
      <c r="A2215" s="11">
        <v>13460.0</v>
      </c>
      <c r="B2215" s="11" t="s">
        <v>2243</v>
      </c>
      <c r="C2215" s="12">
        <v>30417.0</v>
      </c>
      <c r="D2215" s="11" t="str">
        <f t="shared" si="1"/>
        <v> </v>
      </c>
      <c r="E2215" s="11" t="str">
        <f t="shared" si="2"/>
        <v> </v>
      </c>
    </row>
    <row r="2216" ht="15.75" customHeight="1">
      <c r="A2216" s="11">
        <v>13461.0</v>
      </c>
      <c r="B2216" s="11" t="s">
        <v>2244</v>
      </c>
      <c r="C2216" s="12">
        <v>30149.0</v>
      </c>
      <c r="D2216" s="11" t="str">
        <f t="shared" si="1"/>
        <v> </v>
      </c>
      <c r="E2216" s="11" t="str">
        <f t="shared" si="2"/>
        <v> </v>
      </c>
    </row>
    <row r="2217" ht="15.75" customHeight="1">
      <c r="A2217" s="11">
        <v>13462.0</v>
      </c>
      <c r="B2217" s="11" t="s">
        <v>2245</v>
      </c>
      <c r="C2217" s="12">
        <v>15094.0</v>
      </c>
      <c r="D2217" s="11" t="str">
        <f t="shared" si="1"/>
        <v> </v>
      </c>
      <c r="E2217" s="11" t="str">
        <f t="shared" si="2"/>
        <v> </v>
      </c>
    </row>
    <row r="2218" ht="15.75" customHeight="1">
      <c r="A2218" s="11">
        <v>13463.0</v>
      </c>
      <c r="B2218" s="11" t="s">
        <v>2246</v>
      </c>
      <c r="C2218" s="12">
        <v>19914.0</v>
      </c>
      <c r="D2218" s="11" t="str">
        <f t="shared" si="1"/>
        <v>Repeat</v>
      </c>
      <c r="E2218" s="11" t="str">
        <f t="shared" si="2"/>
        <v> </v>
      </c>
    </row>
    <row r="2219" ht="15.75" customHeight="1">
      <c r="A2219" s="11">
        <v>13464.0</v>
      </c>
      <c r="B2219" s="11" t="s">
        <v>2247</v>
      </c>
      <c r="C2219" s="12">
        <v>22564.0</v>
      </c>
      <c r="D2219" s="11" t="str">
        <f t="shared" si="1"/>
        <v> </v>
      </c>
      <c r="E2219" s="11" t="str">
        <f t="shared" si="2"/>
        <v> </v>
      </c>
    </row>
    <row r="2220" ht="15.75" customHeight="1">
      <c r="A2220" s="11">
        <v>13465.0</v>
      </c>
      <c r="B2220" s="11" t="s">
        <v>2248</v>
      </c>
      <c r="C2220" s="12">
        <v>16465.0</v>
      </c>
      <c r="D2220" s="11" t="str">
        <f t="shared" si="1"/>
        <v> </v>
      </c>
      <c r="E2220" s="11" t="str">
        <f t="shared" si="2"/>
        <v> </v>
      </c>
    </row>
    <row r="2221" ht="15.75" customHeight="1">
      <c r="A2221" s="11">
        <v>13466.0</v>
      </c>
      <c r="B2221" s="11" t="s">
        <v>2249</v>
      </c>
      <c r="C2221" s="12">
        <v>26953.0</v>
      </c>
      <c r="D2221" s="11" t="str">
        <f t="shared" si="1"/>
        <v> </v>
      </c>
      <c r="E2221" s="11" t="str">
        <f t="shared" si="2"/>
        <v> </v>
      </c>
    </row>
    <row r="2222" ht="15.75" customHeight="1">
      <c r="A2222" s="11">
        <v>13467.0</v>
      </c>
      <c r="B2222" s="11" t="s">
        <v>2250</v>
      </c>
      <c r="C2222" s="12">
        <v>14935.0</v>
      </c>
      <c r="D2222" s="11" t="str">
        <f t="shared" si="1"/>
        <v>Repeat</v>
      </c>
      <c r="E2222" s="11" t="str">
        <f t="shared" si="2"/>
        <v> </v>
      </c>
    </row>
    <row r="2223" ht="15.75" customHeight="1">
      <c r="A2223" s="11">
        <v>13468.0</v>
      </c>
      <c r="B2223" s="11" t="s">
        <v>2251</v>
      </c>
      <c r="C2223" s="12">
        <v>17893.0</v>
      </c>
      <c r="D2223" s="11" t="str">
        <f t="shared" si="1"/>
        <v> </v>
      </c>
      <c r="E2223" s="11" t="str">
        <f t="shared" si="2"/>
        <v> </v>
      </c>
    </row>
    <row r="2224" ht="15.75" customHeight="1">
      <c r="A2224" s="11">
        <v>13470.0</v>
      </c>
      <c r="B2224" s="11" t="s">
        <v>2252</v>
      </c>
      <c r="C2224" s="12">
        <v>20176.0</v>
      </c>
      <c r="D2224" s="11" t="str">
        <f t="shared" si="1"/>
        <v> </v>
      </c>
      <c r="E2224" s="11" t="str">
        <f t="shared" si="2"/>
        <v> </v>
      </c>
    </row>
    <row r="2225" ht="15.75" customHeight="1">
      <c r="A2225" s="11">
        <v>13471.0</v>
      </c>
      <c r="B2225" s="11" t="s">
        <v>2253</v>
      </c>
      <c r="C2225" s="12">
        <v>19313.0</v>
      </c>
      <c r="D2225" s="11" t="str">
        <f t="shared" si="1"/>
        <v> </v>
      </c>
      <c r="E2225" s="11" t="str">
        <f t="shared" si="2"/>
        <v> </v>
      </c>
    </row>
    <row r="2226" ht="15.75" customHeight="1">
      <c r="A2226" s="11">
        <v>13472.0</v>
      </c>
      <c r="B2226" s="11" t="s">
        <v>553</v>
      </c>
      <c r="C2226" s="12">
        <v>21682.0</v>
      </c>
      <c r="D2226" s="11" t="str">
        <f t="shared" si="1"/>
        <v>Repeat</v>
      </c>
      <c r="E2226" s="11" t="str">
        <f t="shared" si="2"/>
        <v> </v>
      </c>
    </row>
    <row r="2227" ht="15.75" customHeight="1">
      <c r="A2227" s="11">
        <v>13473.0</v>
      </c>
      <c r="B2227" s="11" t="s">
        <v>2254</v>
      </c>
      <c r="C2227" s="12">
        <v>34643.0</v>
      </c>
      <c r="D2227" s="11" t="str">
        <f t="shared" si="1"/>
        <v> </v>
      </c>
      <c r="E2227" s="11" t="str">
        <f t="shared" si="2"/>
        <v> </v>
      </c>
    </row>
    <row r="2228" ht="15.75" customHeight="1">
      <c r="A2228" s="11">
        <v>13474.0</v>
      </c>
      <c r="B2228" s="11" t="s">
        <v>2255</v>
      </c>
      <c r="C2228" s="12">
        <v>21510.0</v>
      </c>
      <c r="D2228" s="11" t="str">
        <f t="shared" si="1"/>
        <v> </v>
      </c>
      <c r="E2228" s="11" t="str">
        <f t="shared" si="2"/>
        <v> </v>
      </c>
    </row>
    <row r="2229" ht="15.75" customHeight="1">
      <c r="A2229" s="11">
        <v>13475.0</v>
      </c>
      <c r="B2229" s="11" t="s">
        <v>2256</v>
      </c>
      <c r="C2229" s="12">
        <v>22517.0</v>
      </c>
      <c r="D2229" s="11" t="str">
        <f t="shared" si="1"/>
        <v> </v>
      </c>
      <c r="E2229" s="11" t="str">
        <f t="shared" si="2"/>
        <v> </v>
      </c>
    </row>
    <row r="2230" ht="15.75" customHeight="1">
      <c r="A2230" s="11">
        <v>13476.0</v>
      </c>
      <c r="B2230" s="11" t="s">
        <v>2257</v>
      </c>
      <c r="C2230" s="12">
        <v>35752.0</v>
      </c>
      <c r="D2230" s="11" t="str">
        <f t="shared" si="1"/>
        <v> </v>
      </c>
      <c r="E2230" s="11" t="str">
        <f t="shared" si="2"/>
        <v> </v>
      </c>
    </row>
    <row r="2231" ht="15.75" customHeight="1">
      <c r="A2231" s="11">
        <v>13477.0</v>
      </c>
      <c r="B2231" s="11" t="s">
        <v>2258</v>
      </c>
      <c r="C2231" s="12">
        <v>19238.0</v>
      </c>
      <c r="D2231" s="11" t="str">
        <f t="shared" si="1"/>
        <v> </v>
      </c>
      <c r="E2231" s="11" t="str">
        <f t="shared" si="2"/>
        <v> </v>
      </c>
    </row>
    <row r="2232" ht="15.75" customHeight="1">
      <c r="A2232" s="11">
        <v>13478.0</v>
      </c>
      <c r="B2232" s="11" t="s">
        <v>2259</v>
      </c>
      <c r="C2232" s="12">
        <v>19379.0</v>
      </c>
      <c r="D2232" s="11" t="str">
        <f t="shared" si="1"/>
        <v> </v>
      </c>
      <c r="E2232" s="11" t="str">
        <f t="shared" si="2"/>
        <v> </v>
      </c>
    </row>
    <row r="2233" ht="15.75" customHeight="1">
      <c r="A2233" s="11">
        <v>13481.0</v>
      </c>
      <c r="B2233" s="11" t="s">
        <v>2260</v>
      </c>
      <c r="C2233" s="12">
        <v>26181.0</v>
      </c>
      <c r="D2233" s="11" t="str">
        <f t="shared" si="1"/>
        <v> </v>
      </c>
      <c r="E2233" s="11" t="str">
        <f t="shared" si="2"/>
        <v> </v>
      </c>
    </row>
    <row r="2234" ht="15.75" customHeight="1">
      <c r="A2234" s="11">
        <v>13482.0</v>
      </c>
      <c r="B2234" s="11" t="s">
        <v>2261</v>
      </c>
      <c r="C2234" s="12">
        <v>19958.0</v>
      </c>
      <c r="D2234" s="11" t="str">
        <f t="shared" si="1"/>
        <v> </v>
      </c>
      <c r="E2234" s="11" t="str">
        <f t="shared" si="2"/>
        <v> </v>
      </c>
    </row>
    <row r="2235" ht="15.75" customHeight="1">
      <c r="A2235" s="11">
        <v>13483.0</v>
      </c>
      <c r="B2235" s="11" t="s">
        <v>2262</v>
      </c>
      <c r="C2235" s="12">
        <v>20816.0</v>
      </c>
      <c r="D2235" s="11" t="str">
        <f t="shared" si="1"/>
        <v> </v>
      </c>
      <c r="E2235" s="11" t="str">
        <f t="shared" si="2"/>
        <v> </v>
      </c>
    </row>
    <row r="2236" ht="15.75" customHeight="1">
      <c r="A2236" s="11">
        <v>13484.0</v>
      </c>
      <c r="B2236" s="11" t="s">
        <v>2263</v>
      </c>
      <c r="C2236" s="12">
        <v>15575.0</v>
      </c>
      <c r="D2236" s="11" t="str">
        <f t="shared" si="1"/>
        <v> </v>
      </c>
      <c r="E2236" s="11" t="str">
        <f t="shared" si="2"/>
        <v> </v>
      </c>
    </row>
    <row r="2237" ht="15.75" customHeight="1">
      <c r="A2237" s="11">
        <v>13485.0</v>
      </c>
      <c r="B2237" s="11" t="s">
        <v>2264</v>
      </c>
      <c r="C2237" s="12">
        <v>19927.0</v>
      </c>
      <c r="D2237" s="11" t="str">
        <f t="shared" si="1"/>
        <v> </v>
      </c>
      <c r="E2237" s="11" t="str">
        <f t="shared" si="2"/>
        <v> </v>
      </c>
    </row>
    <row r="2238" ht="15.75" customHeight="1">
      <c r="A2238" s="11">
        <v>13486.0</v>
      </c>
      <c r="B2238" s="11" t="s">
        <v>2265</v>
      </c>
      <c r="C2238" s="12">
        <v>17682.0</v>
      </c>
      <c r="D2238" s="11" t="str">
        <f t="shared" si="1"/>
        <v> </v>
      </c>
      <c r="E2238" s="11" t="str">
        <f t="shared" si="2"/>
        <v> </v>
      </c>
    </row>
    <row r="2239" ht="15.75" customHeight="1">
      <c r="A2239" s="11">
        <v>13487.0</v>
      </c>
      <c r="B2239" s="11" t="s">
        <v>2266</v>
      </c>
      <c r="C2239" s="12">
        <v>16900.0</v>
      </c>
      <c r="D2239" s="11" t="str">
        <f t="shared" si="1"/>
        <v> </v>
      </c>
      <c r="E2239" s="11" t="str">
        <f t="shared" si="2"/>
        <v> </v>
      </c>
    </row>
    <row r="2240" ht="15.75" customHeight="1">
      <c r="A2240" s="11">
        <v>13488.0</v>
      </c>
      <c r="B2240" s="11" t="s">
        <v>2267</v>
      </c>
      <c r="C2240" s="12">
        <v>16872.0</v>
      </c>
      <c r="D2240" s="11" t="str">
        <f t="shared" si="1"/>
        <v> </v>
      </c>
      <c r="E2240" s="11" t="str">
        <f t="shared" si="2"/>
        <v> </v>
      </c>
    </row>
    <row r="2241" ht="15.75" customHeight="1">
      <c r="A2241" s="11">
        <v>13491.0</v>
      </c>
      <c r="B2241" s="11" t="s">
        <v>2268</v>
      </c>
      <c r="C2241" s="12">
        <v>29764.0</v>
      </c>
      <c r="D2241" s="11" t="str">
        <f t="shared" si="1"/>
        <v> </v>
      </c>
      <c r="E2241" s="11" t="str">
        <f t="shared" si="2"/>
        <v> </v>
      </c>
    </row>
    <row r="2242" ht="15.75" customHeight="1">
      <c r="A2242" s="11">
        <v>13492.0</v>
      </c>
      <c r="B2242" s="11" t="s">
        <v>2269</v>
      </c>
      <c r="C2242" s="12">
        <v>25055.0</v>
      </c>
      <c r="D2242" s="11" t="str">
        <f t="shared" si="1"/>
        <v> </v>
      </c>
      <c r="E2242" s="11" t="str">
        <f t="shared" si="2"/>
        <v> </v>
      </c>
    </row>
    <row r="2243" ht="15.75" customHeight="1">
      <c r="A2243" s="11">
        <v>13493.0</v>
      </c>
      <c r="B2243" s="11" t="s">
        <v>2270</v>
      </c>
      <c r="C2243" s="12">
        <v>24244.0</v>
      </c>
      <c r="D2243" s="11" t="str">
        <f t="shared" si="1"/>
        <v> </v>
      </c>
      <c r="E2243" s="11" t="str">
        <f t="shared" si="2"/>
        <v> </v>
      </c>
    </row>
    <row r="2244" ht="15.75" customHeight="1">
      <c r="A2244" s="11">
        <v>13494.0</v>
      </c>
      <c r="B2244" s="11" t="s">
        <v>2271</v>
      </c>
      <c r="C2244" s="12">
        <v>30826.0</v>
      </c>
      <c r="D2244" s="11" t="str">
        <f t="shared" si="1"/>
        <v> </v>
      </c>
      <c r="E2244" s="11" t="str">
        <f t="shared" si="2"/>
        <v> </v>
      </c>
    </row>
    <row r="2245" ht="15.75" customHeight="1">
      <c r="A2245" s="11">
        <v>13495.0</v>
      </c>
      <c r="B2245" s="11" t="s">
        <v>2272</v>
      </c>
      <c r="C2245" s="12">
        <v>25394.0</v>
      </c>
      <c r="D2245" s="11" t="str">
        <f t="shared" si="1"/>
        <v> </v>
      </c>
      <c r="E2245" s="11" t="str">
        <f t="shared" si="2"/>
        <v> </v>
      </c>
    </row>
    <row r="2246" ht="15.75" customHeight="1">
      <c r="A2246" s="11">
        <v>13496.0</v>
      </c>
      <c r="B2246" s="11" t="s">
        <v>2273</v>
      </c>
      <c r="C2246" s="12">
        <v>11820.0</v>
      </c>
      <c r="D2246" s="11" t="str">
        <f t="shared" si="1"/>
        <v>Repeat</v>
      </c>
      <c r="E2246" s="11" t="str">
        <f t="shared" si="2"/>
        <v> </v>
      </c>
    </row>
    <row r="2247" ht="15.75" customHeight="1">
      <c r="A2247" s="11">
        <v>13497.0</v>
      </c>
      <c r="B2247" s="11" t="s">
        <v>2274</v>
      </c>
      <c r="C2247" s="12">
        <v>23228.0</v>
      </c>
      <c r="D2247" s="11" t="str">
        <f t="shared" si="1"/>
        <v> </v>
      </c>
      <c r="E2247" s="11" t="str">
        <f t="shared" si="2"/>
        <v> </v>
      </c>
    </row>
    <row r="2248" ht="15.75" customHeight="1">
      <c r="A2248" s="11">
        <v>13498.0</v>
      </c>
      <c r="B2248" s="11" t="s">
        <v>2275</v>
      </c>
      <c r="C2248" s="12">
        <v>20405.0</v>
      </c>
      <c r="D2248" s="11" t="str">
        <f t="shared" si="1"/>
        <v> </v>
      </c>
      <c r="E2248" s="11" t="str">
        <f t="shared" si="2"/>
        <v> </v>
      </c>
    </row>
    <row r="2249" ht="15.75" customHeight="1">
      <c r="A2249" s="11">
        <v>13499.0</v>
      </c>
      <c r="B2249" s="11" t="s">
        <v>2276</v>
      </c>
      <c r="C2249" s="12">
        <v>14736.0</v>
      </c>
      <c r="D2249" s="11" t="str">
        <f t="shared" si="1"/>
        <v> </v>
      </c>
      <c r="E2249" s="11" t="str">
        <f t="shared" si="2"/>
        <v> </v>
      </c>
    </row>
    <row r="2250" ht="15.75" customHeight="1">
      <c r="A2250" s="11">
        <v>13500.0</v>
      </c>
      <c r="B2250" s="11" t="s">
        <v>2277</v>
      </c>
      <c r="C2250" s="12">
        <v>32518.0</v>
      </c>
      <c r="D2250" s="11" t="str">
        <f t="shared" si="1"/>
        <v> </v>
      </c>
      <c r="E2250" s="11" t="str">
        <f t="shared" si="2"/>
        <v> </v>
      </c>
    </row>
    <row r="2251" ht="15.75" customHeight="1">
      <c r="A2251" s="11">
        <v>13501.0</v>
      </c>
      <c r="B2251" s="11" t="s">
        <v>2278</v>
      </c>
      <c r="C2251" s="12">
        <v>18976.0</v>
      </c>
      <c r="D2251" s="11" t="str">
        <f t="shared" si="1"/>
        <v> </v>
      </c>
      <c r="E2251" s="11" t="str">
        <f t="shared" si="2"/>
        <v> </v>
      </c>
    </row>
    <row r="2252" ht="15.75" customHeight="1">
      <c r="A2252" s="11">
        <v>13503.0</v>
      </c>
      <c r="B2252" s="11" t="s">
        <v>2279</v>
      </c>
      <c r="C2252" s="12">
        <v>19464.0</v>
      </c>
      <c r="D2252" s="11" t="str">
        <f t="shared" si="1"/>
        <v> </v>
      </c>
      <c r="E2252" s="11" t="str">
        <f t="shared" si="2"/>
        <v> </v>
      </c>
    </row>
    <row r="2253" ht="15.75" customHeight="1">
      <c r="A2253" s="11">
        <v>13504.0</v>
      </c>
      <c r="B2253" s="11" t="s">
        <v>2280</v>
      </c>
      <c r="C2253" s="12">
        <v>27478.0</v>
      </c>
      <c r="D2253" s="11" t="str">
        <f t="shared" si="1"/>
        <v> </v>
      </c>
      <c r="E2253" s="11" t="str">
        <f t="shared" si="2"/>
        <v> </v>
      </c>
    </row>
    <row r="2254" ht="15.75" customHeight="1">
      <c r="A2254" s="11">
        <v>13505.0</v>
      </c>
      <c r="B2254" s="11" t="s">
        <v>2281</v>
      </c>
      <c r="C2254" s="12">
        <v>24325.0</v>
      </c>
      <c r="D2254" s="11" t="str">
        <f t="shared" si="1"/>
        <v> </v>
      </c>
      <c r="E2254" s="11" t="str">
        <f t="shared" si="2"/>
        <v> </v>
      </c>
    </row>
    <row r="2255" ht="15.75" customHeight="1">
      <c r="A2255" s="11">
        <v>13507.0</v>
      </c>
      <c r="B2255" s="11" t="s">
        <v>2282</v>
      </c>
      <c r="C2255" s="12">
        <v>19994.0</v>
      </c>
      <c r="D2255" s="11" t="str">
        <f t="shared" si="1"/>
        <v> </v>
      </c>
      <c r="E2255" s="11" t="str">
        <f t="shared" si="2"/>
        <v> </v>
      </c>
    </row>
    <row r="2256" ht="15.75" customHeight="1">
      <c r="A2256" s="11">
        <v>13508.0</v>
      </c>
      <c r="B2256" s="11" t="s">
        <v>2283</v>
      </c>
      <c r="C2256" s="12">
        <v>32601.0</v>
      </c>
      <c r="D2256" s="11" t="str">
        <f t="shared" si="1"/>
        <v> </v>
      </c>
      <c r="E2256" s="11" t="str">
        <f t="shared" si="2"/>
        <v> </v>
      </c>
    </row>
    <row r="2257" ht="15.75" customHeight="1">
      <c r="A2257" s="11">
        <v>13509.0</v>
      </c>
      <c r="B2257" s="11" t="s">
        <v>2284</v>
      </c>
      <c r="C2257" s="12">
        <v>21573.0</v>
      </c>
      <c r="D2257" s="11" t="str">
        <f t="shared" si="1"/>
        <v> </v>
      </c>
      <c r="E2257" s="11" t="str">
        <f t="shared" si="2"/>
        <v> </v>
      </c>
    </row>
    <row r="2258" ht="15.75" customHeight="1">
      <c r="A2258" s="11">
        <v>13510.0</v>
      </c>
      <c r="B2258" s="11" t="s">
        <v>2285</v>
      </c>
      <c r="C2258" s="12">
        <v>19730.0</v>
      </c>
      <c r="D2258" s="11" t="str">
        <f t="shared" si="1"/>
        <v> </v>
      </c>
      <c r="E2258" s="11" t="str">
        <f t="shared" si="2"/>
        <v> </v>
      </c>
    </row>
    <row r="2259" ht="15.75" customHeight="1">
      <c r="A2259" s="11">
        <v>13511.0</v>
      </c>
      <c r="B2259" s="11" t="s">
        <v>2286</v>
      </c>
      <c r="C2259" s="12">
        <v>19048.0</v>
      </c>
      <c r="D2259" s="11" t="str">
        <f t="shared" si="1"/>
        <v> </v>
      </c>
      <c r="E2259" s="11" t="str">
        <f t="shared" si="2"/>
        <v> </v>
      </c>
    </row>
    <row r="2260" ht="15.75" customHeight="1">
      <c r="A2260" s="11">
        <v>13512.0</v>
      </c>
      <c r="B2260" s="11" t="s">
        <v>2287</v>
      </c>
      <c r="C2260" s="12">
        <v>14802.0</v>
      </c>
      <c r="D2260" s="11" t="str">
        <f t="shared" si="1"/>
        <v>Repeat</v>
      </c>
      <c r="E2260" s="11" t="str">
        <f t="shared" si="2"/>
        <v>Repeat</v>
      </c>
    </row>
    <row r="2261" ht="15.75" customHeight="1">
      <c r="A2261" s="11">
        <v>13514.0</v>
      </c>
      <c r="B2261" s="11" t="s">
        <v>2288</v>
      </c>
      <c r="C2261" s="12">
        <v>33238.0</v>
      </c>
      <c r="D2261" s="11" t="str">
        <f t="shared" si="1"/>
        <v> </v>
      </c>
      <c r="E2261" s="11" t="str">
        <f t="shared" si="2"/>
        <v> </v>
      </c>
    </row>
    <row r="2262" ht="15.75" customHeight="1">
      <c r="A2262" s="11">
        <v>13517.0</v>
      </c>
      <c r="B2262" s="11" t="s">
        <v>2289</v>
      </c>
      <c r="C2262" s="12">
        <v>33708.0</v>
      </c>
      <c r="D2262" s="11" t="str">
        <f t="shared" si="1"/>
        <v> </v>
      </c>
      <c r="E2262" s="11" t="str">
        <f t="shared" si="2"/>
        <v> </v>
      </c>
    </row>
    <row r="2263" ht="15.75" customHeight="1">
      <c r="A2263" s="11">
        <v>13518.0</v>
      </c>
      <c r="B2263" s="11" t="s">
        <v>2290</v>
      </c>
      <c r="C2263" s="12">
        <v>32525.0</v>
      </c>
      <c r="D2263" s="11" t="str">
        <f t="shared" si="1"/>
        <v> </v>
      </c>
      <c r="E2263" s="11" t="str">
        <f t="shared" si="2"/>
        <v> </v>
      </c>
    </row>
    <row r="2264" ht="15.75" customHeight="1">
      <c r="A2264" s="11">
        <v>13519.0</v>
      </c>
      <c r="B2264" s="11" t="s">
        <v>2291</v>
      </c>
      <c r="C2264" s="12">
        <v>31405.0</v>
      </c>
      <c r="D2264" s="11" t="str">
        <f t="shared" si="1"/>
        <v> </v>
      </c>
      <c r="E2264" s="11" t="str">
        <f t="shared" si="2"/>
        <v> </v>
      </c>
    </row>
    <row r="2265" ht="15.75" customHeight="1">
      <c r="A2265" s="11">
        <v>13520.0</v>
      </c>
      <c r="B2265" s="11" t="s">
        <v>2292</v>
      </c>
      <c r="C2265" s="12">
        <v>18761.0</v>
      </c>
      <c r="D2265" s="11" t="str">
        <f t="shared" si="1"/>
        <v> </v>
      </c>
      <c r="E2265" s="11" t="str">
        <f t="shared" si="2"/>
        <v> </v>
      </c>
    </row>
    <row r="2266" ht="15.75" customHeight="1">
      <c r="A2266" s="11">
        <v>13521.0</v>
      </c>
      <c r="B2266" s="11" t="s">
        <v>2293</v>
      </c>
      <c r="C2266" s="12">
        <v>21332.0</v>
      </c>
      <c r="D2266" s="11" t="str">
        <f t="shared" si="1"/>
        <v> </v>
      </c>
      <c r="E2266" s="11" t="str">
        <f t="shared" si="2"/>
        <v> </v>
      </c>
    </row>
    <row r="2267" ht="15.75" customHeight="1">
      <c r="A2267" s="11">
        <v>13522.0</v>
      </c>
      <c r="B2267" s="11" t="s">
        <v>2294</v>
      </c>
      <c r="C2267" s="12">
        <v>20308.0</v>
      </c>
      <c r="D2267" s="11" t="str">
        <f t="shared" si="1"/>
        <v> </v>
      </c>
      <c r="E2267" s="11" t="str">
        <f t="shared" si="2"/>
        <v> </v>
      </c>
    </row>
    <row r="2268" ht="15.75" customHeight="1">
      <c r="A2268" s="11">
        <v>13523.0</v>
      </c>
      <c r="B2268" s="11" t="s">
        <v>2295</v>
      </c>
      <c r="C2268" s="12">
        <v>27942.0</v>
      </c>
      <c r="D2268" s="11" t="str">
        <f t="shared" si="1"/>
        <v> </v>
      </c>
      <c r="E2268" s="11" t="str">
        <f t="shared" si="2"/>
        <v> </v>
      </c>
    </row>
    <row r="2269" ht="15.75" customHeight="1">
      <c r="A2269" s="11">
        <v>13524.0</v>
      </c>
      <c r="B2269" s="11" t="s">
        <v>2296</v>
      </c>
      <c r="C2269" s="12">
        <v>17996.0</v>
      </c>
      <c r="D2269" s="11" t="str">
        <f t="shared" si="1"/>
        <v> </v>
      </c>
      <c r="E2269" s="11" t="str">
        <f t="shared" si="2"/>
        <v> </v>
      </c>
    </row>
    <row r="2270" ht="15.75" customHeight="1">
      <c r="A2270" s="11">
        <v>13526.0</v>
      </c>
      <c r="B2270" s="11" t="s">
        <v>2297</v>
      </c>
      <c r="C2270" s="12">
        <v>27534.0</v>
      </c>
      <c r="D2270" s="11" t="str">
        <f t="shared" si="1"/>
        <v> </v>
      </c>
      <c r="E2270" s="11" t="str">
        <f t="shared" si="2"/>
        <v> </v>
      </c>
    </row>
    <row r="2271" ht="15.75" customHeight="1">
      <c r="A2271" s="11">
        <v>13528.0</v>
      </c>
      <c r="B2271" s="11" t="s">
        <v>2298</v>
      </c>
      <c r="C2271" s="12">
        <v>30439.0</v>
      </c>
      <c r="D2271" s="11" t="str">
        <f t="shared" si="1"/>
        <v> </v>
      </c>
      <c r="E2271" s="11" t="str">
        <f t="shared" si="2"/>
        <v> </v>
      </c>
    </row>
    <row r="2272" ht="15.75" customHeight="1">
      <c r="A2272" s="11">
        <v>13529.0</v>
      </c>
      <c r="B2272" s="11" t="s">
        <v>2299</v>
      </c>
      <c r="C2272" s="12">
        <v>21129.0</v>
      </c>
      <c r="D2272" s="11" t="str">
        <f t="shared" si="1"/>
        <v> </v>
      </c>
      <c r="E2272" s="11" t="str">
        <f t="shared" si="2"/>
        <v> </v>
      </c>
    </row>
    <row r="2273" ht="15.75" customHeight="1">
      <c r="A2273" s="11">
        <v>13530.0</v>
      </c>
      <c r="B2273" s="11" t="s">
        <v>2300</v>
      </c>
      <c r="C2273" s="12">
        <v>31162.0</v>
      </c>
      <c r="D2273" s="11" t="str">
        <f t="shared" si="1"/>
        <v> </v>
      </c>
      <c r="E2273" s="11" t="str">
        <f t="shared" si="2"/>
        <v> </v>
      </c>
    </row>
    <row r="2274" ht="15.75" customHeight="1">
      <c r="A2274" s="11">
        <v>13531.0</v>
      </c>
      <c r="B2274" s="11" t="s">
        <v>2301</v>
      </c>
      <c r="C2274" s="12">
        <v>18204.0</v>
      </c>
      <c r="D2274" s="11" t="str">
        <f t="shared" si="1"/>
        <v> </v>
      </c>
      <c r="E2274" s="11" t="str">
        <f t="shared" si="2"/>
        <v> </v>
      </c>
    </row>
    <row r="2275" ht="15.75" customHeight="1">
      <c r="A2275" s="11">
        <v>13532.0</v>
      </c>
      <c r="B2275" s="11" t="s">
        <v>2302</v>
      </c>
      <c r="C2275" s="12">
        <v>32420.0</v>
      </c>
      <c r="D2275" s="11" t="str">
        <f t="shared" si="1"/>
        <v> </v>
      </c>
      <c r="E2275" s="11" t="str">
        <f t="shared" si="2"/>
        <v> </v>
      </c>
    </row>
    <row r="2276" ht="15.75" customHeight="1">
      <c r="A2276" s="11">
        <v>13534.0</v>
      </c>
      <c r="B2276" s="11" t="s">
        <v>2303</v>
      </c>
      <c r="C2276" s="12">
        <v>15822.0</v>
      </c>
      <c r="D2276" s="11" t="str">
        <f t="shared" si="1"/>
        <v> </v>
      </c>
      <c r="E2276" s="11" t="str">
        <f t="shared" si="2"/>
        <v> </v>
      </c>
    </row>
    <row r="2277" ht="15.75" customHeight="1">
      <c r="A2277" s="11">
        <v>13535.0</v>
      </c>
      <c r="B2277" s="11" t="s">
        <v>2304</v>
      </c>
      <c r="C2277" s="12">
        <v>16244.0</v>
      </c>
      <c r="D2277" s="11" t="str">
        <f t="shared" si="1"/>
        <v> </v>
      </c>
      <c r="E2277" s="11" t="str">
        <f t="shared" si="2"/>
        <v> </v>
      </c>
    </row>
    <row r="2278" ht="15.75" customHeight="1">
      <c r="A2278" s="11">
        <v>13536.0</v>
      </c>
      <c r="B2278" s="11" t="s">
        <v>2305</v>
      </c>
      <c r="C2278" s="12">
        <v>24208.0</v>
      </c>
      <c r="D2278" s="11" t="str">
        <f t="shared" si="1"/>
        <v> </v>
      </c>
      <c r="E2278" s="11" t="str">
        <f t="shared" si="2"/>
        <v> </v>
      </c>
    </row>
    <row r="2279" ht="15.75" customHeight="1">
      <c r="A2279" s="11">
        <v>13537.0</v>
      </c>
      <c r="B2279" s="11" t="s">
        <v>2306</v>
      </c>
      <c r="C2279" s="12">
        <v>14342.0</v>
      </c>
      <c r="D2279" s="11" t="str">
        <f t="shared" si="1"/>
        <v> </v>
      </c>
      <c r="E2279" s="11" t="str">
        <f t="shared" si="2"/>
        <v> </v>
      </c>
    </row>
    <row r="2280" ht="15.75" customHeight="1">
      <c r="A2280" s="11">
        <v>13538.0</v>
      </c>
      <c r="B2280" s="11" t="s">
        <v>2307</v>
      </c>
      <c r="C2280" s="12">
        <v>12390.0</v>
      </c>
      <c r="D2280" s="11" t="str">
        <f t="shared" si="1"/>
        <v> </v>
      </c>
      <c r="E2280" s="11" t="str">
        <f t="shared" si="2"/>
        <v> </v>
      </c>
    </row>
    <row r="2281" ht="15.75" customHeight="1">
      <c r="A2281" s="11">
        <v>13539.0</v>
      </c>
      <c r="B2281" s="11" t="s">
        <v>2308</v>
      </c>
      <c r="C2281" s="12">
        <v>25509.0</v>
      </c>
      <c r="D2281" s="11" t="str">
        <f t="shared" si="1"/>
        <v> </v>
      </c>
      <c r="E2281" s="11" t="str">
        <f t="shared" si="2"/>
        <v> </v>
      </c>
    </row>
    <row r="2282" ht="15.75" customHeight="1">
      <c r="A2282" s="11">
        <v>13540.0</v>
      </c>
      <c r="B2282" s="11" t="s">
        <v>2309</v>
      </c>
      <c r="C2282" s="12">
        <v>30909.0</v>
      </c>
      <c r="D2282" s="11" t="str">
        <f t="shared" si="1"/>
        <v> </v>
      </c>
      <c r="E2282" s="11" t="str">
        <f t="shared" si="2"/>
        <v> </v>
      </c>
    </row>
    <row r="2283" ht="15.75" customHeight="1">
      <c r="A2283" s="11">
        <v>13541.0</v>
      </c>
      <c r="B2283" s="11" t="s">
        <v>2310</v>
      </c>
      <c r="C2283" s="12">
        <v>20150.0</v>
      </c>
      <c r="D2283" s="11" t="str">
        <f t="shared" si="1"/>
        <v> </v>
      </c>
      <c r="E2283" s="11" t="str">
        <f t="shared" si="2"/>
        <v> </v>
      </c>
    </row>
    <row r="2284" ht="15.75" customHeight="1">
      <c r="A2284" s="11">
        <v>13542.0</v>
      </c>
      <c r="B2284" s="11" t="s">
        <v>2311</v>
      </c>
      <c r="C2284" s="12">
        <v>19911.0</v>
      </c>
      <c r="D2284" s="11" t="str">
        <f t="shared" si="1"/>
        <v> </v>
      </c>
      <c r="E2284" s="11" t="str">
        <f t="shared" si="2"/>
        <v> </v>
      </c>
    </row>
    <row r="2285" ht="15.75" customHeight="1">
      <c r="A2285" s="11">
        <v>13543.0</v>
      </c>
      <c r="B2285" s="11" t="s">
        <v>2312</v>
      </c>
      <c r="C2285" s="12">
        <v>19276.0</v>
      </c>
      <c r="D2285" s="11" t="str">
        <f t="shared" si="1"/>
        <v> </v>
      </c>
      <c r="E2285" s="11" t="str">
        <f t="shared" si="2"/>
        <v> </v>
      </c>
    </row>
    <row r="2286" ht="15.75" customHeight="1">
      <c r="A2286" s="11">
        <v>13544.0</v>
      </c>
      <c r="B2286" s="11" t="s">
        <v>2313</v>
      </c>
      <c r="C2286" s="12">
        <v>27937.0</v>
      </c>
      <c r="D2286" s="11" t="str">
        <f t="shared" si="1"/>
        <v> </v>
      </c>
      <c r="E2286" s="11" t="str">
        <f t="shared" si="2"/>
        <v> </v>
      </c>
    </row>
    <row r="2287" ht="15.75" customHeight="1">
      <c r="A2287" s="11">
        <v>13545.0</v>
      </c>
      <c r="B2287" s="11" t="s">
        <v>2314</v>
      </c>
      <c r="C2287" s="12">
        <v>16636.0</v>
      </c>
      <c r="D2287" s="11" t="str">
        <f t="shared" si="1"/>
        <v> </v>
      </c>
      <c r="E2287" s="11" t="str">
        <f t="shared" si="2"/>
        <v> </v>
      </c>
    </row>
    <row r="2288" ht="15.75" customHeight="1">
      <c r="A2288" s="11">
        <v>13546.0</v>
      </c>
      <c r="B2288" s="11" t="s">
        <v>2315</v>
      </c>
      <c r="C2288" s="12">
        <v>17856.0</v>
      </c>
      <c r="D2288" s="11" t="str">
        <f t="shared" si="1"/>
        <v> </v>
      </c>
      <c r="E2288" s="11" t="str">
        <f t="shared" si="2"/>
        <v> </v>
      </c>
    </row>
    <row r="2289" ht="15.75" customHeight="1">
      <c r="A2289" s="11">
        <v>13547.0</v>
      </c>
      <c r="B2289" s="11" t="s">
        <v>2316</v>
      </c>
      <c r="C2289" s="12">
        <v>23898.0</v>
      </c>
      <c r="D2289" s="11" t="str">
        <f t="shared" si="1"/>
        <v> </v>
      </c>
      <c r="E2289" s="11" t="str">
        <f t="shared" si="2"/>
        <v> </v>
      </c>
    </row>
    <row r="2290" ht="15.75" customHeight="1">
      <c r="A2290" s="11">
        <v>13548.0</v>
      </c>
      <c r="B2290" s="11" t="s">
        <v>2317</v>
      </c>
      <c r="C2290" s="12">
        <v>18979.0</v>
      </c>
      <c r="D2290" s="11" t="str">
        <f t="shared" si="1"/>
        <v> </v>
      </c>
      <c r="E2290" s="11" t="str">
        <f t="shared" si="2"/>
        <v> </v>
      </c>
    </row>
    <row r="2291" ht="15.75" customHeight="1">
      <c r="A2291" s="11">
        <v>13549.0</v>
      </c>
      <c r="B2291" s="11" t="s">
        <v>2318</v>
      </c>
      <c r="C2291" s="12">
        <v>31150.0</v>
      </c>
      <c r="D2291" s="11" t="str">
        <f t="shared" si="1"/>
        <v> </v>
      </c>
      <c r="E2291" s="11" t="str">
        <f t="shared" si="2"/>
        <v> </v>
      </c>
    </row>
    <row r="2292" ht="15.75" customHeight="1">
      <c r="A2292" s="11">
        <v>13550.0</v>
      </c>
      <c r="B2292" s="11" t="s">
        <v>2319</v>
      </c>
      <c r="C2292" s="12">
        <v>25360.0</v>
      </c>
      <c r="D2292" s="11" t="str">
        <f t="shared" si="1"/>
        <v> </v>
      </c>
      <c r="E2292" s="11" t="str">
        <f t="shared" si="2"/>
        <v> </v>
      </c>
    </row>
    <row r="2293" ht="15.75" customHeight="1">
      <c r="A2293" s="11">
        <v>13551.0</v>
      </c>
      <c r="B2293" s="11" t="s">
        <v>2320</v>
      </c>
      <c r="C2293" s="12">
        <v>26476.0</v>
      </c>
      <c r="D2293" s="11" t="str">
        <f t="shared" si="1"/>
        <v> </v>
      </c>
      <c r="E2293" s="11" t="str">
        <f t="shared" si="2"/>
        <v> </v>
      </c>
    </row>
    <row r="2294" ht="15.75" customHeight="1">
      <c r="A2294" s="11">
        <v>13553.0</v>
      </c>
      <c r="B2294" s="11" t="s">
        <v>2321</v>
      </c>
      <c r="C2294" s="12">
        <v>20818.0</v>
      </c>
      <c r="D2294" s="11" t="str">
        <f t="shared" si="1"/>
        <v> </v>
      </c>
      <c r="E2294" s="11" t="str">
        <f t="shared" si="2"/>
        <v> </v>
      </c>
    </row>
    <row r="2295" ht="15.75" customHeight="1">
      <c r="A2295" s="11">
        <v>13555.0</v>
      </c>
      <c r="B2295" s="11" t="s">
        <v>2322</v>
      </c>
      <c r="C2295" s="12">
        <v>20366.0</v>
      </c>
      <c r="D2295" s="11" t="str">
        <f t="shared" si="1"/>
        <v> </v>
      </c>
      <c r="E2295" s="11" t="str">
        <f t="shared" si="2"/>
        <v> </v>
      </c>
    </row>
    <row r="2296" ht="15.75" customHeight="1">
      <c r="A2296" s="11">
        <v>13557.0</v>
      </c>
      <c r="B2296" s="11" t="s">
        <v>2323</v>
      </c>
      <c r="C2296" s="12">
        <v>16769.0</v>
      </c>
      <c r="D2296" s="11" t="str">
        <f t="shared" si="1"/>
        <v> </v>
      </c>
      <c r="E2296" s="11" t="str">
        <f t="shared" si="2"/>
        <v> </v>
      </c>
    </row>
    <row r="2297" ht="15.75" customHeight="1">
      <c r="A2297" s="11">
        <v>13558.0</v>
      </c>
      <c r="B2297" s="11" t="s">
        <v>2324</v>
      </c>
      <c r="C2297" s="12">
        <v>32354.0</v>
      </c>
      <c r="D2297" s="11" t="str">
        <f t="shared" si="1"/>
        <v> </v>
      </c>
      <c r="E2297" s="11" t="str">
        <f t="shared" si="2"/>
        <v> </v>
      </c>
    </row>
    <row r="2298" ht="15.75" customHeight="1">
      <c r="A2298" s="11">
        <v>13559.0</v>
      </c>
      <c r="B2298" s="11" t="s">
        <v>2325</v>
      </c>
      <c r="C2298" s="12">
        <v>10327.0</v>
      </c>
      <c r="D2298" s="11" t="str">
        <f t="shared" si="1"/>
        <v> </v>
      </c>
      <c r="E2298" s="11" t="str">
        <f t="shared" si="2"/>
        <v> </v>
      </c>
    </row>
    <row r="2299" ht="15.75" customHeight="1">
      <c r="A2299" s="11">
        <v>13560.0</v>
      </c>
      <c r="B2299" s="11" t="s">
        <v>2326</v>
      </c>
      <c r="C2299" s="12">
        <v>22256.0</v>
      </c>
      <c r="D2299" s="11" t="str">
        <f t="shared" si="1"/>
        <v> </v>
      </c>
      <c r="E2299" s="11" t="str">
        <f t="shared" si="2"/>
        <v> </v>
      </c>
    </row>
    <row r="2300" ht="15.75" customHeight="1">
      <c r="A2300" s="11">
        <v>13561.0</v>
      </c>
      <c r="B2300" s="11" t="s">
        <v>2327</v>
      </c>
      <c r="C2300" s="12">
        <v>25984.0</v>
      </c>
      <c r="D2300" s="11" t="str">
        <f t="shared" si="1"/>
        <v> </v>
      </c>
      <c r="E2300" s="11" t="str">
        <f t="shared" si="2"/>
        <v> </v>
      </c>
    </row>
    <row r="2301" ht="15.75" customHeight="1">
      <c r="A2301" s="11">
        <v>13562.0</v>
      </c>
      <c r="B2301" s="11" t="s">
        <v>2328</v>
      </c>
      <c r="C2301" s="12">
        <v>25545.0</v>
      </c>
      <c r="D2301" s="11" t="str">
        <f t="shared" si="1"/>
        <v> </v>
      </c>
      <c r="E2301" s="11" t="str">
        <f t="shared" si="2"/>
        <v> </v>
      </c>
    </row>
    <row r="2302" ht="15.75" customHeight="1">
      <c r="A2302" s="11">
        <v>13563.0</v>
      </c>
      <c r="B2302" s="11" t="s">
        <v>2329</v>
      </c>
      <c r="C2302" s="12">
        <v>12257.0</v>
      </c>
      <c r="D2302" s="11" t="str">
        <f t="shared" si="1"/>
        <v> </v>
      </c>
      <c r="E2302" s="11" t="str">
        <f t="shared" si="2"/>
        <v> </v>
      </c>
    </row>
    <row r="2303" ht="15.75" customHeight="1">
      <c r="A2303" s="11">
        <v>13564.0</v>
      </c>
      <c r="B2303" s="11" t="s">
        <v>2330</v>
      </c>
      <c r="C2303" s="12">
        <v>20350.0</v>
      </c>
      <c r="D2303" s="11" t="str">
        <f t="shared" si="1"/>
        <v> </v>
      </c>
      <c r="E2303" s="11" t="str">
        <f t="shared" si="2"/>
        <v> </v>
      </c>
    </row>
    <row r="2304" ht="15.75" customHeight="1">
      <c r="A2304" s="11">
        <v>13565.0</v>
      </c>
      <c r="B2304" s="11" t="s">
        <v>2331</v>
      </c>
      <c r="C2304" s="12">
        <v>21229.0</v>
      </c>
      <c r="D2304" s="11" t="str">
        <f t="shared" si="1"/>
        <v> </v>
      </c>
      <c r="E2304" s="11" t="str">
        <f t="shared" si="2"/>
        <v> </v>
      </c>
    </row>
    <row r="2305" ht="15.75" customHeight="1">
      <c r="A2305" s="11">
        <v>13567.0</v>
      </c>
      <c r="B2305" s="11" t="s">
        <v>2332</v>
      </c>
      <c r="C2305" s="12">
        <v>19088.0</v>
      </c>
      <c r="D2305" s="11" t="str">
        <f t="shared" si="1"/>
        <v> </v>
      </c>
      <c r="E2305" s="11" t="str">
        <f t="shared" si="2"/>
        <v> </v>
      </c>
    </row>
    <row r="2306" ht="15.75" customHeight="1">
      <c r="A2306" s="11">
        <v>13568.0</v>
      </c>
      <c r="B2306" s="11" t="s">
        <v>2333</v>
      </c>
      <c r="C2306" s="12">
        <v>19224.0</v>
      </c>
      <c r="D2306" s="11" t="str">
        <f t="shared" si="1"/>
        <v> </v>
      </c>
      <c r="E2306" s="11" t="str">
        <f t="shared" si="2"/>
        <v> </v>
      </c>
    </row>
    <row r="2307" ht="15.75" customHeight="1">
      <c r="A2307" s="11">
        <v>13569.0</v>
      </c>
      <c r="B2307" s="11" t="s">
        <v>2334</v>
      </c>
      <c r="C2307" s="12">
        <v>21558.0</v>
      </c>
      <c r="D2307" s="11" t="str">
        <f t="shared" si="1"/>
        <v> </v>
      </c>
      <c r="E2307" s="11" t="str">
        <f t="shared" si="2"/>
        <v> </v>
      </c>
    </row>
    <row r="2308" ht="15.75" customHeight="1">
      <c r="A2308" s="11">
        <v>13571.0</v>
      </c>
      <c r="B2308" s="11" t="s">
        <v>2335</v>
      </c>
      <c r="C2308" s="12">
        <v>14919.0</v>
      </c>
      <c r="D2308" s="11" t="str">
        <f t="shared" si="1"/>
        <v> </v>
      </c>
      <c r="E2308" s="11" t="str">
        <f t="shared" si="2"/>
        <v> </v>
      </c>
    </row>
    <row r="2309" ht="15.75" customHeight="1">
      <c r="A2309" s="11">
        <v>13572.0</v>
      </c>
      <c r="B2309" s="11" t="s">
        <v>2336</v>
      </c>
      <c r="C2309" s="12">
        <v>16016.0</v>
      </c>
      <c r="D2309" s="11" t="str">
        <f t="shared" si="1"/>
        <v> </v>
      </c>
      <c r="E2309" s="11" t="str">
        <f t="shared" si="2"/>
        <v> </v>
      </c>
    </row>
    <row r="2310" ht="15.75" customHeight="1">
      <c r="A2310" s="11">
        <v>13573.0</v>
      </c>
      <c r="B2310" s="11" t="s">
        <v>2337</v>
      </c>
      <c r="C2310" s="12">
        <v>23679.0</v>
      </c>
      <c r="D2310" s="11" t="str">
        <f t="shared" si="1"/>
        <v> </v>
      </c>
      <c r="E2310" s="11" t="str">
        <f t="shared" si="2"/>
        <v> </v>
      </c>
    </row>
    <row r="2311" ht="15.75" customHeight="1">
      <c r="A2311" s="11">
        <v>13574.0</v>
      </c>
      <c r="B2311" s="11" t="s">
        <v>2338</v>
      </c>
      <c r="C2311" s="12">
        <v>20084.0</v>
      </c>
      <c r="D2311" s="11" t="str">
        <f t="shared" si="1"/>
        <v> </v>
      </c>
      <c r="E2311" s="11" t="str">
        <f t="shared" si="2"/>
        <v> </v>
      </c>
    </row>
    <row r="2312" ht="15.75" customHeight="1">
      <c r="A2312" s="11">
        <v>13575.0</v>
      </c>
      <c r="B2312" s="11" t="s">
        <v>2339</v>
      </c>
      <c r="C2312" s="12">
        <v>11830.0</v>
      </c>
      <c r="D2312" s="11" t="str">
        <f t="shared" si="1"/>
        <v> </v>
      </c>
      <c r="E2312" s="11" t="str">
        <f t="shared" si="2"/>
        <v> </v>
      </c>
    </row>
    <row r="2313" ht="15.75" customHeight="1">
      <c r="A2313" s="11">
        <v>13576.0</v>
      </c>
      <c r="B2313" s="11" t="s">
        <v>2340</v>
      </c>
      <c r="C2313" s="12">
        <v>31182.0</v>
      </c>
      <c r="D2313" s="11" t="str">
        <f t="shared" si="1"/>
        <v> </v>
      </c>
      <c r="E2313" s="11" t="str">
        <f t="shared" si="2"/>
        <v> </v>
      </c>
    </row>
    <row r="2314" ht="15.75" customHeight="1">
      <c r="A2314" s="11">
        <v>13577.0</v>
      </c>
      <c r="B2314" s="11" t="s">
        <v>2341</v>
      </c>
      <c r="C2314" s="12">
        <v>24260.0</v>
      </c>
      <c r="D2314" s="11" t="str">
        <f t="shared" si="1"/>
        <v> </v>
      </c>
      <c r="E2314" s="11" t="str">
        <f t="shared" si="2"/>
        <v> </v>
      </c>
    </row>
    <row r="2315" ht="15.75" customHeight="1">
      <c r="A2315" s="11">
        <v>13579.0</v>
      </c>
      <c r="B2315" s="11" t="s">
        <v>2342</v>
      </c>
      <c r="C2315" s="12">
        <v>23956.0</v>
      </c>
      <c r="D2315" s="11" t="str">
        <f t="shared" si="1"/>
        <v> </v>
      </c>
      <c r="E2315" s="11" t="str">
        <f t="shared" si="2"/>
        <v> </v>
      </c>
    </row>
    <row r="2316" ht="15.75" customHeight="1">
      <c r="A2316" s="11">
        <v>13580.0</v>
      </c>
      <c r="B2316" s="11" t="s">
        <v>2343</v>
      </c>
      <c r="C2316" s="12">
        <v>35210.0</v>
      </c>
      <c r="D2316" s="11" t="str">
        <f t="shared" si="1"/>
        <v> </v>
      </c>
      <c r="E2316" s="11" t="str">
        <f t="shared" si="2"/>
        <v> </v>
      </c>
    </row>
    <row r="2317" ht="15.75" customHeight="1">
      <c r="A2317" s="11">
        <v>13581.0</v>
      </c>
      <c r="B2317" s="11" t="s">
        <v>2344</v>
      </c>
      <c r="C2317" s="12">
        <v>22079.0</v>
      </c>
      <c r="D2317" s="11" t="str">
        <f t="shared" si="1"/>
        <v> </v>
      </c>
      <c r="E2317" s="11" t="str">
        <f t="shared" si="2"/>
        <v> </v>
      </c>
    </row>
    <row r="2318" ht="15.75" customHeight="1">
      <c r="A2318" s="11">
        <v>13582.0</v>
      </c>
      <c r="B2318" s="11" t="s">
        <v>2345</v>
      </c>
      <c r="C2318" s="12">
        <v>13522.0</v>
      </c>
      <c r="D2318" s="11" t="str">
        <f t="shared" si="1"/>
        <v> </v>
      </c>
      <c r="E2318" s="11" t="str">
        <f t="shared" si="2"/>
        <v> </v>
      </c>
    </row>
    <row r="2319" ht="15.75" customHeight="1">
      <c r="A2319" s="11">
        <v>13584.0</v>
      </c>
      <c r="B2319" s="11" t="s">
        <v>2346</v>
      </c>
      <c r="C2319" s="12">
        <v>35733.0</v>
      </c>
      <c r="D2319" s="11" t="str">
        <f t="shared" si="1"/>
        <v> </v>
      </c>
      <c r="E2319" s="11" t="str">
        <f t="shared" si="2"/>
        <v> </v>
      </c>
    </row>
    <row r="2320" ht="15.75" customHeight="1">
      <c r="A2320" s="11">
        <v>13585.0</v>
      </c>
      <c r="B2320" s="11" t="s">
        <v>2347</v>
      </c>
      <c r="C2320" s="12">
        <v>33881.0</v>
      </c>
      <c r="D2320" s="11" t="str">
        <f t="shared" si="1"/>
        <v> </v>
      </c>
      <c r="E2320" s="11" t="str">
        <f t="shared" si="2"/>
        <v> </v>
      </c>
    </row>
    <row r="2321" ht="15.75" customHeight="1">
      <c r="A2321" s="11">
        <v>13586.0</v>
      </c>
      <c r="B2321" s="11" t="s">
        <v>2348</v>
      </c>
      <c r="C2321" s="12">
        <v>34212.0</v>
      </c>
      <c r="D2321" s="11" t="str">
        <f t="shared" si="1"/>
        <v> </v>
      </c>
      <c r="E2321" s="11" t="str">
        <f t="shared" si="2"/>
        <v> </v>
      </c>
    </row>
    <row r="2322" ht="15.75" customHeight="1">
      <c r="A2322" s="11">
        <v>13589.0</v>
      </c>
      <c r="B2322" s="11" t="s">
        <v>2349</v>
      </c>
      <c r="C2322" s="12">
        <v>24069.0</v>
      </c>
      <c r="D2322" s="11" t="str">
        <f t="shared" si="1"/>
        <v> </v>
      </c>
      <c r="E2322" s="11" t="str">
        <f t="shared" si="2"/>
        <v> </v>
      </c>
    </row>
    <row r="2323" ht="15.75" customHeight="1">
      <c r="A2323" s="11">
        <v>13590.0</v>
      </c>
      <c r="B2323" s="11" t="s">
        <v>2350</v>
      </c>
      <c r="C2323" s="12">
        <v>17787.0</v>
      </c>
      <c r="D2323" s="11" t="str">
        <f t="shared" si="1"/>
        <v> </v>
      </c>
      <c r="E2323" s="11" t="str">
        <f t="shared" si="2"/>
        <v> </v>
      </c>
    </row>
    <row r="2324" ht="15.75" customHeight="1">
      <c r="A2324" s="11">
        <v>13591.0</v>
      </c>
      <c r="B2324" s="11" t="s">
        <v>2351</v>
      </c>
      <c r="C2324" s="12">
        <v>20195.0</v>
      </c>
      <c r="D2324" s="11" t="str">
        <f t="shared" si="1"/>
        <v> </v>
      </c>
      <c r="E2324" s="11" t="str">
        <f t="shared" si="2"/>
        <v> </v>
      </c>
    </row>
    <row r="2325" ht="15.75" customHeight="1">
      <c r="A2325" s="11">
        <v>13592.0</v>
      </c>
      <c r="B2325" s="11" t="s">
        <v>2352</v>
      </c>
      <c r="C2325" s="12">
        <v>28413.0</v>
      </c>
      <c r="D2325" s="11" t="str">
        <f t="shared" si="1"/>
        <v> </v>
      </c>
      <c r="E2325" s="11" t="str">
        <f t="shared" si="2"/>
        <v> </v>
      </c>
    </row>
    <row r="2326" ht="15.75" customHeight="1">
      <c r="A2326" s="11">
        <v>13593.0</v>
      </c>
      <c r="B2326" s="11" t="s">
        <v>1220</v>
      </c>
      <c r="C2326" s="12">
        <v>24996.0</v>
      </c>
      <c r="D2326" s="11" t="str">
        <f t="shared" si="1"/>
        <v>Repeat</v>
      </c>
      <c r="E2326" s="11" t="str">
        <f t="shared" si="2"/>
        <v> </v>
      </c>
    </row>
    <row r="2327" ht="15.75" customHeight="1">
      <c r="A2327" s="11">
        <v>13594.0</v>
      </c>
      <c r="B2327" s="11" t="s">
        <v>2353</v>
      </c>
      <c r="C2327" s="12">
        <v>15432.0</v>
      </c>
      <c r="D2327" s="11" t="str">
        <f t="shared" si="1"/>
        <v> </v>
      </c>
      <c r="E2327" s="11" t="str">
        <f t="shared" si="2"/>
        <v> </v>
      </c>
    </row>
    <row r="2328" ht="15.75" customHeight="1">
      <c r="A2328" s="11">
        <v>13595.0</v>
      </c>
      <c r="B2328" s="11" t="s">
        <v>2354</v>
      </c>
      <c r="C2328" s="12">
        <v>12895.0</v>
      </c>
      <c r="D2328" s="11" t="str">
        <f t="shared" si="1"/>
        <v> </v>
      </c>
      <c r="E2328" s="11" t="str">
        <f t="shared" si="2"/>
        <v> </v>
      </c>
    </row>
    <row r="2329" ht="15.75" customHeight="1">
      <c r="A2329" s="11">
        <v>13596.0</v>
      </c>
      <c r="B2329" s="11" t="s">
        <v>2355</v>
      </c>
      <c r="C2329" s="12">
        <v>18130.0</v>
      </c>
      <c r="D2329" s="11" t="str">
        <f t="shared" si="1"/>
        <v> </v>
      </c>
      <c r="E2329" s="11" t="str">
        <f t="shared" si="2"/>
        <v> </v>
      </c>
    </row>
    <row r="2330" ht="15.75" customHeight="1">
      <c r="A2330" s="11">
        <v>13597.0</v>
      </c>
      <c r="B2330" s="11" t="s">
        <v>2356</v>
      </c>
      <c r="C2330" s="12">
        <v>11955.0</v>
      </c>
      <c r="D2330" s="11" t="str">
        <f t="shared" si="1"/>
        <v> </v>
      </c>
      <c r="E2330" s="11" t="str">
        <f t="shared" si="2"/>
        <v> </v>
      </c>
    </row>
    <row r="2331" ht="15.75" customHeight="1">
      <c r="A2331" s="11">
        <v>13599.0</v>
      </c>
      <c r="B2331" s="11" t="s">
        <v>2357</v>
      </c>
      <c r="C2331" s="12">
        <v>18851.0</v>
      </c>
      <c r="D2331" s="11" t="str">
        <f t="shared" si="1"/>
        <v> </v>
      </c>
      <c r="E2331" s="11" t="str">
        <f t="shared" si="2"/>
        <v> </v>
      </c>
    </row>
    <row r="2332" ht="15.75" customHeight="1">
      <c r="A2332" s="11">
        <v>13601.0</v>
      </c>
      <c r="B2332" s="11" t="s">
        <v>2358</v>
      </c>
      <c r="C2332" s="12">
        <v>19131.0</v>
      </c>
      <c r="D2332" s="11" t="str">
        <f t="shared" si="1"/>
        <v> </v>
      </c>
      <c r="E2332" s="11" t="str">
        <f t="shared" si="2"/>
        <v> </v>
      </c>
    </row>
    <row r="2333" ht="15.75" customHeight="1">
      <c r="A2333" s="11">
        <v>13602.0</v>
      </c>
      <c r="B2333" s="11" t="s">
        <v>2359</v>
      </c>
      <c r="C2333" s="12">
        <v>24396.0</v>
      </c>
      <c r="D2333" s="11" t="str">
        <f t="shared" si="1"/>
        <v> </v>
      </c>
      <c r="E2333" s="11" t="str">
        <f t="shared" si="2"/>
        <v> </v>
      </c>
    </row>
    <row r="2334" ht="15.75" customHeight="1">
      <c r="A2334" s="11">
        <v>13606.0</v>
      </c>
      <c r="B2334" s="11" t="s">
        <v>2360</v>
      </c>
      <c r="C2334" s="12">
        <v>20028.0</v>
      </c>
      <c r="D2334" s="11" t="str">
        <f t="shared" si="1"/>
        <v> </v>
      </c>
      <c r="E2334" s="11" t="str">
        <f t="shared" si="2"/>
        <v> </v>
      </c>
    </row>
    <row r="2335" ht="15.75" customHeight="1">
      <c r="A2335" s="11">
        <v>13607.0</v>
      </c>
      <c r="B2335" s="11" t="s">
        <v>2361</v>
      </c>
      <c r="C2335" s="12">
        <v>16248.0</v>
      </c>
      <c r="D2335" s="11" t="str">
        <f t="shared" si="1"/>
        <v> </v>
      </c>
      <c r="E2335" s="11" t="str">
        <f t="shared" si="2"/>
        <v> </v>
      </c>
    </row>
    <row r="2336" ht="15.75" customHeight="1">
      <c r="A2336" s="11">
        <v>13609.0</v>
      </c>
      <c r="B2336" s="11" t="s">
        <v>2362</v>
      </c>
      <c r="C2336" s="12">
        <v>29347.0</v>
      </c>
      <c r="D2336" s="11" t="str">
        <f t="shared" si="1"/>
        <v> </v>
      </c>
      <c r="E2336" s="11" t="str">
        <f t="shared" si="2"/>
        <v> </v>
      </c>
    </row>
    <row r="2337" ht="15.75" customHeight="1">
      <c r="A2337" s="11">
        <v>13610.0</v>
      </c>
      <c r="B2337" s="11" t="s">
        <v>2363</v>
      </c>
      <c r="C2337" s="12">
        <v>18047.0</v>
      </c>
      <c r="D2337" s="11" t="str">
        <f t="shared" si="1"/>
        <v> </v>
      </c>
      <c r="E2337" s="11" t="str">
        <f t="shared" si="2"/>
        <v> </v>
      </c>
    </row>
    <row r="2338" ht="15.75" customHeight="1">
      <c r="A2338" s="11">
        <v>13611.0</v>
      </c>
      <c r="B2338" s="11" t="s">
        <v>2364</v>
      </c>
      <c r="C2338" s="12">
        <v>17151.0</v>
      </c>
      <c r="D2338" s="11" t="str">
        <f t="shared" si="1"/>
        <v> </v>
      </c>
      <c r="E2338" s="11" t="str">
        <f t="shared" si="2"/>
        <v> </v>
      </c>
    </row>
    <row r="2339" ht="15.75" customHeight="1">
      <c r="A2339" s="11">
        <v>13613.0</v>
      </c>
      <c r="B2339" s="11" t="s">
        <v>2365</v>
      </c>
      <c r="C2339" s="12">
        <v>21732.0</v>
      </c>
      <c r="D2339" s="11" t="str">
        <f t="shared" si="1"/>
        <v> </v>
      </c>
      <c r="E2339" s="11" t="str">
        <f t="shared" si="2"/>
        <v> </v>
      </c>
    </row>
    <row r="2340" ht="15.75" customHeight="1">
      <c r="A2340" s="11">
        <v>13614.0</v>
      </c>
      <c r="B2340" s="11" t="s">
        <v>2366</v>
      </c>
      <c r="C2340" s="12">
        <v>25645.0</v>
      </c>
      <c r="D2340" s="11" t="str">
        <f t="shared" si="1"/>
        <v> </v>
      </c>
      <c r="E2340" s="11" t="str">
        <f t="shared" si="2"/>
        <v> </v>
      </c>
    </row>
    <row r="2341" ht="15.75" customHeight="1">
      <c r="A2341" s="11">
        <v>13615.0</v>
      </c>
      <c r="B2341" s="11" t="s">
        <v>2367</v>
      </c>
      <c r="C2341" s="12">
        <v>29128.0</v>
      </c>
      <c r="D2341" s="11" t="str">
        <f t="shared" si="1"/>
        <v> </v>
      </c>
      <c r="E2341" s="11" t="str">
        <f t="shared" si="2"/>
        <v> </v>
      </c>
    </row>
    <row r="2342" ht="15.75" customHeight="1">
      <c r="A2342" s="11">
        <v>13616.0</v>
      </c>
      <c r="B2342" s="11" t="s">
        <v>2368</v>
      </c>
      <c r="C2342" s="12">
        <v>15202.0</v>
      </c>
      <c r="D2342" s="11" t="str">
        <f t="shared" si="1"/>
        <v> </v>
      </c>
      <c r="E2342" s="11" t="str">
        <f t="shared" si="2"/>
        <v> </v>
      </c>
    </row>
    <row r="2343" ht="15.75" customHeight="1">
      <c r="A2343" s="11">
        <v>13617.0</v>
      </c>
      <c r="B2343" s="11" t="s">
        <v>2369</v>
      </c>
      <c r="C2343" s="12">
        <v>15068.0</v>
      </c>
      <c r="D2343" s="11" t="str">
        <f t="shared" si="1"/>
        <v> </v>
      </c>
      <c r="E2343" s="11" t="str">
        <f t="shared" si="2"/>
        <v> </v>
      </c>
    </row>
    <row r="2344" ht="15.75" customHeight="1">
      <c r="A2344" s="11">
        <v>13618.0</v>
      </c>
      <c r="B2344" s="11" t="s">
        <v>2370</v>
      </c>
      <c r="C2344" s="12">
        <v>16810.0</v>
      </c>
      <c r="D2344" s="11" t="str">
        <f t="shared" si="1"/>
        <v> </v>
      </c>
      <c r="E2344" s="11" t="str">
        <f t="shared" si="2"/>
        <v> </v>
      </c>
    </row>
    <row r="2345" ht="15.75" customHeight="1">
      <c r="A2345" s="11">
        <v>13619.0</v>
      </c>
      <c r="B2345" s="11" t="s">
        <v>2371</v>
      </c>
      <c r="C2345" s="12">
        <v>21700.0</v>
      </c>
      <c r="D2345" s="11" t="str">
        <f t="shared" si="1"/>
        <v> </v>
      </c>
      <c r="E2345" s="11" t="str">
        <f t="shared" si="2"/>
        <v> </v>
      </c>
    </row>
    <row r="2346" ht="15.75" customHeight="1">
      <c r="A2346" s="11">
        <v>13620.0</v>
      </c>
      <c r="B2346" s="11" t="s">
        <v>2372</v>
      </c>
      <c r="C2346" s="12">
        <v>21609.0</v>
      </c>
      <c r="D2346" s="11" t="str">
        <f t="shared" si="1"/>
        <v> </v>
      </c>
      <c r="E2346" s="11" t="str">
        <f t="shared" si="2"/>
        <v> </v>
      </c>
    </row>
    <row r="2347" ht="15.75" customHeight="1">
      <c r="A2347" s="11">
        <v>13621.0</v>
      </c>
      <c r="B2347" s="11" t="s">
        <v>2373</v>
      </c>
      <c r="C2347" s="12">
        <v>14254.0</v>
      </c>
      <c r="D2347" s="11" t="str">
        <f t="shared" si="1"/>
        <v> </v>
      </c>
      <c r="E2347" s="11" t="str">
        <f t="shared" si="2"/>
        <v> </v>
      </c>
    </row>
    <row r="2348" ht="15.75" customHeight="1">
      <c r="A2348" s="11">
        <v>13622.0</v>
      </c>
      <c r="B2348" s="11" t="s">
        <v>2374</v>
      </c>
      <c r="C2348" s="12">
        <v>27214.0</v>
      </c>
      <c r="D2348" s="11" t="str">
        <f t="shared" si="1"/>
        <v> </v>
      </c>
      <c r="E2348" s="11" t="str">
        <f t="shared" si="2"/>
        <v> </v>
      </c>
    </row>
    <row r="2349" ht="15.75" customHeight="1">
      <c r="A2349" s="11">
        <v>13623.0</v>
      </c>
      <c r="B2349" s="11" t="s">
        <v>2375</v>
      </c>
      <c r="C2349" s="12">
        <v>34982.0</v>
      </c>
      <c r="D2349" s="11" t="str">
        <f t="shared" si="1"/>
        <v> </v>
      </c>
      <c r="E2349" s="11" t="str">
        <f t="shared" si="2"/>
        <v> </v>
      </c>
    </row>
    <row r="2350" ht="15.75" customHeight="1">
      <c r="A2350" s="11">
        <v>13624.0</v>
      </c>
      <c r="B2350" s="11" t="s">
        <v>2376</v>
      </c>
      <c r="C2350" s="12">
        <v>22832.0</v>
      </c>
      <c r="D2350" s="11" t="str">
        <f t="shared" si="1"/>
        <v> </v>
      </c>
      <c r="E2350" s="11" t="str">
        <f t="shared" si="2"/>
        <v> </v>
      </c>
    </row>
    <row r="2351" ht="15.75" customHeight="1">
      <c r="A2351" s="11">
        <v>13626.0</v>
      </c>
      <c r="B2351" s="11" t="s">
        <v>2377</v>
      </c>
      <c r="C2351" s="12">
        <v>20361.0</v>
      </c>
      <c r="D2351" s="11" t="str">
        <f t="shared" si="1"/>
        <v> </v>
      </c>
      <c r="E2351" s="11" t="str">
        <f t="shared" si="2"/>
        <v> </v>
      </c>
    </row>
    <row r="2352" ht="15.75" customHeight="1">
      <c r="A2352" s="11">
        <v>13628.0</v>
      </c>
      <c r="B2352" s="11" t="s">
        <v>2378</v>
      </c>
      <c r="C2352" s="12">
        <v>30762.0</v>
      </c>
      <c r="D2352" s="11" t="str">
        <f t="shared" si="1"/>
        <v> </v>
      </c>
      <c r="E2352" s="11" t="str">
        <f t="shared" si="2"/>
        <v> </v>
      </c>
    </row>
    <row r="2353" ht="15.75" customHeight="1">
      <c r="A2353" s="11">
        <v>13629.0</v>
      </c>
      <c r="B2353" s="11" t="s">
        <v>2379</v>
      </c>
      <c r="C2353" s="12">
        <v>25991.0</v>
      </c>
      <c r="D2353" s="11" t="str">
        <f t="shared" si="1"/>
        <v> </v>
      </c>
      <c r="E2353" s="11" t="str">
        <f t="shared" si="2"/>
        <v> </v>
      </c>
    </row>
    <row r="2354" ht="15.75" customHeight="1">
      <c r="A2354" s="11">
        <v>13630.0</v>
      </c>
      <c r="B2354" s="11" t="s">
        <v>2380</v>
      </c>
      <c r="C2354" s="12">
        <v>15456.0</v>
      </c>
      <c r="D2354" s="11" t="str">
        <f t="shared" si="1"/>
        <v> </v>
      </c>
      <c r="E2354" s="11" t="str">
        <f t="shared" si="2"/>
        <v> </v>
      </c>
    </row>
    <row r="2355" ht="15.75" customHeight="1">
      <c r="A2355" s="11">
        <v>13631.0</v>
      </c>
      <c r="B2355" s="11" t="s">
        <v>2381</v>
      </c>
      <c r="C2355" s="12">
        <v>27442.0</v>
      </c>
      <c r="D2355" s="11" t="str">
        <f t="shared" si="1"/>
        <v>Repeat</v>
      </c>
      <c r="E2355" s="11" t="str">
        <f t="shared" si="2"/>
        <v> </v>
      </c>
    </row>
    <row r="2356" ht="15.75" customHeight="1">
      <c r="A2356" s="11">
        <v>13632.0</v>
      </c>
      <c r="B2356" s="11" t="s">
        <v>2382</v>
      </c>
      <c r="C2356" s="12">
        <v>31951.0</v>
      </c>
      <c r="D2356" s="11" t="str">
        <f t="shared" si="1"/>
        <v> </v>
      </c>
      <c r="E2356" s="11" t="str">
        <f t="shared" si="2"/>
        <v> </v>
      </c>
    </row>
    <row r="2357" ht="15.75" customHeight="1">
      <c r="A2357" s="11">
        <v>13634.0</v>
      </c>
      <c r="B2357" s="11" t="s">
        <v>2383</v>
      </c>
      <c r="C2357" s="12">
        <v>32465.0</v>
      </c>
      <c r="D2357" s="11" t="str">
        <f t="shared" si="1"/>
        <v> </v>
      </c>
      <c r="E2357" s="11" t="str">
        <f t="shared" si="2"/>
        <v> </v>
      </c>
    </row>
    <row r="2358" ht="15.75" customHeight="1">
      <c r="A2358" s="11">
        <v>13635.0</v>
      </c>
      <c r="B2358" s="11" t="s">
        <v>2384</v>
      </c>
      <c r="C2358" s="12">
        <v>19726.0</v>
      </c>
      <c r="D2358" s="11" t="str">
        <f t="shared" si="1"/>
        <v> </v>
      </c>
      <c r="E2358" s="11" t="str">
        <f t="shared" si="2"/>
        <v> </v>
      </c>
    </row>
    <row r="2359" ht="15.75" customHeight="1">
      <c r="A2359" s="11">
        <v>13636.0</v>
      </c>
      <c r="B2359" s="11" t="s">
        <v>2385</v>
      </c>
      <c r="C2359" s="12">
        <v>32106.0</v>
      </c>
      <c r="D2359" s="11" t="str">
        <f t="shared" si="1"/>
        <v> </v>
      </c>
      <c r="E2359" s="11" t="str">
        <f t="shared" si="2"/>
        <v> </v>
      </c>
    </row>
    <row r="2360" ht="15.75" customHeight="1">
      <c r="A2360" s="11">
        <v>13638.0</v>
      </c>
      <c r="B2360" s="11" t="s">
        <v>2386</v>
      </c>
      <c r="C2360" s="12">
        <v>15264.0</v>
      </c>
      <c r="D2360" s="11" t="str">
        <f t="shared" si="1"/>
        <v> </v>
      </c>
      <c r="E2360" s="11" t="str">
        <f t="shared" si="2"/>
        <v> </v>
      </c>
    </row>
    <row r="2361" ht="15.75" customHeight="1">
      <c r="A2361" s="11">
        <v>13639.0</v>
      </c>
      <c r="B2361" s="11" t="s">
        <v>2387</v>
      </c>
      <c r="C2361" s="12">
        <v>21123.0</v>
      </c>
      <c r="D2361" s="11" t="str">
        <f t="shared" si="1"/>
        <v> </v>
      </c>
      <c r="E2361" s="11" t="str">
        <f t="shared" si="2"/>
        <v> </v>
      </c>
    </row>
    <row r="2362" ht="15.75" customHeight="1">
      <c r="A2362" s="11">
        <v>13640.0</v>
      </c>
      <c r="B2362" s="11" t="s">
        <v>2388</v>
      </c>
      <c r="C2362" s="12">
        <v>26655.0</v>
      </c>
      <c r="D2362" s="11" t="str">
        <f t="shared" si="1"/>
        <v> </v>
      </c>
      <c r="E2362" s="11" t="str">
        <f t="shared" si="2"/>
        <v> </v>
      </c>
    </row>
    <row r="2363" ht="15.75" customHeight="1">
      <c r="A2363" s="11">
        <v>13641.0</v>
      </c>
      <c r="B2363" s="11" t="s">
        <v>2389</v>
      </c>
      <c r="C2363" s="12">
        <v>29118.0</v>
      </c>
      <c r="D2363" s="11" t="str">
        <f t="shared" si="1"/>
        <v> </v>
      </c>
      <c r="E2363" s="11" t="str">
        <f t="shared" si="2"/>
        <v> </v>
      </c>
    </row>
    <row r="2364" ht="15.75" customHeight="1">
      <c r="A2364" s="11">
        <v>13642.0</v>
      </c>
      <c r="B2364" s="11" t="s">
        <v>2390</v>
      </c>
      <c r="C2364" s="12">
        <v>32757.0</v>
      </c>
      <c r="D2364" s="11" t="str">
        <f t="shared" si="1"/>
        <v> </v>
      </c>
      <c r="E2364" s="11" t="str">
        <f t="shared" si="2"/>
        <v> </v>
      </c>
    </row>
    <row r="2365" ht="15.75" customHeight="1">
      <c r="A2365" s="11">
        <v>13643.0</v>
      </c>
      <c r="B2365" s="11" t="s">
        <v>2391</v>
      </c>
      <c r="C2365" s="12">
        <v>33352.0</v>
      </c>
      <c r="D2365" s="11" t="str">
        <f t="shared" si="1"/>
        <v> </v>
      </c>
      <c r="E2365" s="11" t="str">
        <f t="shared" si="2"/>
        <v> </v>
      </c>
    </row>
    <row r="2366" ht="15.75" customHeight="1">
      <c r="A2366" s="11">
        <v>13644.0</v>
      </c>
      <c r="B2366" s="11" t="s">
        <v>2392</v>
      </c>
      <c r="C2366" s="12">
        <v>21131.0</v>
      </c>
      <c r="D2366" s="11" t="str">
        <f t="shared" si="1"/>
        <v> </v>
      </c>
      <c r="E2366" s="11" t="str">
        <f t="shared" si="2"/>
        <v> </v>
      </c>
    </row>
    <row r="2367" ht="15.75" customHeight="1">
      <c r="A2367" s="11">
        <v>13645.0</v>
      </c>
      <c r="B2367" s="11" t="s">
        <v>2393</v>
      </c>
      <c r="C2367" s="12">
        <v>15537.0</v>
      </c>
      <c r="D2367" s="11" t="str">
        <f t="shared" si="1"/>
        <v> </v>
      </c>
      <c r="E2367" s="11" t="str">
        <f t="shared" si="2"/>
        <v> </v>
      </c>
    </row>
    <row r="2368" ht="15.75" customHeight="1">
      <c r="A2368" s="11">
        <v>13646.0</v>
      </c>
      <c r="B2368" s="11" t="s">
        <v>2394</v>
      </c>
      <c r="C2368" s="12">
        <v>28177.0</v>
      </c>
      <c r="D2368" s="11" t="str">
        <f t="shared" si="1"/>
        <v>Repeat</v>
      </c>
      <c r="E2368" s="11" t="str">
        <f t="shared" si="2"/>
        <v> </v>
      </c>
    </row>
    <row r="2369" ht="15.75" customHeight="1">
      <c r="A2369" s="11">
        <v>13647.0</v>
      </c>
      <c r="B2369" s="11" t="s">
        <v>2395</v>
      </c>
      <c r="C2369" s="12">
        <v>22262.0</v>
      </c>
      <c r="D2369" s="11" t="str">
        <f t="shared" si="1"/>
        <v> </v>
      </c>
      <c r="E2369" s="11" t="str">
        <f t="shared" si="2"/>
        <v> </v>
      </c>
    </row>
    <row r="2370" ht="15.75" customHeight="1">
      <c r="A2370" s="11">
        <v>13648.0</v>
      </c>
      <c r="B2370" s="11" t="s">
        <v>2396</v>
      </c>
      <c r="C2370" s="12">
        <v>34504.0</v>
      </c>
      <c r="D2370" s="11" t="str">
        <f t="shared" si="1"/>
        <v> </v>
      </c>
      <c r="E2370" s="11" t="str">
        <f t="shared" si="2"/>
        <v> </v>
      </c>
    </row>
    <row r="2371" ht="15.75" customHeight="1">
      <c r="A2371" s="11">
        <v>13649.0</v>
      </c>
      <c r="B2371" s="11" t="s">
        <v>2397</v>
      </c>
      <c r="C2371" s="12">
        <v>30088.0</v>
      </c>
      <c r="D2371" s="11" t="str">
        <f t="shared" si="1"/>
        <v> </v>
      </c>
      <c r="E2371" s="11" t="str">
        <f t="shared" si="2"/>
        <v> </v>
      </c>
    </row>
    <row r="2372" ht="15.75" customHeight="1">
      <c r="A2372" s="11">
        <v>13650.0</v>
      </c>
      <c r="B2372" s="11" t="s">
        <v>2398</v>
      </c>
      <c r="C2372" s="12">
        <v>28407.0</v>
      </c>
      <c r="D2372" s="11" t="str">
        <f t="shared" si="1"/>
        <v> </v>
      </c>
      <c r="E2372" s="11" t="str">
        <f t="shared" si="2"/>
        <v> </v>
      </c>
    </row>
    <row r="2373" ht="15.75" customHeight="1">
      <c r="A2373" s="11">
        <v>13651.0</v>
      </c>
      <c r="B2373" s="11" t="s">
        <v>2399</v>
      </c>
      <c r="C2373" s="12">
        <v>20270.0</v>
      </c>
      <c r="D2373" s="11" t="str">
        <f t="shared" si="1"/>
        <v> </v>
      </c>
      <c r="E2373" s="11" t="str">
        <f t="shared" si="2"/>
        <v> </v>
      </c>
    </row>
    <row r="2374" ht="15.75" customHeight="1">
      <c r="A2374" s="11">
        <v>13652.0</v>
      </c>
      <c r="B2374" s="11" t="s">
        <v>2400</v>
      </c>
      <c r="C2374" s="12">
        <v>17019.0</v>
      </c>
      <c r="D2374" s="11" t="str">
        <f t="shared" si="1"/>
        <v> </v>
      </c>
      <c r="E2374" s="11" t="str">
        <f t="shared" si="2"/>
        <v> </v>
      </c>
    </row>
    <row r="2375" ht="15.75" customHeight="1">
      <c r="A2375" s="11">
        <v>13653.0</v>
      </c>
      <c r="B2375" s="11" t="s">
        <v>2401</v>
      </c>
      <c r="C2375" s="12">
        <v>16837.0</v>
      </c>
      <c r="D2375" s="11" t="str">
        <f t="shared" si="1"/>
        <v> </v>
      </c>
      <c r="E2375" s="11" t="str">
        <f t="shared" si="2"/>
        <v> </v>
      </c>
    </row>
    <row r="2376" ht="15.75" customHeight="1">
      <c r="A2376" s="11">
        <v>13654.0</v>
      </c>
      <c r="B2376" s="11" t="s">
        <v>2402</v>
      </c>
      <c r="C2376" s="12">
        <v>20616.0</v>
      </c>
      <c r="D2376" s="11" t="str">
        <f t="shared" si="1"/>
        <v> </v>
      </c>
      <c r="E2376" s="11" t="str">
        <f t="shared" si="2"/>
        <v> </v>
      </c>
    </row>
    <row r="2377" ht="15.75" customHeight="1">
      <c r="A2377" s="11">
        <v>13655.0</v>
      </c>
      <c r="B2377" s="11" t="s">
        <v>2403</v>
      </c>
      <c r="C2377" s="12">
        <v>16762.0</v>
      </c>
      <c r="D2377" s="11" t="str">
        <f t="shared" si="1"/>
        <v> </v>
      </c>
      <c r="E2377" s="11" t="str">
        <f t="shared" si="2"/>
        <v> </v>
      </c>
    </row>
    <row r="2378" ht="15.75" customHeight="1">
      <c r="A2378" s="11">
        <v>13656.0</v>
      </c>
      <c r="B2378" s="11" t="s">
        <v>2404</v>
      </c>
      <c r="C2378" s="12">
        <v>18552.0</v>
      </c>
      <c r="D2378" s="11" t="str">
        <f t="shared" si="1"/>
        <v> </v>
      </c>
      <c r="E2378" s="11" t="str">
        <f t="shared" si="2"/>
        <v> </v>
      </c>
    </row>
    <row r="2379" ht="15.75" customHeight="1">
      <c r="A2379" s="11">
        <v>13659.0</v>
      </c>
      <c r="B2379" s="11" t="s">
        <v>2405</v>
      </c>
      <c r="C2379" s="12">
        <v>36570.0</v>
      </c>
      <c r="D2379" s="11" t="str">
        <f t="shared" si="1"/>
        <v> </v>
      </c>
      <c r="E2379" s="11" t="str">
        <f t="shared" si="2"/>
        <v> </v>
      </c>
    </row>
    <row r="2380" ht="15.75" customHeight="1">
      <c r="A2380" s="11">
        <v>13661.0</v>
      </c>
      <c r="B2380" s="11" t="s">
        <v>2406</v>
      </c>
      <c r="C2380" s="12">
        <v>27375.0</v>
      </c>
      <c r="D2380" s="11" t="str">
        <f t="shared" si="1"/>
        <v> </v>
      </c>
      <c r="E2380" s="11" t="str">
        <f t="shared" si="2"/>
        <v> </v>
      </c>
    </row>
    <row r="2381" ht="15.75" customHeight="1">
      <c r="A2381" s="11">
        <v>13662.0</v>
      </c>
      <c r="B2381" s="11" t="s">
        <v>2407</v>
      </c>
      <c r="C2381" s="12">
        <v>21491.0</v>
      </c>
      <c r="D2381" s="11" t="str">
        <f t="shared" si="1"/>
        <v> </v>
      </c>
      <c r="E2381" s="11" t="str">
        <f t="shared" si="2"/>
        <v> </v>
      </c>
    </row>
    <row r="2382" ht="15.75" customHeight="1">
      <c r="A2382" s="11">
        <v>13666.0</v>
      </c>
      <c r="B2382" s="11" t="s">
        <v>2408</v>
      </c>
      <c r="C2382" s="12">
        <v>27283.0</v>
      </c>
      <c r="D2382" s="11" t="str">
        <f t="shared" si="1"/>
        <v> </v>
      </c>
      <c r="E2382" s="11" t="str">
        <f t="shared" si="2"/>
        <v> </v>
      </c>
    </row>
    <row r="2383" ht="15.75" customHeight="1">
      <c r="A2383" s="11">
        <v>13667.0</v>
      </c>
      <c r="B2383" s="11" t="s">
        <v>2409</v>
      </c>
      <c r="C2383" s="12">
        <v>30708.0</v>
      </c>
      <c r="D2383" s="11" t="str">
        <f t="shared" si="1"/>
        <v> </v>
      </c>
      <c r="E2383" s="11" t="str">
        <f t="shared" si="2"/>
        <v> </v>
      </c>
    </row>
    <row r="2384" ht="15.75" customHeight="1">
      <c r="A2384" s="11">
        <v>13668.0</v>
      </c>
      <c r="B2384" s="11" t="s">
        <v>2410</v>
      </c>
      <c r="C2384" s="12">
        <v>23634.0</v>
      </c>
      <c r="D2384" s="11" t="str">
        <f t="shared" si="1"/>
        <v> </v>
      </c>
      <c r="E2384" s="11" t="str">
        <f t="shared" si="2"/>
        <v> </v>
      </c>
    </row>
    <row r="2385" ht="15.75" customHeight="1">
      <c r="A2385" s="11">
        <v>13669.0</v>
      </c>
      <c r="B2385" s="11" t="s">
        <v>2411</v>
      </c>
      <c r="C2385" s="12">
        <v>20219.0</v>
      </c>
      <c r="D2385" s="11" t="str">
        <f t="shared" si="1"/>
        <v> </v>
      </c>
      <c r="E2385" s="11" t="str">
        <f t="shared" si="2"/>
        <v> </v>
      </c>
    </row>
    <row r="2386" ht="15.75" customHeight="1">
      <c r="A2386" s="11">
        <v>13670.0</v>
      </c>
      <c r="B2386" s="11" t="s">
        <v>2412</v>
      </c>
      <c r="C2386" s="12">
        <v>22166.0</v>
      </c>
      <c r="D2386" s="11" t="str">
        <f t="shared" si="1"/>
        <v> </v>
      </c>
      <c r="E2386" s="11" t="str">
        <f t="shared" si="2"/>
        <v> </v>
      </c>
    </row>
    <row r="2387" ht="15.75" customHeight="1">
      <c r="A2387" s="11">
        <v>13671.0</v>
      </c>
      <c r="B2387" s="11" t="s">
        <v>2413</v>
      </c>
      <c r="C2387" s="12">
        <v>11500.0</v>
      </c>
      <c r="D2387" s="11" t="str">
        <f t="shared" si="1"/>
        <v> </v>
      </c>
      <c r="E2387" s="11" t="str">
        <f t="shared" si="2"/>
        <v> </v>
      </c>
    </row>
    <row r="2388" ht="15.75" customHeight="1">
      <c r="A2388" s="11">
        <v>13672.0</v>
      </c>
      <c r="B2388" s="11" t="s">
        <v>2414</v>
      </c>
      <c r="C2388" s="12">
        <v>34201.0</v>
      </c>
      <c r="D2388" s="11" t="str">
        <f t="shared" si="1"/>
        <v> </v>
      </c>
      <c r="E2388" s="11" t="str">
        <f t="shared" si="2"/>
        <v> </v>
      </c>
    </row>
    <row r="2389" ht="15.75" customHeight="1">
      <c r="A2389" s="11">
        <v>13673.0</v>
      </c>
      <c r="B2389" s="11" t="s">
        <v>2415</v>
      </c>
      <c r="C2389" s="12">
        <v>25366.0</v>
      </c>
      <c r="D2389" s="11" t="str">
        <f t="shared" si="1"/>
        <v> </v>
      </c>
      <c r="E2389" s="11" t="str">
        <f t="shared" si="2"/>
        <v> </v>
      </c>
    </row>
    <row r="2390" ht="15.75" customHeight="1">
      <c r="A2390" s="11">
        <v>13674.0</v>
      </c>
      <c r="B2390" s="11" t="s">
        <v>2416</v>
      </c>
      <c r="C2390" s="12">
        <v>27380.0</v>
      </c>
      <c r="D2390" s="11" t="str">
        <f t="shared" si="1"/>
        <v> </v>
      </c>
      <c r="E2390" s="11" t="str">
        <f t="shared" si="2"/>
        <v> </v>
      </c>
    </row>
    <row r="2391" ht="15.75" customHeight="1">
      <c r="A2391" s="11">
        <v>13675.0</v>
      </c>
      <c r="B2391" s="11" t="s">
        <v>2417</v>
      </c>
      <c r="C2391" s="12">
        <v>22144.0</v>
      </c>
      <c r="D2391" s="11" t="str">
        <f t="shared" si="1"/>
        <v> </v>
      </c>
      <c r="E2391" s="11" t="str">
        <f t="shared" si="2"/>
        <v> </v>
      </c>
    </row>
    <row r="2392" ht="15.75" customHeight="1">
      <c r="A2392" s="11">
        <v>13676.0</v>
      </c>
      <c r="B2392" s="11" t="s">
        <v>2418</v>
      </c>
      <c r="C2392" s="12">
        <v>35926.0</v>
      </c>
      <c r="D2392" s="11" t="str">
        <f t="shared" si="1"/>
        <v> </v>
      </c>
      <c r="E2392" s="11" t="str">
        <f t="shared" si="2"/>
        <v> </v>
      </c>
    </row>
    <row r="2393" ht="15.75" customHeight="1">
      <c r="A2393" s="11">
        <v>13678.0</v>
      </c>
      <c r="B2393" s="11" t="s">
        <v>2419</v>
      </c>
      <c r="C2393" s="12">
        <v>23610.0</v>
      </c>
      <c r="D2393" s="11" t="str">
        <f t="shared" si="1"/>
        <v> </v>
      </c>
      <c r="E2393" s="11" t="str">
        <f t="shared" si="2"/>
        <v> </v>
      </c>
    </row>
    <row r="2394" ht="15.75" customHeight="1">
      <c r="A2394" s="11">
        <v>13679.0</v>
      </c>
      <c r="B2394" s="11" t="s">
        <v>2420</v>
      </c>
      <c r="C2394" s="12">
        <v>21112.0</v>
      </c>
      <c r="D2394" s="11" t="str">
        <f t="shared" si="1"/>
        <v> </v>
      </c>
      <c r="E2394" s="11" t="str">
        <f t="shared" si="2"/>
        <v> </v>
      </c>
    </row>
    <row r="2395" ht="15.75" customHeight="1">
      <c r="A2395" s="11">
        <v>13680.0</v>
      </c>
      <c r="B2395" s="11" t="s">
        <v>2421</v>
      </c>
      <c r="C2395" s="12">
        <v>26459.0</v>
      </c>
      <c r="D2395" s="11" t="str">
        <f t="shared" si="1"/>
        <v> </v>
      </c>
      <c r="E2395" s="11" t="str">
        <f t="shared" si="2"/>
        <v> </v>
      </c>
    </row>
    <row r="2396" ht="15.75" customHeight="1">
      <c r="A2396" s="11">
        <v>13681.0</v>
      </c>
      <c r="B2396" s="11" t="s">
        <v>2422</v>
      </c>
      <c r="C2396" s="12">
        <v>18078.0</v>
      </c>
      <c r="D2396" s="11" t="str">
        <f t="shared" si="1"/>
        <v> </v>
      </c>
      <c r="E2396" s="11" t="str">
        <f t="shared" si="2"/>
        <v> </v>
      </c>
    </row>
    <row r="2397" ht="15.75" customHeight="1">
      <c r="A2397" s="11">
        <v>13682.0</v>
      </c>
      <c r="B2397" s="11" t="s">
        <v>2423</v>
      </c>
      <c r="C2397" s="12">
        <v>21579.0</v>
      </c>
      <c r="D2397" s="11" t="str">
        <f t="shared" si="1"/>
        <v> </v>
      </c>
      <c r="E2397" s="11" t="str">
        <f t="shared" si="2"/>
        <v> </v>
      </c>
    </row>
    <row r="2398" ht="15.75" customHeight="1">
      <c r="A2398" s="11">
        <v>13683.0</v>
      </c>
      <c r="B2398" s="11" t="s">
        <v>2424</v>
      </c>
      <c r="C2398" s="12">
        <v>28926.0</v>
      </c>
      <c r="D2398" s="11" t="str">
        <f t="shared" si="1"/>
        <v> </v>
      </c>
      <c r="E2398" s="11" t="str">
        <f t="shared" si="2"/>
        <v> </v>
      </c>
    </row>
    <row r="2399" ht="15.75" customHeight="1">
      <c r="A2399" s="11">
        <v>13687.0</v>
      </c>
      <c r="B2399" s="11" t="s">
        <v>2425</v>
      </c>
      <c r="C2399" s="12">
        <v>19102.0</v>
      </c>
      <c r="D2399" s="11" t="str">
        <f t="shared" si="1"/>
        <v> </v>
      </c>
      <c r="E2399" s="11" t="str">
        <f t="shared" si="2"/>
        <v> </v>
      </c>
    </row>
    <row r="2400" ht="15.75" customHeight="1">
      <c r="A2400" s="11">
        <v>13688.0</v>
      </c>
      <c r="B2400" s="11" t="s">
        <v>2426</v>
      </c>
      <c r="C2400" s="12">
        <v>29023.0</v>
      </c>
      <c r="D2400" s="11" t="str">
        <f t="shared" si="1"/>
        <v> </v>
      </c>
      <c r="E2400" s="11" t="str">
        <f t="shared" si="2"/>
        <v> </v>
      </c>
    </row>
    <row r="2401" ht="15.75" customHeight="1">
      <c r="A2401" s="11">
        <v>13689.0</v>
      </c>
      <c r="B2401" s="11" t="s">
        <v>2427</v>
      </c>
      <c r="C2401" s="12">
        <v>28254.0</v>
      </c>
      <c r="D2401" s="11" t="str">
        <f t="shared" si="1"/>
        <v> </v>
      </c>
      <c r="E2401" s="11" t="str">
        <f t="shared" si="2"/>
        <v> </v>
      </c>
    </row>
    <row r="2402" ht="15.75" customHeight="1">
      <c r="A2402" s="11">
        <v>13690.0</v>
      </c>
      <c r="B2402" s="11" t="s">
        <v>2428</v>
      </c>
      <c r="C2402" s="12">
        <v>20464.0</v>
      </c>
      <c r="D2402" s="11" t="str">
        <f t="shared" si="1"/>
        <v> </v>
      </c>
      <c r="E2402" s="11" t="str">
        <f t="shared" si="2"/>
        <v> </v>
      </c>
    </row>
    <row r="2403" ht="15.75" customHeight="1">
      <c r="A2403" s="11">
        <v>13691.0</v>
      </c>
      <c r="B2403" s="11" t="s">
        <v>2429</v>
      </c>
      <c r="C2403" s="12">
        <v>23661.0</v>
      </c>
      <c r="D2403" s="11" t="str">
        <f t="shared" si="1"/>
        <v> </v>
      </c>
      <c r="E2403" s="11" t="str">
        <f t="shared" si="2"/>
        <v> </v>
      </c>
    </row>
    <row r="2404" ht="15.75" customHeight="1">
      <c r="A2404" s="11">
        <v>13692.0</v>
      </c>
      <c r="B2404" s="11" t="s">
        <v>2430</v>
      </c>
      <c r="C2404" s="12">
        <v>27687.0</v>
      </c>
      <c r="D2404" s="11" t="str">
        <f t="shared" si="1"/>
        <v> </v>
      </c>
      <c r="E2404" s="11" t="str">
        <f t="shared" si="2"/>
        <v> </v>
      </c>
    </row>
    <row r="2405" ht="15.75" customHeight="1">
      <c r="A2405" s="11">
        <v>13694.0</v>
      </c>
      <c r="B2405" s="11" t="s">
        <v>2431</v>
      </c>
      <c r="C2405" s="12">
        <v>19876.0</v>
      </c>
      <c r="D2405" s="11" t="str">
        <f t="shared" si="1"/>
        <v> </v>
      </c>
      <c r="E2405" s="11" t="str">
        <f t="shared" si="2"/>
        <v> </v>
      </c>
    </row>
    <row r="2406" ht="15.75" customHeight="1">
      <c r="A2406" s="11">
        <v>13695.0</v>
      </c>
      <c r="B2406" s="11" t="s">
        <v>2432</v>
      </c>
      <c r="C2406" s="12">
        <v>20076.0</v>
      </c>
      <c r="D2406" s="11" t="str">
        <f t="shared" si="1"/>
        <v> </v>
      </c>
      <c r="E2406" s="11" t="str">
        <f t="shared" si="2"/>
        <v> </v>
      </c>
    </row>
    <row r="2407" ht="15.75" customHeight="1">
      <c r="A2407" s="11">
        <v>13696.0</v>
      </c>
      <c r="B2407" s="11" t="s">
        <v>2433</v>
      </c>
      <c r="C2407" s="12">
        <v>30221.0</v>
      </c>
      <c r="D2407" s="11" t="str">
        <f t="shared" si="1"/>
        <v> </v>
      </c>
      <c r="E2407" s="11" t="str">
        <f t="shared" si="2"/>
        <v> </v>
      </c>
    </row>
    <row r="2408" ht="15.75" customHeight="1">
      <c r="A2408" s="11">
        <v>13697.0</v>
      </c>
      <c r="B2408" s="11" t="s">
        <v>2434</v>
      </c>
      <c r="C2408" s="12">
        <v>15250.0</v>
      </c>
      <c r="D2408" s="11" t="str">
        <f t="shared" si="1"/>
        <v> </v>
      </c>
      <c r="E2408" s="11" t="str">
        <f t="shared" si="2"/>
        <v> </v>
      </c>
    </row>
    <row r="2409" ht="15.75" customHeight="1">
      <c r="A2409" s="11">
        <v>13699.0</v>
      </c>
      <c r="B2409" s="11" t="s">
        <v>2435</v>
      </c>
      <c r="C2409" s="12">
        <v>26641.0</v>
      </c>
      <c r="D2409" s="11" t="str">
        <f t="shared" si="1"/>
        <v> </v>
      </c>
      <c r="E2409" s="11" t="str">
        <f t="shared" si="2"/>
        <v> </v>
      </c>
    </row>
    <row r="2410" ht="15.75" customHeight="1">
      <c r="A2410" s="11">
        <v>13700.0</v>
      </c>
      <c r="B2410" s="11" t="s">
        <v>2436</v>
      </c>
      <c r="C2410" s="12">
        <v>36951.0</v>
      </c>
      <c r="D2410" s="11" t="str">
        <f t="shared" si="1"/>
        <v> </v>
      </c>
      <c r="E2410" s="11" t="str">
        <f t="shared" si="2"/>
        <v> </v>
      </c>
    </row>
    <row r="2411" ht="15.75" customHeight="1">
      <c r="A2411" s="11">
        <v>13701.0</v>
      </c>
      <c r="B2411" s="11" t="s">
        <v>2437</v>
      </c>
      <c r="C2411" s="12">
        <v>22643.0</v>
      </c>
      <c r="D2411" s="11" t="str">
        <f t="shared" si="1"/>
        <v> </v>
      </c>
      <c r="E2411" s="11" t="str">
        <f t="shared" si="2"/>
        <v> </v>
      </c>
    </row>
    <row r="2412" ht="15.75" customHeight="1">
      <c r="A2412" s="11">
        <v>13702.0</v>
      </c>
      <c r="B2412" s="11" t="s">
        <v>2438</v>
      </c>
      <c r="C2412" s="12">
        <v>16728.0</v>
      </c>
      <c r="D2412" s="11" t="str">
        <f t="shared" si="1"/>
        <v> </v>
      </c>
      <c r="E2412" s="11" t="str">
        <f t="shared" si="2"/>
        <v> </v>
      </c>
    </row>
    <row r="2413" ht="15.75" customHeight="1">
      <c r="A2413" s="11">
        <v>13704.0</v>
      </c>
      <c r="B2413" s="11" t="s">
        <v>2439</v>
      </c>
      <c r="C2413" s="12">
        <v>14158.0</v>
      </c>
      <c r="D2413" s="11" t="str">
        <f t="shared" si="1"/>
        <v> </v>
      </c>
      <c r="E2413" s="11" t="str">
        <f t="shared" si="2"/>
        <v> </v>
      </c>
    </row>
    <row r="2414" ht="15.75" customHeight="1">
      <c r="A2414" s="11">
        <v>13705.0</v>
      </c>
      <c r="B2414" s="11" t="s">
        <v>2440</v>
      </c>
      <c r="C2414" s="12">
        <v>21839.0</v>
      </c>
      <c r="D2414" s="11" t="str">
        <f t="shared" si="1"/>
        <v> </v>
      </c>
      <c r="E2414" s="11" t="str">
        <f t="shared" si="2"/>
        <v> </v>
      </c>
    </row>
    <row r="2415" ht="15.75" customHeight="1">
      <c r="A2415" s="11">
        <v>13707.0</v>
      </c>
      <c r="B2415" s="11" t="s">
        <v>2441</v>
      </c>
      <c r="C2415" s="12">
        <v>31559.0</v>
      </c>
      <c r="D2415" s="11" t="str">
        <f t="shared" si="1"/>
        <v> </v>
      </c>
      <c r="E2415" s="11" t="str">
        <f t="shared" si="2"/>
        <v> </v>
      </c>
    </row>
    <row r="2416" ht="15.75" customHeight="1">
      <c r="A2416" s="11">
        <v>13709.0</v>
      </c>
      <c r="B2416" s="11" t="s">
        <v>2442</v>
      </c>
      <c r="C2416" s="12">
        <v>24250.0</v>
      </c>
      <c r="D2416" s="11" t="str">
        <f t="shared" si="1"/>
        <v> </v>
      </c>
      <c r="E2416" s="11" t="str">
        <f t="shared" si="2"/>
        <v> </v>
      </c>
    </row>
    <row r="2417" ht="15.75" customHeight="1">
      <c r="A2417" s="11">
        <v>13712.0</v>
      </c>
      <c r="B2417" s="11" t="s">
        <v>2443</v>
      </c>
      <c r="C2417" s="12">
        <v>24227.0</v>
      </c>
      <c r="D2417" s="11" t="str">
        <f t="shared" si="1"/>
        <v> </v>
      </c>
      <c r="E2417" s="11" t="str">
        <f t="shared" si="2"/>
        <v> </v>
      </c>
    </row>
    <row r="2418" ht="15.75" customHeight="1">
      <c r="A2418" s="11">
        <v>13713.0</v>
      </c>
      <c r="B2418" s="11" t="s">
        <v>2444</v>
      </c>
      <c r="C2418" s="12">
        <v>23396.0</v>
      </c>
      <c r="D2418" s="11" t="str">
        <f t="shared" si="1"/>
        <v> </v>
      </c>
      <c r="E2418" s="11" t="str">
        <f t="shared" si="2"/>
        <v> </v>
      </c>
    </row>
    <row r="2419" ht="15.75" customHeight="1">
      <c r="A2419" s="11">
        <v>13714.0</v>
      </c>
      <c r="B2419" s="11" t="s">
        <v>2445</v>
      </c>
      <c r="C2419" s="12">
        <v>19714.0</v>
      </c>
      <c r="D2419" s="11" t="str">
        <f t="shared" si="1"/>
        <v> </v>
      </c>
      <c r="E2419" s="11" t="str">
        <f t="shared" si="2"/>
        <v> </v>
      </c>
    </row>
    <row r="2420" ht="15.75" customHeight="1">
      <c r="A2420" s="11">
        <v>13716.0</v>
      </c>
      <c r="B2420" s="11" t="s">
        <v>2446</v>
      </c>
      <c r="C2420" s="12">
        <v>29389.0</v>
      </c>
      <c r="D2420" s="11" t="str">
        <f t="shared" si="1"/>
        <v> </v>
      </c>
      <c r="E2420" s="11" t="str">
        <f t="shared" si="2"/>
        <v> </v>
      </c>
    </row>
    <row r="2421" ht="15.75" customHeight="1">
      <c r="A2421" s="11">
        <v>13717.0</v>
      </c>
      <c r="B2421" s="11" t="s">
        <v>2447</v>
      </c>
      <c r="C2421" s="12">
        <v>20542.0</v>
      </c>
      <c r="D2421" s="11" t="str">
        <f t="shared" si="1"/>
        <v> </v>
      </c>
      <c r="E2421" s="11" t="str">
        <f t="shared" si="2"/>
        <v> </v>
      </c>
    </row>
    <row r="2422" ht="15.75" customHeight="1">
      <c r="A2422" s="11">
        <v>13718.0</v>
      </c>
      <c r="B2422" s="11" t="s">
        <v>2448</v>
      </c>
      <c r="C2422" s="12">
        <v>32834.0</v>
      </c>
      <c r="D2422" s="11" t="str">
        <f t="shared" si="1"/>
        <v>Repeat</v>
      </c>
      <c r="E2422" s="11" t="str">
        <f t="shared" si="2"/>
        <v> </v>
      </c>
    </row>
    <row r="2423" ht="15.75" customHeight="1">
      <c r="A2423" s="11">
        <v>13721.0</v>
      </c>
      <c r="B2423" s="11" t="s">
        <v>2449</v>
      </c>
      <c r="C2423" s="12">
        <v>24069.0</v>
      </c>
      <c r="D2423" s="11" t="str">
        <f t="shared" si="1"/>
        <v> </v>
      </c>
      <c r="E2423" s="11" t="str">
        <f t="shared" si="2"/>
        <v> </v>
      </c>
    </row>
    <row r="2424" ht="15.75" customHeight="1">
      <c r="A2424" s="11">
        <v>13722.0</v>
      </c>
      <c r="B2424" s="11" t="s">
        <v>2450</v>
      </c>
      <c r="C2424" s="12">
        <v>20736.0</v>
      </c>
      <c r="D2424" s="11" t="str">
        <f t="shared" si="1"/>
        <v> </v>
      </c>
      <c r="E2424" s="11" t="str">
        <f t="shared" si="2"/>
        <v> </v>
      </c>
    </row>
    <row r="2425" ht="15.75" customHeight="1">
      <c r="A2425" s="11">
        <v>13724.0</v>
      </c>
      <c r="B2425" s="11" t="s">
        <v>2451</v>
      </c>
      <c r="C2425" s="12">
        <v>19708.0</v>
      </c>
      <c r="D2425" s="11" t="str">
        <f t="shared" si="1"/>
        <v> </v>
      </c>
      <c r="E2425" s="11" t="str">
        <f t="shared" si="2"/>
        <v> </v>
      </c>
    </row>
    <row r="2426" ht="15.75" customHeight="1">
      <c r="A2426" s="11">
        <v>13725.0</v>
      </c>
      <c r="B2426" s="11" t="s">
        <v>2452</v>
      </c>
      <c r="C2426" s="12">
        <v>18585.0</v>
      </c>
      <c r="D2426" s="11" t="str">
        <f t="shared" si="1"/>
        <v> </v>
      </c>
      <c r="E2426" s="11" t="str">
        <f t="shared" si="2"/>
        <v> </v>
      </c>
    </row>
    <row r="2427" ht="15.75" customHeight="1">
      <c r="A2427" s="11">
        <v>13726.0</v>
      </c>
      <c r="B2427" s="11" t="s">
        <v>2453</v>
      </c>
      <c r="C2427" s="12">
        <v>16759.0</v>
      </c>
      <c r="D2427" s="11" t="str">
        <f t="shared" si="1"/>
        <v> </v>
      </c>
      <c r="E2427" s="11" t="str">
        <f t="shared" si="2"/>
        <v> </v>
      </c>
    </row>
    <row r="2428" ht="15.75" customHeight="1">
      <c r="A2428" s="11">
        <v>13727.0</v>
      </c>
      <c r="B2428" s="11" t="s">
        <v>2454</v>
      </c>
      <c r="C2428" s="12">
        <v>14475.0</v>
      </c>
      <c r="D2428" s="11" t="str">
        <f t="shared" si="1"/>
        <v> </v>
      </c>
      <c r="E2428" s="11" t="str">
        <f t="shared" si="2"/>
        <v> </v>
      </c>
    </row>
    <row r="2429" ht="15.75" customHeight="1">
      <c r="A2429" s="11">
        <v>13728.0</v>
      </c>
      <c r="B2429" s="11" t="s">
        <v>2455</v>
      </c>
      <c r="C2429" s="12">
        <v>11681.0</v>
      </c>
      <c r="D2429" s="11" t="str">
        <f t="shared" si="1"/>
        <v> </v>
      </c>
      <c r="E2429" s="11" t="str">
        <f t="shared" si="2"/>
        <v> </v>
      </c>
    </row>
    <row r="2430" ht="15.75" customHeight="1">
      <c r="A2430" s="11">
        <v>13729.0</v>
      </c>
      <c r="B2430" s="11" t="s">
        <v>2456</v>
      </c>
      <c r="C2430" s="12">
        <v>18068.0</v>
      </c>
      <c r="D2430" s="11" t="str">
        <f t="shared" si="1"/>
        <v> </v>
      </c>
      <c r="E2430" s="11" t="str">
        <f t="shared" si="2"/>
        <v> </v>
      </c>
    </row>
    <row r="2431" ht="15.75" customHeight="1">
      <c r="A2431" s="11">
        <v>13730.0</v>
      </c>
      <c r="B2431" s="11" t="s">
        <v>2457</v>
      </c>
      <c r="C2431" s="12">
        <v>18115.0</v>
      </c>
      <c r="D2431" s="11" t="str">
        <f t="shared" si="1"/>
        <v> </v>
      </c>
      <c r="E2431" s="11" t="str">
        <f t="shared" si="2"/>
        <v> </v>
      </c>
    </row>
    <row r="2432" ht="15.75" customHeight="1">
      <c r="A2432" s="11">
        <v>13731.0</v>
      </c>
      <c r="B2432" s="11" t="s">
        <v>2458</v>
      </c>
      <c r="C2432" s="12">
        <v>34963.0</v>
      </c>
      <c r="D2432" s="11" t="str">
        <f t="shared" si="1"/>
        <v>Repeat</v>
      </c>
      <c r="E2432" s="11" t="str">
        <f t="shared" si="2"/>
        <v> </v>
      </c>
    </row>
    <row r="2433" ht="15.75" customHeight="1">
      <c r="A2433" s="11">
        <v>13732.0</v>
      </c>
      <c r="B2433" s="11" t="s">
        <v>2459</v>
      </c>
      <c r="C2433" s="12">
        <v>23397.0</v>
      </c>
      <c r="D2433" s="11" t="str">
        <f t="shared" si="1"/>
        <v>Repeat</v>
      </c>
      <c r="E2433" s="11" t="str">
        <f t="shared" si="2"/>
        <v> </v>
      </c>
    </row>
    <row r="2434" ht="15.75" customHeight="1">
      <c r="A2434" s="11">
        <v>13733.0</v>
      </c>
      <c r="B2434" s="11" t="s">
        <v>2460</v>
      </c>
      <c r="C2434" s="12">
        <v>24461.0</v>
      </c>
      <c r="D2434" s="11" t="str">
        <f t="shared" si="1"/>
        <v> </v>
      </c>
      <c r="E2434" s="11" t="str">
        <f t="shared" si="2"/>
        <v>Repeat</v>
      </c>
    </row>
    <row r="2435" ht="15.75" customHeight="1">
      <c r="A2435" s="11">
        <v>13734.0</v>
      </c>
      <c r="B2435" s="11" t="s">
        <v>2461</v>
      </c>
      <c r="C2435" s="12">
        <v>26521.0</v>
      </c>
      <c r="D2435" s="11" t="str">
        <f t="shared" si="1"/>
        <v> </v>
      </c>
      <c r="E2435" s="11" t="str">
        <f t="shared" si="2"/>
        <v> </v>
      </c>
    </row>
    <row r="2436" ht="15.75" customHeight="1">
      <c r="A2436" s="11">
        <v>13735.0</v>
      </c>
      <c r="B2436" s="11" t="s">
        <v>2462</v>
      </c>
      <c r="C2436" s="12">
        <v>19315.0</v>
      </c>
      <c r="D2436" s="11" t="str">
        <f t="shared" si="1"/>
        <v> </v>
      </c>
      <c r="E2436" s="11" t="str">
        <f t="shared" si="2"/>
        <v> </v>
      </c>
    </row>
    <row r="2437" ht="15.75" customHeight="1">
      <c r="A2437" s="11">
        <v>13736.0</v>
      </c>
      <c r="B2437" s="11" t="s">
        <v>2463</v>
      </c>
      <c r="C2437" s="12">
        <v>16899.0</v>
      </c>
      <c r="D2437" s="11" t="str">
        <f t="shared" si="1"/>
        <v> </v>
      </c>
      <c r="E2437" s="11" t="str">
        <f t="shared" si="2"/>
        <v> </v>
      </c>
    </row>
    <row r="2438" ht="15.75" customHeight="1">
      <c r="A2438" s="11">
        <v>13737.0</v>
      </c>
      <c r="B2438" s="11" t="s">
        <v>2464</v>
      </c>
      <c r="C2438" s="12">
        <v>33250.0</v>
      </c>
      <c r="D2438" s="11" t="str">
        <f t="shared" si="1"/>
        <v> </v>
      </c>
      <c r="E2438" s="11" t="str">
        <f t="shared" si="2"/>
        <v> </v>
      </c>
    </row>
    <row r="2439" ht="15.75" customHeight="1">
      <c r="A2439" s="11">
        <v>13738.0</v>
      </c>
      <c r="B2439" s="11" t="s">
        <v>2465</v>
      </c>
      <c r="C2439" s="12">
        <v>30067.0</v>
      </c>
      <c r="D2439" s="11" t="str">
        <f t="shared" si="1"/>
        <v> </v>
      </c>
      <c r="E2439" s="11" t="str">
        <f t="shared" si="2"/>
        <v> </v>
      </c>
    </row>
    <row r="2440" ht="15.75" customHeight="1">
      <c r="A2440" s="11">
        <v>13739.0</v>
      </c>
      <c r="B2440" s="11" t="s">
        <v>2466</v>
      </c>
      <c r="C2440" s="12">
        <v>22361.0</v>
      </c>
      <c r="D2440" s="11" t="str">
        <f t="shared" si="1"/>
        <v> </v>
      </c>
      <c r="E2440" s="11" t="str">
        <f t="shared" si="2"/>
        <v> </v>
      </c>
    </row>
    <row r="2441" ht="15.75" customHeight="1">
      <c r="A2441" s="11">
        <v>13740.0</v>
      </c>
      <c r="B2441" s="11" t="s">
        <v>2467</v>
      </c>
      <c r="C2441" s="12">
        <v>18108.0</v>
      </c>
      <c r="D2441" s="11" t="str">
        <f t="shared" si="1"/>
        <v> </v>
      </c>
      <c r="E2441" s="11" t="str">
        <f t="shared" si="2"/>
        <v> </v>
      </c>
    </row>
    <row r="2442" ht="15.75" customHeight="1">
      <c r="A2442" s="11">
        <v>13742.0</v>
      </c>
      <c r="B2442" s="11" t="s">
        <v>2468</v>
      </c>
      <c r="C2442" s="12">
        <v>23769.0</v>
      </c>
      <c r="D2442" s="11" t="str">
        <f t="shared" si="1"/>
        <v> </v>
      </c>
      <c r="E2442" s="11" t="str">
        <f t="shared" si="2"/>
        <v> </v>
      </c>
    </row>
    <row r="2443" ht="15.75" customHeight="1">
      <c r="A2443" s="11">
        <v>13743.0</v>
      </c>
      <c r="B2443" s="11" t="s">
        <v>2469</v>
      </c>
      <c r="C2443" s="12">
        <v>33316.0</v>
      </c>
      <c r="D2443" s="11" t="str">
        <f t="shared" si="1"/>
        <v> </v>
      </c>
      <c r="E2443" s="11" t="str">
        <f t="shared" si="2"/>
        <v> </v>
      </c>
    </row>
    <row r="2444" ht="15.75" customHeight="1">
      <c r="A2444" s="11">
        <v>13745.0</v>
      </c>
      <c r="B2444" s="11" t="s">
        <v>2470</v>
      </c>
      <c r="C2444" s="12">
        <v>18202.0</v>
      </c>
      <c r="D2444" s="11" t="str">
        <f t="shared" si="1"/>
        <v> </v>
      </c>
      <c r="E2444" s="11" t="str">
        <f t="shared" si="2"/>
        <v> </v>
      </c>
    </row>
    <row r="2445" ht="15.75" customHeight="1">
      <c r="A2445" s="11">
        <v>13746.0</v>
      </c>
      <c r="B2445" s="11" t="s">
        <v>2471</v>
      </c>
      <c r="C2445" s="12">
        <v>28309.0</v>
      </c>
      <c r="D2445" s="11" t="str">
        <f t="shared" si="1"/>
        <v> </v>
      </c>
      <c r="E2445" s="11" t="str">
        <f t="shared" si="2"/>
        <v> </v>
      </c>
    </row>
    <row r="2446" ht="15.75" customHeight="1">
      <c r="A2446" s="11">
        <v>13747.0</v>
      </c>
      <c r="B2446" s="11" t="s">
        <v>2472</v>
      </c>
      <c r="C2446" s="12">
        <v>24634.0</v>
      </c>
      <c r="D2446" s="11" t="str">
        <f t="shared" si="1"/>
        <v> </v>
      </c>
      <c r="E2446" s="11" t="str">
        <f t="shared" si="2"/>
        <v> </v>
      </c>
    </row>
    <row r="2447" ht="15.75" customHeight="1">
      <c r="A2447" s="11">
        <v>13748.0</v>
      </c>
      <c r="B2447" s="11" t="s">
        <v>2473</v>
      </c>
      <c r="C2447" s="12">
        <v>18584.0</v>
      </c>
      <c r="D2447" s="11" t="str">
        <f t="shared" si="1"/>
        <v> </v>
      </c>
      <c r="E2447" s="11" t="str">
        <f t="shared" si="2"/>
        <v> </v>
      </c>
    </row>
    <row r="2448" ht="15.75" customHeight="1">
      <c r="A2448" s="11">
        <v>13749.0</v>
      </c>
      <c r="B2448" s="11" t="s">
        <v>2474</v>
      </c>
      <c r="C2448" s="12">
        <v>30118.0</v>
      </c>
      <c r="D2448" s="11" t="str">
        <f t="shared" si="1"/>
        <v>Repeat</v>
      </c>
      <c r="E2448" s="11" t="str">
        <f t="shared" si="2"/>
        <v> </v>
      </c>
    </row>
    <row r="2449" ht="15.75" customHeight="1">
      <c r="A2449" s="11">
        <v>13750.0</v>
      </c>
      <c r="B2449" s="11" t="s">
        <v>2475</v>
      </c>
      <c r="C2449" s="12">
        <v>37509.0</v>
      </c>
      <c r="D2449" s="11" t="str">
        <f t="shared" si="1"/>
        <v> </v>
      </c>
      <c r="E2449" s="11" t="str">
        <f t="shared" si="2"/>
        <v> </v>
      </c>
    </row>
    <row r="2450" ht="15.75" customHeight="1">
      <c r="A2450" s="11">
        <v>13751.0</v>
      </c>
      <c r="B2450" s="11" t="s">
        <v>2476</v>
      </c>
      <c r="C2450" s="12">
        <v>19881.0</v>
      </c>
      <c r="D2450" s="11" t="str">
        <f t="shared" si="1"/>
        <v> </v>
      </c>
      <c r="E2450" s="11" t="str">
        <f t="shared" si="2"/>
        <v> </v>
      </c>
    </row>
    <row r="2451" ht="15.75" customHeight="1">
      <c r="A2451" s="11">
        <v>13752.0</v>
      </c>
      <c r="B2451" s="11" t="s">
        <v>2477</v>
      </c>
      <c r="C2451" s="12">
        <v>25156.0</v>
      </c>
      <c r="D2451" s="11" t="str">
        <f t="shared" si="1"/>
        <v> </v>
      </c>
      <c r="E2451" s="11" t="str">
        <f t="shared" si="2"/>
        <v> </v>
      </c>
    </row>
    <row r="2452" ht="15.75" customHeight="1">
      <c r="A2452" s="11">
        <v>13753.0</v>
      </c>
      <c r="B2452" s="11" t="s">
        <v>2478</v>
      </c>
      <c r="C2452" s="12">
        <v>20454.0</v>
      </c>
      <c r="D2452" s="11" t="str">
        <f t="shared" si="1"/>
        <v> </v>
      </c>
      <c r="E2452" s="11" t="str">
        <f t="shared" si="2"/>
        <v> </v>
      </c>
    </row>
    <row r="2453" ht="15.75" customHeight="1">
      <c r="A2453" s="11">
        <v>13754.0</v>
      </c>
      <c r="B2453" s="11" t="s">
        <v>2479</v>
      </c>
      <c r="C2453" s="12">
        <v>35622.0</v>
      </c>
      <c r="D2453" s="11" t="str">
        <f t="shared" si="1"/>
        <v> </v>
      </c>
      <c r="E2453" s="11" t="str">
        <f t="shared" si="2"/>
        <v> </v>
      </c>
    </row>
    <row r="2454" ht="15.75" customHeight="1">
      <c r="A2454" s="11">
        <v>13755.0</v>
      </c>
      <c r="B2454" s="11" t="s">
        <v>2480</v>
      </c>
      <c r="C2454" s="12">
        <v>27636.0</v>
      </c>
      <c r="D2454" s="11" t="str">
        <f t="shared" si="1"/>
        <v> </v>
      </c>
      <c r="E2454" s="11" t="str">
        <f t="shared" si="2"/>
        <v> </v>
      </c>
    </row>
    <row r="2455" ht="15.75" customHeight="1">
      <c r="A2455" s="11">
        <v>13757.0</v>
      </c>
      <c r="B2455" s="11" t="s">
        <v>2481</v>
      </c>
      <c r="C2455" s="12">
        <v>24280.0</v>
      </c>
      <c r="D2455" s="11" t="str">
        <f t="shared" si="1"/>
        <v> </v>
      </c>
      <c r="E2455" s="11" t="str">
        <f t="shared" si="2"/>
        <v> </v>
      </c>
    </row>
    <row r="2456" ht="15.75" customHeight="1">
      <c r="A2456" s="11">
        <v>13758.0</v>
      </c>
      <c r="B2456" s="11" t="s">
        <v>2482</v>
      </c>
      <c r="C2456" s="12">
        <v>21058.0</v>
      </c>
      <c r="D2456" s="11" t="str">
        <f t="shared" si="1"/>
        <v> </v>
      </c>
      <c r="E2456" s="11" t="str">
        <f t="shared" si="2"/>
        <v> </v>
      </c>
    </row>
    <row r="2457" ht="15.75" customHeight="1">
      <c r="A2457" s="11">
        <v>13759.0</v>
      </c>
      <c r="B2457" s="11" t="s">
        <v>2483</v>
      </c>
      <c r="C2457" s="12">
        <v>24325.0</v>
      </c>
      <c r="D2457" s="11" t="str">
        <f t="shared" si="1"/>
        <v> </v>
      </c>
      <c r="E2457" s="11" t="str">
        <f t="shared" si="2"/>
        <v> </v>
      </c>
    </row>
    <row r="2458" ht="15.75" customHeight="1">
      <c r="A2458" s="11">
        <v>13760.0</v>
      </c>
      <c r="B2458" s="11" t="s">
        <v>2484</v>
      </c>
      <c r="C2458" s="12">
        <v>33025.0</v>
      </c>
      <c r="D2458" s="11" t="str">
        <f t="shared" si="1"/>
        <v> </v>
      </c>
      <c r="E2458" s="11" t="str">
        <f t="shared" si="2"/>
        <v> </v>
      </c>
    </row>
    <row r="2459" ht="15.75" customHeight="1">
      <c r="A2459" s="11">
        <v>13762.0</v>
      </c>
      <c r="B2459" s="11" t="s">
        <v>2485</v>
      </c>
      <c r="C2459" s="12">
        <v>24167.0</v>
      </c>
      <c r="D2459" s="11" t="str">
        <f t="shared" si="1"/>
        <v> </v>
      </c>
      <c r="E2459" s="11" t="str">
        <f t="shared" si="2"/>
        <v> </v>
      </c>
    </row>
    <row r="2460" ht="15.75" customHeight="1">
      <c r="A2460" s="11">
        <v>13763.0</v>
      </c>
      <c r="B2460" s="11" t="s">
        <v>2486</v>
      </c>
      <c r="C2460" s="12">
        <v>17226.0</v>
      </c>
      <c r="D2460" s="11" t="str">
        <f t="shared" si="1"/>
        <v> </v>
      </c>
      <c r="E2460" s="11" t="str">
        <f t="shared" si="2"/>
        <v> </v>
      </c>
    </row>
    <row r="2461" ht="15.75" customHeight="1">
      <c r="A2461" s="11">
        <v>13764.0</v>
      </c>
      <c r="B2461" s="11" t="s">
        <v>2487</v>
      </c>
      <c r="C2461" s="12">
        <v>19758.0</v>
      </c>
      <c r="D2461" s="11" t="str">
        <f t="shared" si="1"/>
        <v> </v>
      </c>
      <c r="E2461" s="11" t="str">
        <f t="shared" si="2"/>
        <v> </v>
      </c>
    </row>
    <row r="2462" ht="15.75" customHeight="1">
      <c r="A2462" s="11">
        <v>13765.0</v>
      </c>
      <c r="B2462" s="11" t="s">
        <v>2488</v>
      </c>
      <c r="C2462" s="12">
        <v>24812.0</v>
      </c>
      <c r="D2462" s="11" t="str">
        <f t="shared" si="1"/>
        <v>Repeat</v>
      </c>
      <c r="E2462" s="11" t="str">
        <f t="shared" si="2"/>
        <v> </v>
      </c>
    </row>
    <row r="2463" ht="15.75" customHeight="1">
      <c r="A2463" s="11">
        <v>13766.0</v>
      </c>
      <c r="B2463" s="11" t="s">
        <v>2489</v>
      </c>
      <c r="C2463" s="12">
        <v>27553.0</v>
      </c>
      <c r="D2463" s="11" t="str">
        <f t="shared" si="1"/>
        <v> </v>
      </c>
      <c r="E2463" s="11" t="str">
        <f t="shared" si="2"/>
        <v> </v>
      </c>
    </row>
    <row r="2464" ht="15.75" customHeight="1">
      <c r="A2464" s="11">
        <v>13767.0</v>
      </c>
      <c r="B2464" s="11" t="s">
        <v>2490</v>
      </c>
      <c r="C2464" s="12">
        <v>13164.0</v>
      </c>
      <c r="D2464" s="11" t="str">
        <f t="shared" si="1"/>
        <v> </v>
      </c>
      <c r="E2464" s="11" t="str">
        <f t="shared" si="2"/>
        <v> </v>
      </c>
    </row>
    <row r="2465" ht="15.75" customHeight="1">
      <c r="A2465" s="11">
        <v>13768.0</v>
      </c>
      <c r="B2465" s="11" t="s">
        <v>2491</v>
      </c>
      <c r="C2465" s="12">
        <v>14281.0</v>
      </c>
      <c r="D2465" s="11" t="str">
        <f t="shared" si="1"/>
        <v> </v>
      </c>
      <c r="E2465" s="11" t="str">
        <f t="shared" si="2"/>
        <v> </v>
      </c>
    </row>
    <row r="2466" ht="15.75" customHeight="1">
      <c r="A2466" s="11">
        <v>13769.0</v>
      </c>
      <c r="B2466" s="11" t="s">
        <v>2492</v>
      </c>
      <c r="C2466" s="12">
        <v>28488.0</v>
      </c>
      <c r="D2466" s="11" t="str">
        <f t="shared" si="1"/>
        <v> </v>
      </c>
      <c r="E2466" s="11" t="str">
        <f t="shared" si="2"/>
        <v> </v>
      </c>
    </row>
    <row r="2467" ht="15.75" customHeight="1">
      <c r="A2467" s="11">
        <v>13771.0</v>
      </c>
      <c r="B2467" s="11" t="s">
        <v>2493</v>
      </c>
      <c r="C2467" s="12">
        <v>31700.0</v>
      </c>
      <c r="D2467" s="11" t="str">
        <f t="shared" si="1"/>
        <v> </v>
      </c>
      <c r="E2467" s="11" t="str">
        <f t="shared" si="2"/>
        <v> </v>
      </c>
    </row>
    <row r="2468" ht="15.75" customHeight="1">
      <c r="A2468" s="11">
        <v>13772.0</v>
      </c>
      <c r="B2468" s="11" t="s">
        <v>2494</v>
      </c>
      <c r="C2468" s="12">
        <v>28182.0</v>
      </c>
      <c r="D2468" s="11" t="str">
        <f t="shared" si="1"/>
        <v> </v>
      </c>
      <c r="E2468" s="11" t="str">
        <f t="shared" si="2"/>
        <v> </v>
      </c>
    </row>
    <row r="2469" ht="15.75" customHeight="1">
      <c r="A2469" s="11">
        <v>13773.0</v>
      </c>
      <c r="B2469" s="11" t="s">
        <v>2495</v>
      </c>
      <c r="C2469" s="12">
        <v>32265.0</v>
      </c>
      <c r="D2469" s="11" t="str">
        <f t="shared" si="1"/>
        <v> </v>
      </c>
      <c r="E2469" s="11" t="str">
        <f t="shared" si="2"/>
        <v> </v>
      </c>
    </row>
    <row r="2470" ht="15.75" customHeight="1">
      <c r="A2470" s="11">
        <v>13774.0</v>
      </c>
      <c r="B2470" s="11" t="s">
        <v>2496</v>
      </c>
      <c r="C2470" s="12">
        <v>18337.0</v>
      </c>
      <c r="D2470" s="11" t="str">
        <f t="shared" si="1"/>
        <v> </v>
      </c>
      <c r="E2470" s="11" t="str">
        <f t="shared" si="2"/>
        <v> </v>
      </c>
    </row>
    <row r="2471" ht="15.75" customHeight="1">
      <c r="A2471" s="11">
        <v>13775.0</v>
      </c>
      <c r="B2471" s="11" t="s">
        <v>2497</v>
      </c>
      <c r="C2471" s="12">
        <v>12712.0</v>
      </c>
      <c r="D2471" s="11" t="str">
        <f t="shared" si="1"/>
        <v> </v>
      </c>
      <c r="E2471" s="11" t="str">
        <f t="shared" si="2"/>
        <v> </v>
      </c>
    </row>
    <row r="2472" ht="15.75" customHeight="1">
      <c r="A2472" s="11">
        <v>13776.0</v>
      </c>
      <c r="B2472" s="11" t="s">
        <v>2498</v>
      </c>
      <c r="C2472" s="12">
        <v>34971.0</v>
      </c>
      <c r="D2472" s="11" t="str">
        <f t="shared" si="1"/>
        <v> </v>
      </c>
      <c r="E2472" s="11" t="str">
        <f t="shared" si="2"/>
        <v> </v>
      </c>
    </row>
    <row r="2473" ht="15.75" customHeight="1">
      <c r="A2473" s="11">
        <v>13777.0</v>
      </c>
      <c r="B2473" s="11" t="s">
        <v>2499</v>
      </c>
      <c r="C2473" s="12">
        <v>29196.0</v>
      </c>
      <c r="D2473" s="11" t="str">
        <f t="shared" si="1"/>
        <v> </v>
      </c>
      <c r="E2473" s="11" t="str">
        <f t="shared" si="2"/>
        <v> </v>
      </c>
    </row>
    <row r="2474" ht="15.75" customHeight="1">
      <c r="A2474" s="11">
        <v>13779.0</v>
      </c>
      <c r="B2474" s="11" t="s">
        <v>2500</v>
      </c>
      <c r="C2474" s="12">
        <v>24043.0</v>
      </c>
      <c r="D2474" s="11" t="str">
        <f t="shared" si="1"/>
        <v> </v>
      </c>
      <c r="E2474" s="11" t="str">
        <f t="shared" si="2"/>
        <v> </v>
      </c>
    </row>
    <row r="2475" ht="15.75" customHeight="1">
      <c r="A2475" s="11">
        <v>13780.0</v>
      </c>
      <c r="B2475" s="11" t="s">
        <v>2501</v>
      </c>
      <c r="C2475" s="12">
        <v>12733.0</v>
      </c>
      <c r="D2475" s="11" t="str">
        <f t="shared" si="1"/>
        <v> </v>
      </c>
      <c r="E2475" s="11" t="str">
        <f t="shared" si="2"/>
        <v> </v>
      </c>
    </row>
    <row r="2476" ht="15.75" customHeight="1">
      <c r="A2476" s="11">
        <v>13781.0</v>
      </c>
      <c r="B2476" s="11" t="s">
        <v>2502</v>
      </c>
      <c r="C2476" s="12">
        <v>17940.0</v>
      </c>
      <c r="D2476" s="11" t="str">
        <f t="shared" si="1"/>
        <v> </v>
      </c>
      <c r="E2476" s="11" t="str">
        <f t="shared" si="2"/>
        <v> </v>
      </c>
    </row>
    <row r="2477" ht="15.75" customHeight="1">
      <c r="A2477" s="11">
        <v>13782.0</v>
      </c>
      <c r="B2477" s="11" t="s">
        <v>2503</v>
      </c>
      <c r="C2477" s="12">
        <v>19549.0</v>
      </c>
      <c r="D2477" s="11" t="str">
        <f t="shared" si="1"/>
        <v> </v>
      </c>
      <c r="E2477" s="11" t="str">
        <f t="shared" si="2"/>
        <v> </v>
      </c>
    </row>
    <row r="2478" ht="15.75" customHeight="1">
      <c r="A2478" s="11">
        <v>13783.0</v>
      </c>
      <c r="B2478" s="11" t="s">
        <v>2504</v>
      </c>
      <c r="C2478" s="12">
        <v>21103.0</v>
      </c>
      <c r="D2478" s="11" t="str">
        <f t="shared" si="1"/>
        <v> </v>
      </c>
      <c r="E2478" s="11" t="str">
        <f t="shared" si="2"/>
        <v> </v>
      </c>
    </row>
    <row r="2479" ht="15.75" customHeight="1">
      <c r="A2479" s="11">
        <v>13784.0</v>
      </c>
      <c r="B2479" s="11" t="s">
        <v>2505</v>
      </c>
      <c r="C2479" s="12">
        <v>21088.0</v>
      </c>
      <c r="D2479" s="11" t="str">
        <f t="shared" si="1"/>
        <v> </v>
      </c>
      <c r="E2479" s="11" t="str">
        <f t="shared" si="2"/>
        <v> </v>
      </c>
    </row>
    <row r="2480" ht="15.75" customHeight="1">
      <c r="A2480" s="11">
        <v>13785.0</v>
      </c>
      <c r="B2480" s="11" t="s">
        <v>2506</v>
      </c>
      <c r="C2480" s="12">
        <v>35647.0</v>
      </c>
      <c r="D2480" s="11" t="str">
        <f t="shared" si="1"/>
        <v> </v>
      </c>
      <c r="E2480" s="11" t="str">
        <f t="shared" si="2"/>
        <v> </v>
      </c>
    </row>
    <row r="2481" ht="15.75" customHeight="1">
      <c r="A2481" s="11">
        <v>13786.0</v>
      </c>
      <c r="B2481" s="11" t="s">
        <v>2507</v>
      </c>
      <c r="C2481" s="12">
        <v>17563.0</v>
      </c>
      <c r="D2481" s="11" t="str">
        <f t="shared" si="1"/>
        <v> </v>
      </c>
      <c r="E2481" s="11" t="str">
        <f t="shared" si="2"/>
        <v> </v>
      </c>
    </row>
    <row r="2482" ht="15.75" customHeight="1">
      <c r="A2482" s="11">
        <v>13788.0</v>
      </c>
      <c r="B2482" s="11" t="s">
        <v>2508</v>
      </c>
      <c r="C2482" s="12">
        <v>19149.0</v>
      </c>
      <c r="D2482" s="11" t="str">
        <f t="shared" si="1"/>
        <v> </v>
      </c>
      <c r="E2482" s="11" t="str">
        <f t="shared" si="2"/>
        <v> </v>
      </c>
    </row>
    <row r="2483" ht="15.75" customHeight="1">
      <c r="A2483" s="11">
        <v>13789.0</v>
      </c>
      <c r="B2483" s="11" t="s">
        <v>2509</v>
      </c>
      <c r="C2483" s="12">
        <v>22249.0</v>
      </c>
      <c r="D2483" s="11" t="str">
        <f t="shared" si="1"/>
        <v> </v>
      </c>
      <c r="E2483" s="11" t="str">
        <f t="shared" si="2"/>
        <v> </v>
      </c>
    </row>
    <row r="2484" ht="15.75" customHeight="1">
      <c r="A2484" s="11">
        <v>13790.0</v>
      </c>
      <c r="B2484" s="11" t="s">
        <v>2510</v>
      </c>
      <c r="C2484" s="12">
        <v>31180.0</v>
      </c>
      <c r="D2484" s="11" t="str">
        <f t="shared" si="1"/>
        <v> </v>
      </c>
      <c r="E2484" s="11" t="str">
        <f t="shared" si="2"/>
        <v> </v>
      </c>
    </row>
    <row r="2485" ht="15.75" customHeight="1">
      <c r="A2485" s="11">
        <v>13791.0</v>
      </c>
      <c r="B2485" s="11" t="s">
        <v>2511</v>
      </c>
      <c r="C2485" s="12">
        <v>22547.0</v>
      </c>
      <c r="D2485" s="11" t="str">
        <f t="shared" si="1"/>
        <v> </v>
      </c>
      <c r="E2485" s="11" t="str">
        <f t="shared" si="2"/>
        <v> </v>
      </c>
    </row>
    <row r="2486" ht="15.75" customHeight="1">
      <c r="A2486" s="11">
        <v>13794.0</v>
      </c>
      <c r="B2486" s="11" t="s">
        <v>2512</v>
      </c>
      <c r="C2486" s="12">
        <v>18355.0</v>
      </c>
      <c r="D2486" s="11" t="str">
        <f t="shared" si="1"/>
        <v> </v>
      </c>
      <c r="E2486" s="11" t="str">
        <f t="shared" si="2"/>
        <v> </v>
      </c>
    </row>
    <row r="2487" ht="15.75" customHeight="1">
      <c r="A2487" s="11">
        <v>13796.0</v>
      </c>
      <c r="B2487" s="11" t="s">
        <v>2513</v>
      </c>
      <c r="C2487" s="12">
        <v>13230.0</v>
      </c>
      <c r="D2487" s="11" t="str">
        <f t="shared" si="1"/>
        <v> </v>
      </c>
      <c r="E2487" s="11" t="str">
        <f t="shared" si="2"/>
        <v> </v>
      </c>
    </row>
    <row r="2488" ht="15.75" customHeight="1">
      <c r="A2488" s="11">
        <v>13797.0</v>
      </c>
      <c r="B2488" s="11" t="s">
        <v>2514</v>
      </c>
      <c r="C2488" s="12">
        <v>18819.0</v>
      </c>
      <c r="D2488" s="11" t="str">
        <f t="shared" si="1"/>
        <v> </v>
      </c>
      <c r="E2488" s="11" t="str">
        <f t="shared" si="2"/>
        <v> </v>
      </c>
    </row>
    <row r="2489" ht="15.75" customHeight="1">
      <c r="A2489" s="11">
        <v>13798.0</v>
      </c>
      <c r="B2489" s="11" t="s">
        <v>2515</v>
      </c>
      <c r="C2489" s="12">
        <v>34259.0</v>
      </c>
      <c r="D2489" s="11" t="str">
        <f t="shared" si="1"/>
        <v> </v>
      </c>
      <c r="E2489" s="11" t="str">
        <f t="shared" si="2"/>
        <v> </v>
      </c>
    </row>
    <row r="2490" ht="15.75" customHeight="1">
      <c r="A2490" s="11">
        <v>13799.0</v>
      </c>
      <c r="B2490" s="11" t="s">
        <v>2516</v>
      </c>
      <c r="C2490" s="12">
        <v>24564.0</v>
      </c>
      <c r="D2490" s="11" t="str">
        <f t="shared" si="1"/>
        <v> </v>
      </c>
      <c r="E2490" s="11" t="str">
        <f t="shared" si="2"/>
        <v> </v>
      </c>
    </row>
    <row r="2491" ht="15.75" customHeight="1">
      <c r="A2491" s="11">
        <v>13800.0</v>
      </c>
      <c r="B2491" s="11" t="s">
        <v>2517</v>
      </c>
      <c r="C2491" s="12">
        <v>21061.0</v>
      </c>
      <c r="D2491" s="11" t="str">
        <f t="shared" si="1"/>
        <v> </v>
      </c>
      <c r="E2491" s="11" t="str">
        <f t="shared" si="2"/>
        <v> </v>
      </c>
    </row>
    <row r="2492" ht="15.75" customHeight="1">
      <c r="A2492" s="11">
        <v>13801.0</v>
      </c>
      <c r="B2492" s="11" t="s">
        <v>2518</v>
      </c>
      <c r="C2492" s="12">
        <v>20187.0</v>
      </c>
      <c r="D2492" s="11" t="str">
        <f t="shared" si="1"/>
        <v> </v>
      </c>
      <c r="E2492" s="11" t="str">
        <f t="shared" si="2"/>
        <v> </v>
      </c>
    </row>
    <row r="2493" ht="15.75" customHeight="1">
      <c r="A2493" s="11">
        <v>13804.0</v>
      </c>
      <c r="B2493" s="11" t="s">
        <v>2519</v>
      </c>
      <c r="C2493" s="12">
        <v>21870.0</v>
      </c>
      <c r="D2493" s="11" t="str">
        <f t="shared" si="1"/>
        <v> </v>
      </c>
      <c r="E2493" s="11" t="str">
        <f t="shared" si="2"/>
        <v> </v>
      </c>
    </row>
    <row r="2494" ht="15.75" customHeight="1">
      <c r="A2494" s="11">
        <v>13805.0</v>
      </c>
      <c r="B2494" s="11" t="s">
        <v>2520</v>
      </c>
      <c r="C2494" s="12">
        <v>14566.0</v>
      </c>
      <c r="D2494" s="11" t="str">
        <f t="shared" si="1"/>
        <v> </v>
      </c>
      <c r="E2494" s="11" t="str">
        <f t="shared" si="2"/>
        <v> </v>
      </c>
    </row>
    <row r="2495" ht="15.75" customHeight="1">
      <c r="A2495" s="11">
        <v>13806.0</v>
      </c>
      <c r="B2495" s="11" t="s">
        <v>2521</v>
      </c>
      <c r="C2495" s="12">
        <v>21159.0</v>
      </c>
      <c r="D2495" s="11" t="str">
        <f t="shared" si="1"/>
        <v> </v>
      </c>
      <c r="E2495" s="11" t="str">
        <f t="shared" si="2"/>
        <v> </v>
      </c>
    </row>
    <row r="2496" ht="15.75" customHeight="1">
      <c r="A2496" s="11">
        <v>13807.0</v>
      </c>
      <c r="B2496" s="11" t="s">
        <v>2522</v>
      </c>
      <c r="C2496" s="12">
        <v>30989.0</v>
      </c>
      <c r="D2496" s="11" t="str">
        <f t="shared" si="1"/>
        <v> </v>
      </c>
      <c r="E2496" s="11" t="str">
        <f t="shared" si="2"/>
        <v> </v>
      </c>
    </row>
    <row r="2497" ht="15.75" customHeight="1">
      <c r="A2497" s="11">
        <v>13808.0</v>
      </c>
      <c r="B2497" s="11" t="s">
        <v>2523</v>
      </c>
      <c r="C2497" s="12">
        <v>21081.0</v>
      </c>
      <c r="D2497" s="11" t="str">
        <f t="shared" si="1"/>
        <v> </v>
      </c>
      <c r="E2497" s="11" t="str">
        <f t="shared" si="2"/>
        <v> </v>
      </c>
    </row>
    <row r="2498" ht="15.75" customHeight="1">
      <c r="A2498" s="11">
        <v>13809.0</v>
      </c>
      <c r="B2498" s="11" t="s">
        <v>2524</v>
      </c>
      <c r="C2498" s="12">
        <v>35631.0</v>
      </c>
      <c r="D2498" s="11" t="str">
        <f t="shared" si="1"/>
        <v> </v>
      </c>
      <c r="E2498" s="11" t="str">
        <f t="shared" si="2"/>
        <v> </v>
      </c>
    </row>
    <row r="2499" ht="15.75" customHeight="1">
      <c r="A2499" s="11">
        <v>13810.0</v>
      </c>
      <c r="B2499" s="11" t="s">
        <v>2525</v>
      </c>
      <c r="C2499" s="12">
        <v>15873.0</v>
      </c>
      <c r="D2499" s="11" t="str">
        <f t="shared" si="1"/>
        <v> </v>
      </c>
      <c r="E2499" s="11" t="str">
        <f t="shared" si="2"/>
        <v> </v>
      </c>
    </row>
    <row r="2500" ht="15.75" customHeight="1">
      <c r="A2500" s="11">
        <v>13812.0</v>
      </c>
      <c r="B2500" s="11" t="s">
        <v>2526</v>
      </c>
      <c r="C2500" s="12">
        <v>32069.0</v>
      </c>
      <c r="D2500" s="11" t="str">
        <f t="shared" si="1"/>
        <v> </v>
      </c>
      <c r="E2500" s="11" t="str">
        <f t="shared" si="2"/>
        <v> </v>
      </c>
    </row>
    <row r="2501" ht="15.75" customHeight="1">
      <c r="A2501" s="11">
        <v>13813.0</v>
      </c>
      <c r="B2501" s="11" t="s">
        <v>2527</v>
      </c>
      <c r="C2501" s="12">
        <v>21045.0</v>
      </c>
      <c r="D2501" s="11" t="str">
        <f t="shared" si="1"/>
        <v> </v>
      </c>
      <c r="E2501" s="11" t="str">
        <f t="shared" si="2"/>
        <v> </v>
      </c>
    </row>
    <row r="2502" ht="15.75" customHeight="1">
      <c r="A2502" s="11">
        <v>13814.0</v>
      </c>
      <c r="B2502" s="11" t="s">
        <v>2528</v>
      </c>
      <c r="C2502" s="12">
        <v>16406.0</v>
      </c>
      <c r="D2502" s="11" t="str">
        <f t="shared" si="1"/>
        <v> </v>
      </c>
      <c r="E2502" s="11" t="str">
        <f t="shared" si="2"/>
        <v> </v>
      </c>
    </row>
    <row r="2503" ht="15.75" customHeight="1">
      <c r="A2503" s="11">
        <v>13816.0</v>
      </c>
      <c r="B2503" s="11" t="s">
        <v>2529</v>
      </c>
      <c r="C2503" s="12">
        <v>20966.0</v>
      </c>
      <c r="D2503" s="11" t="str">
        <f t="shared" si="1"/>
        <v> </v>
      </c>
      <c r="E2503" s="11" t="str">
        <f t="shared" si="2"/>
        <v> </v>
      </c>
    </row>
    <row r="2504" ht="15.75" customHeight="1">
      <c r="A2504" s="11">
        <v>13817.0</v>
      </c>
      <c r="B2504" s="11" t="s">
        <v>2530</v>
      </c>
      <c r="C2504" s="12">
        <v>25264.0</v>
      </c>
      <c r="D2504" s="11" t="str">
        <f t="shared" si="1"/>
        <v> </v>
      </c>
      <c r="E2504" s="11" t="str">
        <f t="shared" si="2"/>
        <v> </v>
      </c>
    </row>
    <row r="2505" ht="15.75" customHeight="1">
      <c r="A2505" s="11">
        <v>13818.0</v>
      </c>
      <c r="B2505" s="11" t="s">
        <v>2531</v>
      </c>
      <c r="C2505" s="12">
        <v>16380.0</v>
      </c>
      <c r="D2505" s="11" t="str">
        <f t="shared" si="1"/>
        <v> </v>
      </c>
      <c r="E2505" s="11" t="str">
        <f t="shared" si="2"/>
        <v> </v>
      </c>
    </row>
    <row r="2506" ht="15.75" customHeight="1">
      <c r="A2506" s="11">
        <v>13819.0</v>
      </c>
      <c r="B2506" s="11" t="s">
        <v>2532</v>
      </c>
      <c r="C2506" s="12">
        <v>21650.0</v>
      </c>
      <c r="D2506" s="11" t="str">
        <f t="shared" si="1"/>
        <v> </v>
      </c>
      <c r="E2506" s="11" t="str">
        <f t="shared" si="2"/>
        <v> </v>
      </c>
    </row>
    <row r="2507" ht="15.75" customHeight="1">
      <c r="A2507" s="11">
        <v>13821.0</v>
      </c>
      <c r="B2507" s="11" t="s">
        <v>2533</v>
      </c>
      <c r="C2507" s="12">
        <v>18596.0</v>
      </c>
      <c r="D2507" s="11" t="str">
        <f t="shared" si="1"/>
        <v> </v>
      </c>
      <c r="E2507" s="11" t="str">
        <f t="shared" si="2"/>
        <v> </v>
      </c>
    </row>
    <row r="2508" ht="15.75" customHeight="1">
      <c r="A2508" s="11">
        <v>13822.0</v>
      </c>
      <c r="B2508" s="11" t="s">
        <v>2534</v>
      </c>
      <c r="C2508" s="12">
        <v>25814.0</v>
      </c>
      <c r="D2508" s="11" t="str">
        <f t="shared" si="1"/>
        <v> </v>
      </c>
      <c r="E2508" s="11" t="str">
        <f t="shared" si="2"/>
        <v> </v>
      </c>
    </row>
    <row r="2509" ht="15.75" customHeight="1">
      <c r="A2509" s="11">
        <v>13826.0</v>
      </c>
      <c r="B2509" s="11" t="s">
        <v>2535</v>
      </c>
      <c r="C2509" s="12">
        <v>25097.0</v>
      </c>
      <c r="D2509" s="11" t="str">
        <f t="shared" si="1"/>
        <v> </v>
      </c>
      <c r="E2509" s="11" t="str">
        <f t="shared" si="2"/>
        <v> </v>
      </c>
    </row>
    <row r="2510" ht="15.75" customHeight="1">
      <c r="A2510" s="11">
        <v>13828.0</v>
      </c>
      <c r="B2510" s="11" t="s">
        <v>2536</v>
      </c>
      <c r="C2510" s="12">
        <v>30380.0</v>
      </c>
      <c r="D2510" s="11" t="str">
        <f t="shared" si="1"/>
        <v> </v>
      </c>
      <c r="E2510" s="11" t="str">
        <f t="shared" si="2"/>
        <v> </v>
      </c>
    </row>
    <row r="2511" ht="15.75" customHeight="1">
      <c r="A2511" s="11">
        <v>13829.0</v>
      </c>
      <c r="B2511" s="11" t="s">
        <v>2537</v>
      </c>
      <c r="C2511" s="12">
        <v>19504.0</v>
      </c>
      <c r="D2511" s="11" t="str">
        <f t="shared" si="1"/>
        <v> </v>
      </c>
      <c r="E2511" s="11" t="str">
        <f t="shared" si="2"/>
        <v> </v>
      </c>
    </row>
    <row r="2512" ht="15.75" customHeight="1">
      <c r="A2512" s="11">
        <v>13830.0</v>
      </c>
      <c r="B2512" s="11" t="s">
        <v>2538</v>
      </c>
      <c r="C2512" s="12">
        <v>29294.0</v>
      </c>
      <c r="D2512" s="11" t="str">
        <f t="shared" si="1"/>
        <v> </v>
      </c>
      <c r="E2512" s="11" t="str">
        <f t="shared" si="2"/>
        <v> </v>
      </c>
    </row>
    <row r="2513" ht="15.75" customHeight="1">
      <c r="A2513" s="11">
        <v>13832.0</v>
      </c>
      <c r="B2513" s="11" t="s">
        <v>2539</v>
      </c>
      <c r="C2513" s="12">
        <v>23391.0</v>
      </c>
      <c r="D2513" s="11" t="str">
        <f t="shared" si="1"/>
        <v> </v>
      </c>
      <c r="E2513" s="11" t="str">
        <f t="shared" si="2"/>
        <v> </v>
      </c>
    </row>
    <row r="2514" ht="15.75" customHeight="1">
      <c r="A2514" s="11">
        <v>13835.0</v>
      </c>
      <c r="B2514" s="11" t="s">
        <v>2540</v>
      </c>
      <c r="C2514" s="12">
        <v>18179.0</v>
      </c>
      <c r="D2514" s="11" t="str">
        <f t="shared" si="1"/>
        <v> </v>
      </c>
      <c r="E2514" s="11" t="str">
        <f t="shared" si="2"/>
        <v> </v>
      </c>
    </row>
    <row r="2515" ht="15.75" customHeight="1">
      <c r="A2515" s="11">
        <v>13836.0</v>
      </c>
      <c r="B2515" s="11" t="s">
        <v>2541</v>
      </c>
      <c r="C2515" s="12">
        <v>31916.0</v>
      </c>
      <c r="D2515" s="11" t="str">
        <f t="shared" si="1"/>
        <v> </v>
      </c>
      <c r="E2515" s="11" t="str">
        <f t="shared" si="2"/>
        <v> </v>
      </c>
    </row>
    <row r="2516" ht="15.75" customHeight="1">
      <c r="A2516" s="11">
        <v>13837.0</v>
      </c>
      <c r="B2516" s="11" t="s">
        <v>2542</v>
      </c>
      <c r="C2516" s="12">
        <v>25995.0</v>
      </c>
      <c r="D2516" s="11" t="str">
        <f t="shared" si="1"/>
        <v> </v>
      </c>
      <c r="E2516" s="11" t="str">
        <f t="shared" si="2"/>
        <v> </v>
      </c>
    </row>
    <row r="2517" ht="15.75" customHeight="1">
      <c r="A2517" s="11">
        <v>13838.0</v>
      </c>
      <c r="B2517" s="11" t="s">
        <v>2543</v>
      </c>
      <c r="C2517" s="12">
        <v>26338.0</v>
      </c>
      <c r="D2517" s="11" t="str">
        <f t="shared" si="1"/>
        <v> </v>
      </c>
      <c r="E2517" s="11" t="str">
        <f t="shared" si="2"/>
        <v> </v>
      </c>
    </row>
    <row r="2518" ht="15.75" customHeight="1">
      <c r="A2518" s="11">
        <v>13839.0</v>
      </c>
      <c r="B2518" s="11" t="s">
        <v>2544</v>
      </c>
      <c r="C2518" s="12">
        <v>21341.0</v>
      </c>
      <c r="D2518" s="11" t="str">
        <f t="shared" si="1"/>
        <v> </v>
      </c>
      <c r="E2518" s="11" t="str">
        <f t="shared" si="2"/>
        <v> </v>
      </c>
    </row>
    <row r="2519" ht="15.75" customHeight="1">
      <c r="A2519" s="11">
        <v>13840.0</v>
      </c>
      <c r="B2519" s="11" t="s">
        <v>2545</v>
      </c>
      <c r="C2519" s="12">
        <v>17959.0</v>
      </c>
      <c r="D2519" s="11" t="str">
        <f t="shared" si="1"/>
        <v> </v>
      </c>
      <c r="E2519" s="11" t="str">
        <f t="shared" si="2"/>
        <v> </v>
      </c>
    </row>
    <row r="2520" ht="15.75" customHeight="1">
      <c r="A2520" s="11">
        <v>13842.0</v>
      </c>
      <c r="B2520" s="11" t="s">
        <v>2546</v>
      </c>
      <c r="C2520" s="12">
        <v>18921.0</v>
      </c>
      <c r="D2520" s="11" t="str">
        <f t="shared" si="1"/>
        <v> </v>
      </c>
      <c r="E2520" s="11" t="str">
        <f t="shared" si="2"/>
        <v> </v>
      </c>
    </row>
    <row r="2521" ht="15.75" customHeight="1">
      <c r="A2521" s="11">
        <v>13843.0</v>
      </c>
      <c r="B2521" s="11" t="s">
        <v>2547</v>
      </c>
      <c r="C2521" s="12">
        <v>22681.0</v>
      </c>
      <c r="D2521" s="11" t="str">
        <f t="shared" si="1"/>
        <v> </v>
      </c>
      <c r="E2521" s="11" t="str">
        <f t="shared" si="2"/>
        <v> </v>
      </c>
    </row>
    <row r="2522" ht="15.75" customHeight="1">
      <c r="A2522" s="11">
        <v>13844.0</v>
      </c>
      <c r="B2522" s="11" t="s">
        <v>2548</v>
      </c>
      <c r="C2522" s="12">
        <v>20664.0</v>
      </c>
      <c r="D2522" s="11" t="str">
        <f t="shared" si="1"/>
        <v> </v>
      </c>
      <c r="E2522" s="11" t="str">
        <f t="shared" si="2"/>
        <v> </v>
      </c>
    </row>
    <row r="2523" ht="15.75" customHeight="1">
      <c r="A2523" s="11">
        <v>13845.0</v>
      </c>
      <c r="B2523" s="11" t="s">
        <v>2549</v>
      </c>
      <c r="C2523" s="12">
        <v>18613.0</v>
      </c>
      <c r="D2523" s="11" t="str">
        <f t="shared" si="1"/>
        <v> </v>
      </c>
      <c r="E2523" s="11" t="str">
        <f t="shared" si="2"/>
        <v> </v>
      </c>
    </row>
    <row r="2524" ht="15.75" customHeight="1">
      <c r="A2524" s="11">
        <v>13847.0</v>
      </c>
      <c r="B2524" s="11" t="s">
        <v>2550</v>
      </c>
      <c r="C2524" s="12">
        <v>24349.0</v>
      </c>
      <c r="D2524" s="11" t="str">
        <f t="shared" si="1"/>
        <v>Repeat</v>
      </c>
      <c r="E2524" s="11" t="str">
        <f t="shared" si="2"/>
        <v> </v>
      </c>
    </row>
    <row r="2525" ht="15.75" customHeight="1">
      <c r="A2525" s="11">
        <v>13848.0</v>
      </c>
      <c r="B2525" s="11" t="s">
        <v>2551</v>
      </c>
      <c r="C2525" s="12">
        <v>16483.0</v>
      </c>
      <c r="D2525" s="11" t="str">
        <f t="shared" si="1"/>
        <v> </v>
      </c>
      <c r="E2525" s="11" t="str">
        <f t="shared" si="2"/>
        <v> </v>
      </c>
    </row>
    <row r="2526" ht="15.75" customHeight="1">
      <c r="A2526" s="11">
        <v>13849.0</v>
      </c>
      <c r="B2526" s="11" t="s">
        <v>2552</v>
      </c>
      <c r="C2526" s="12">
        <v>24867.0</v>
      </c>
      <c r="D2526" s="11" t="str">
        <f t="shared" si="1"/>
        <v> </v>
      </c>
      <c r="E2526" s="11" t="str">
        <f t="shared" si="2"/>
        <v> </v>
      </c>
    </row>
    <row r="2527" ht="15.75" customHeight="1">
      <c r="A2527" s="11">
        <v>13850.0</v>
      </c>
      <c r="B2527" s="11" t="s">
        <v>2553</v>
      </c>
      <c r="C2527" s="12">
        <v>27494.0</v>
      </c>
      <c r="D2527" s="11" t="str">
        <f t="shared" si="1"/>
        <v> </v>
      </c>
      <c r="E2527" s="11" t="str">
        <f t="shared" si="2"/>
        <v> </v>
      </c>
    </row>
    <row r="2528" ht="15.75" customHeight="1">
      <c r="A2528" s="11">
        <v>13851.0</v>
      </c>
      <c r="B2528" s="11" t="s">
        <v>2554</v>
      </c>
      <c r="C2528" s="12">
        <v>35656.0</v>
      </c>
      <c r="D2528" s="11" t="str">
        <f t="shared" si="1"/>
        <v> </v>
      </c>
      <c r="E2528" s="11" t="str">
        <f t="shared" si="2"/>
        <v> </v>
      </c>
    </row>
    <row r="2529" ht="15.75" customHeight="1">
      <c r="A2529" s="11">
        <v>13852.0</v>
      </c>
      <c r="B2529" s="11" t="s">
        <v>2555</v>
      </c>
      <c r="C2529" s="12">
        <v>19703.0</v>
      </c>
      <c r="D2529" s="11" t="str">
        <f t="shared" si="1"/>
        <v> </v>
      </c>
      <c r="E2529" s="11" t="str">
        <f t="shared" si="2"/>
        <v> </v>
      </c>
    </row>
    <row r="2530" ht="15.75" customHeight="1">
      <c r="A2530" s="11">
        <v>13853.0</v>
      </c>
      <c r="B2530" s="11" t="s">
        <v>2556</v>
      </c>
      <c r="C2530" s="12">
        <v>27275.0</v>
      </c>
      <c r="D2530" s="11" t="str">
        <f t="shared" si="1"/>
        <v> </v>
      </c>
      <c r="E2530" s="11" t="str">
        <f t="shared" si="2"/>
        <v> </v>
      </c>
    </row>
    <row r="2531" ht="15.75" customHeight="1">
      <c r="A2531" s="11">
        <v>13854.0</v>
      </c>
      <c r="B2531" s="11" t="s">
        <v>2557</v>
      </c>
      <c r="C2531" s="12">
        <v>19452.0</v>
      </c>
      <c r="D2531" s="11" t="str">
        <f t="shared" si="1"/>
        <v> </v>
      </c>
      <c r="E2531" s="11" t="str">
        <f t="shared" si="2"/>
        <v> </v>
      </c>
    </row>
    <row r="2532" ht="15.75" customHeight="1">
      <c r="A2532" s="11">
        <v>13859.0</v>
      </c>
      <c r="B2532" s="11" t="s">
        <v>2558</v>
      </c>
      <c r="C2532" s="12">
        <v>21612.0</v>
      </c>
      <c r="D2532" s="11" t="str">
        <f t="shared" si="1"/>
        <v> </v>
      </c>
      <c r="E2532" s="11" t="str">
        <f t="shared" si="2"/>
        <v> </v>
      </c>
    </row>
    <row r="2533" ht="15.75" customHeight="1">
      <c r="A2533" s="11">
        <v>13860.0</v>
      </c>
      <c r="B2533" s="11" t="s">
        <v>2559</v>
      </c>
      <c r="C2533" s="12">
        <v>23450.0</v>
      </c>
      <c r="D2533" s="11" t="str">
        <f t="shared" si="1"/>
        <v> </v>
      </c>
      <c r="E2533" s="11" t="str">
        <f t="shared" si="2"/>
        <v> </v>
      </c>
    </row>
    <row r="2534" ht="15.75" customHeight="1">
      <c r="A2534" s="11">
        <v>13861.0</v>
      </c>
      <c r="B2534" s="11" t="s">
        <v>2560</v>
      </c>
      <c r="C2534" s="12">
        <v>26754.0</v>
      </c>
      <c r="D2534" s="11" t="str">
        <f t="shared" si="1"/>
        <v> </v>
      </c>
      <c r="E2534" s="11" t="str">
        <f t="shared" si="2"/>
        <v> </v>
      </c>
    </row>
    <row r="2535" ht="15.75" customHeight="1">
      <c r="A2535" s="11">
        <v>13862.0</v>
      </c>
      <c r="B2535" s="11" t="s">
        <v>2561</v>
      </c>
      <c r="C2535" s="12">
        <v>21070.0</v>
      </c>
      <c r="D2535" s="11" t="str">
        <f t="shared" si="1"/>
        <v> </v>
      </c>
      <c r="E2535" s="11" t="str">
        <f t="shared" si="2"/>
        <v> </v>
      </c>
    </row>
    <row r="2536" ht="15.75" customHeight="1">
      <c r="A2536" s="11">
        <v>13863.0</v>
      </c>
      <c r="B2536" s="11" t="s">
        <v>2562</v>
      </c>
      <c r="C2536" s="12">
        <v>29842.0</v>
      </c>
      <c r="D2536" s="11" t="str">
        <f t="shared" si="1"/>
        <v> </v>
      </c>
      <c r="E2536" s="11" t="str">
        <f t="shared" si="2"/>
        <v> </v>
      </c>
    </row>
    <row r="2537" ht="15.75" customHeight="1">
      <c r="A2537" s="11">
        <v>13864.0</v>
      </c>
      <c r="B2537" s="11" t="s">
        <v>2563</v>
      </c>
      <c r="C2537" s="12">
        <v>15715.0</v>
      </c>
      <c r="D2537" s="11" t="str">
        <f t="shared" si="1"/>
        <v> </v>
      </c>
      <c r="E2537" s="11" t="str">
        <f t="shared" si="2"/>
        <v> </v>
      </c>
    </row>
    <row r="2538" ht="15.75" customHeight="1">
      <c r="A2538" s="11">
        <v>13866.0</v>
      </c>
      <c r="B2538" s="11" t="s">
        <v>2564</v>
      </c>
      <c r="C2538" s="12">
        <v>22581.0</v>
      </c>
      <c r="D2538" s="11" t="str">
        <f t="shared" si="1"/>
        <v> </v>
      </c>
      <c r="E2538" s="11" t="str">
        <f t="shared" si="2"/>
        <v> </v>
      </c>
    </row>
    <row r="2539" ht="15.75" customHeight="1">
      <c r="A2539" s="11">
        <v>13867.0</v>
      </c>
      <c r="B2539" s="11" t="s">
        <v>2565</v>
      </c>
      <c r="C2539" s="12">
        <v>20950.0</v>
      </c>
      <c r="D2539" s="11" t="str">
        <f t="shared" si="1"/>
        <v> </v>
      </c>
      <c r="E2539" s="11" t="str">
        <f t="shared" si="2"/>
        <v> </v>
      </c>
    </row>
    <row r="2540" ht="15.75" customHeight="1">
      <c r="A2540" s="11">
        <v>13869.0</v>
      </c>
      <c r="B2540" s="11" t="s">
        <v>2566</v>
      </c>
      <c r="C2540" s="12">
        <v>25705.0</v>
      </c>
      <c r="D2540" s="11" t="str">
        <f t="shared" si="1"/>
        <v> </v>
      </c>
      <c r="E2540" s="11" t="str">
        <f t="shared" si="2"/>
        <v> </v>
      </c>
    </row>
    <row r="2541" ht="15.75" customHeight="1">
      <c r="A2541" s="11">
        <v>13870.0</v>
      </c>
      <c r="B2541" s="11" t="s">
        <v>2567</v>
      </c>
      <c r="C2541" s="12">
        <v>20217.0</v>
      </c>
      <c r="D2541" s="11" t="str">
        <f t="shared" si="1"/>
        <v> </v>
      </c>
      <c r="E2541" s="11" t="str">
        <f t="shared" si="2"/>
        <v> </v>
      </c>
    </row>
    <row r="2542" ht="15.75" customHeight="1">
      <c r="A2542" s="11">
        <v>13871.0</v>
      </c>
      <c r="B2542" s="11" t="s">
        <v>2568</v>
      </c>
      <c r="C2542" s="12">
        <v>10982.0</v>
      </c>
      <c r="D2542" s="11" t="str">
        <f t="shared" si="1"/>
        <v> </v>
      </c>
      <c r="E2542" s="11" t="str">
        <f t="shared" si="2"/>
        <v> </v>
      </c>
    </row>
    <row r="2543" ht="15.75" customHeight="1">
      <c r="A2543" s="11">
        <v>13872.0</v>
      </c>
      <c r="B2543" s="11" t="s">
        <v>2569</v>
      </c>
      <c r="C2543" s="12">
        <v>17563.0</v>
      </c>
      <c r="D2543" s="11" t="str">
        <f t="shared" si="1"/>
        <v> </v>
      </c>
      <c r="E2543" s="11" t="str">
        <f t="shared" si="2"/>
        <v> </v>
      </c>
    </row>
    <row r="2544" ht="15.75" customHeight="1">
      <c r="A2544" s="11">
        <v>13873.0</v>
      </c>
      <c r="B2544" s="11" t="s">
        <v>2570</v>
      </c>
      <c r="C2544" s="12">
        <v>32895.0</v>
      </c>
      <c r="D2544" s="11" t="str">
        <f t="shared" si="1"/>
        <v> </v>
      </c>
      <c r="E2544" s="11" t="str">
        <f t="shared" si="2"/>
        <v> </v>
      </c>
    </row>
    <row r="2545" ht="15.75" customHeight="1">
      <c r="A2545" s="11">
        <v>13874.0</v>
      </c>
      <c r="B2545" s="11" t="s">
        <v>2571</v>
      </c>
      <c r="C2545" s="12">
        <v>23446.0</v>
      </c>
      <c r="D2545" s="11" t="str">
        <f t="shared" si="1"/>
        <v> </v>
      </c>
      <c r="E2545" s="11" t="str">
        <f t="shared" si="2"/>
        <v> </v>
      </c>
    </row>
    <row r="2546" ht="15.75" customHeight="1">
      <c r="A2546" s="11">
        <v>13878.0</v>
      </c>
      <c r="B2546" s="11" t="s">
        <v>2572</v>
      </c>
      <c r="C2546" s="12">
        <v>18179.0</v>
      </c>
      <c r="D2546" s="11" t="str">
        <f t="shared" si="1"/>
        <v> </v>
      </c>
      <c r="E2546" s="11" t="str">
        <f t="shared" si="2"/>
        <v> </v>
      </c>
    </row>
    <row r="2547" ht="15.75" customHeight="1">
      <c r="A2547" s="11">
        <v>13879.0</v>
      </c>
      <c r="B2547" s="11" t="s">
        <v>2573</v>
      </c>
      <c r="C2547" s="12">
        <v>11423.0</v>
      </c>
      <c r="D2547" s="11" t="str">
        <f t="shared" si="1"/>
        <v> </v>
      </c>
      <c r="E2547" s="11" t="str">
        <f t="shared" si="2"/>
        <v> </v>
      </c>
    </row>
    <row r="2548" ht="15.75" customHeight="1">
      <c r="A2548" s="11">
        <v>13880.0</v>
      </c>
      <c r="B2548" s="11" t="s">
        <v>2574</v>
      </c>
      <c r="C2548" s="12">
        <v>18348.0</v>
      </c>
      <c r="D2548" s="11" t="str">
        <f t="shared" si="1"/>
        <v> </v>
      </c>
      <c r="E2548" s="11" t="str">
        <f t="shared" si="2"/>
        <v> </v>
      </c>
    </row>
    <row r="2549" ht="15.75" customHeight="1">
      <c r="A2549" s="11">
        <v>13881.0</v>
      </c>
      <c r="B2549" s="11" t="s">
        <v>2575</v>
      </c>
      <c r="C2549" s="12">
        <v>14625.0</v>
      </c>
      <c r="D2549" s="11" t="str">
        <f t="shared" si="1"/>
        <v> </v>
      </c>
      <c r="E2549" s="11" t="str">
        <f t="shared" si="2"/>
        <v> </v>
      </c>
    </row>
    <row r="2550" ht="15.75" customHeight="1">
      <c r="A2550" s="11">
        <v>13882.0</v>
      </c>
      <c r="B2550" s="11" t="s">
        <v>2576</v>
      </c>
      <c r="C2550" s="12">
        <v>28965.0</v>
      </c>
      <c r="D2550" s="11" t="str">
        <f t="shared" si="1"/>
        <v> </v>
      </c>
      <c r="E2550" s="11" t="str">
        <f t="shared" si="2"/>
        <v> </v>
      </c>
    </row>
    <row r="2551" ht="15.75" customHeight="1">
      <c r="A2551" s="11">
        <v>13883.0</v>
      </c>
      <c r="B2551" s="11" t="s">
        <v>2577</v>
      </c>
      <c r="C2551" s="12">
        <v>17545.0</v>
      </c>
      <c r="D2551" s="11" t="str">
        <f t="shared" si="1"/>
        <v> </v>
      </c>
      <c r="E2551" s="11" t="str">
        <f t="shared" si="2"/>
        <v> </v>
      </c>
    </row>
    <row r="2552" ht="15.75" customHeight="1">
      <c r="A2552" s="11">
        <v>13884.0</v>
      </c>
      <c r="B2552" s="11" t="s">
        <v>2578</v>
      </c>
      <c r="C2552" s="12">
        <v>21982.0</v>
      </c>
      <c r="D2552" s="11" t="str">
        <f t="shared" si="1"/>
        <v> </v>
      </c>
      <c r="E2552" s="11" t="str">
        <f t="shared" si="2"/>
        <v> </v>
      </c>
    </row>
    <row r="2553" ht="15.75" customHeight="1">
      <c r="A2553" s="11">
        <v>13885.0</v>
      </c>
      <c r="B2553" s="11" t="s">
        <v>2579</v>
      </c>
      <c r="C2553" s="12">
        <v>22542.0</v>
      </c>
      <c r="D2553" s="11" t="str">
        <f t="shared" si="1"/>
        <v> </v>
      </c>
      <c r="E2553" s="11" t="str">
        <f t="shared" si="2"/>
        <v> </v>
      </c>
    </row>
    <row r="2554" ht="15.75" customHeight="1">
      <c r="A2554" s="11">
        <v>13887.0</v>
      </c>
      <c r="B2554" s="11" t="s">
        <v>2580</v>
      </c>
      <c r="C2554" s="12">
        <v>26068.0</v>
      </c>
      <c r="D2554" s="11" t="str">
        <f t="shared" si="1"/>
        <v> </v>
      </c>
      <c r="E2554" s="11" t="str">
        <f t="shared" si="2"/>
        <v> </v>
      </c>
    </row>
    <row r="2555" ht="15.75" customHeight="1">
      <c r="A2555" s="11">
        <v>13888.0</v>
      </c>
      <c r="B2555" s="11" t="s">
        <v>2581</v>
      </c>
      <c r="C2555" s="12">
        <v>18556.0</v>
      </c>
      <c r="D2555" s="11" t="str">
        <f t="shared" si="1"/>
        <v> </v>
      </c>
      <c r="E2555" s="11" t="str">
        <f t="shared" si="2"/>
        <v> </v>
      </c>
    </row>
    <row r="2556" ht="15.75" customHeight="1">
      <c r="A2556" s="11">
        <v>13889.0</v>
      </c>
      <c r="B2556" s="11" t="s">
        <v>2582</v>
      </c>
      <c r="C2556" s="12">
        <v>22220.0</v>
      </c>
      <c r="D2556" s="11" t="str">
        <f t="shared" si="1"/>
        <v> </v>
      </c>
      <c r="E2556" s="11" t="str">
        <f t="shared" si="2"/>
        <v> </v>
      </c>
    </row>
    <row r="2557" ht="15.75" customHeight="1">
      <c r="A2557" s="11">
        <v>13890.0</v>
      </c>
      <c r="B2557" s="11" t="s">
        <v>2583</v>
      </c>
      <c r="C2557" s="12">
        <v>19818.0</v>
      </c>
      <c r="D2557" s="11" t="str">
        <f t="shared" si="1"/>
        <v> </v>
      </c>
      <c r="E2557" s="11" t="str">
        <f t="shared" si="2"/>
        <v> </v>
      </c>
    </row>
    <row r="2558" ht="15.75" customHeight="1">
      <c r="A2558" s="11">
        <v>13891.0</v>
      </c>
      <c r="B2558" s="11" t="s">
        <v>2584</v>
      </c>
      <c r="C2558" s="12">
        <v>20160.0</v>
      </c>
      <c r="D2558" s="11" t="str">
        <f t="shared" si="1"/>
        <v> </v>
      </c>
      <c r="E2558" s="11" t="str">
        <f t="shared" si="2"/>
        <v> </v>
      </c>
    </row>
    <row r="2559" ht="15.75" customHeight="1">
      <c r="A2559" s="11">
        <v>13892.0</v>
      </c>
      <c r="B2559" s="11" t="s">
        <v>2585</v>
      </c>
      <c r="C2559" s="12">
        <v>25062.0</v>
      </c>
      <c r="D2559" s="11" t="str">
        <f t="shared" si="1"/>
        <v> </v>
      </c>
      <c r="E2559" s="11" t="str">
        <f t="shared" si="2"/>
        <v> </v>
      </c>
    </row>
    <row r="2560" ht="15.75" customHeight="1">
      <c r="A2560" s="11">
        <v>13893.0</v>
      </c>
      <c r="B2560" s="11" t="s">
        <v>2586</v>
      </c>
      <c r="C2560" s="12">
        <v>31166.0</v>
      </c>
      <c r="D2560" s="11" t="str">
        <f t="shared" si="1"/>
        <v> </v>
      </c>
      <c r="E2560" s="11" t="str">
        <f t="shared" si="2"/>
        <v> </v>
      </c>
    </row>
    <row r="2561" ht="15.75" customHeight="1">
      <c r="A2561" s="11">
        <v>13894.0</v>
      </c>
      <c r="B2561" s="11" t="s">
        <v>2587</v>
      </c>
      <c r="C2561" s="12">
        <v>22165.0</v>
      </c>
      <c r="D2561" s="11" t="str">
        <f t="shared" si="1"/>
        <v> </v>
      </c>
      <c r="E2561" s="11" t="str">
        <f t="shared" si="2"/>
        <v> </v>
      </c>
    </row>
    <row r="2562" ht="15.75" customHeight="1">
      <c r="A2562" s="11">
        <v>13895.0</v>
      </c>
      <c r="B2562" s="11" t="s">
        <v>2588</v>
      </c>
      <c r="C2562" s="12">
        <v>32005.0</v>
      </c>
      <c r="D2562" s="11" t="str">
        <f t="shared" si="1"/>
        <v> </v>
      </c>
      <c r="E2562" s="11" t="str">
        <f t="shared" si="2"/>
        <v> </v>
      </c>
    </row>
    <row r="2563" ht="15.75" customHeight="1">
      <c r="A2563" s="11">
        <v>13896.0</v>
      </c>
      <c r="B2563" s="11" t="s">
        <v>2589</v>
      </c>
      <c r="C2563" s="12">
        <v>19943.0</v>
      </c>
      <c r="D2563" s="11" t="str">
        <f t="shared" si="1"/>
        <v> </v>
      </c>
      <c r="E2563" s="11" t="str">
        <f t="shared" si="2"/>
        <v> </v>
      </c>
    </row>
    <row r="2564" ht="15.75" customHeight="1">
      <c r="A2564" s="11">
        <v>13897.0</v>
      </c>
      <c r="B2564" s="11" t="s">
        <v>2590</v>
      </c>
      <c r="C2564" s="12">
        <v>19099.0</v>
      </c>
      <c r="D2564" s="11" t="str">
        <f t="shared" si="1"/>
        <v> </v>
      </c>
      <c r="E2564" s="11" t="str">
        <f t="shared" si="2"/>
        <v> </v>
      </c>
    </row>
    <row r="2565" ht="15.75" customHeight="1">
      <c r="A2565" s="11">
        <v>13900.0</v>
      </c>
      <c r="B2565" s="11" t="s">
        <v>2591</v>
      </c>
      <c r="C2565" s="12">
        <v>24357.0</v>
      </c>
      <c r="D2565" s="11" t="str">
        <f t="shared" si="1"/>
        <v> </v>
      </c>
      <c r="E2565" s="11" t="str">
        <f t="shared" si="2"/>
        <v> </v>
      </c>
    </row>
    <row r="2566" ht="15.75" customHeight="1">
      <c r="A2566" s="11">
        <v>13901.0</v>
      </c>
      <c r="B2566" s="11" t="s">
        <v>2592</v>
      </c>
      <c r="C2566" s="12">
        <v>21219.0</v>
      </c>
      <c r="D2566" s="11" t="str">
        <f t="shared" si="1"/>
        <v> </v>
      </c>
      <c r="E2566" s="11" t="str">
        <f t="shared" si="2"/>
        <v> </v>
      </c>
    </row>
    <row r="2567" ht="15.75" customHeight="1">
      <c r="A2567" s="11">
        <v>13903.0</v>
      </c>
      <c r="B2567" s="11" t="s">
        <v>2593</v>
      </c>
      <c r="C2567" s="12">
        <v>22038.0</v>
      </c>
      <c r="D2567" s="11" t="str">
        <f t="shared" si="1"/>
        <v> </v>
      </c>
      <c r="E2567" s="11" t="str">
        <f t="shared" si="2"/>
        <v> </v>
      </c>
    </row>
    <row r="2568" ht="15.75" customHeight="1">
      <c r="A2568" s="11">
        <v>13904.0</v>
      </c>
      <c r="B2568" s="11" t="s">
        <v>2594</v>
      </c>
      <c r="C2568" s="12">
        <v>25630.0</v>
      </c>
      <c r="D2568" s="11" t="str">
        <f t="shared" si="1"/>
        <v> </v>
      </c>
      <c r="E2568" s="11" t="str">
        <f t="shared" si="2"/>
        <v> </v>
      </c>
    </row>
    <row r="2569" ht="15.75" customHeight="1">
      <c r="A2569" s="11">
        <v>13906.0</v>
      </c>
      <c r="B2569" s="11" t="s">
        <v>2595</v>
      </c>
      <c r="C2569" s="12">
        <v>21277.0</v>
      </c>
      <c r="D2569" s="11" t="str">
        <f t="shared" si="1"/>
        <v> </v>
      </c>
      <c r="E2569" s="11" t="str">
        <f t="shared" si="2"/>
        <v> </v>
      </c>
    </row>
    <row r="2570" ht="15.75" customHeight="1">
      <c r="A2570" s="11">
        <v>13907.0</v>
      </c>
      <c r="B2570" s="11" t="s">
        <v>2596</v>
      </c>
      <c r="C2570" s="12">
        <v>21643.0</v>
      </c>
      <c r="D2570" s="11" t="str">
        <f t="shared" si="1"/>
        <v>Repeat</v>
      </c>
      <c r="E2570" s="11" t="str">
        <f t="shared" si="2"/>
        <v> </v>
      </c>
    </row>
    <row r="2571" ht="15.75" customHeight="1">
      <c r="A2571" s="11">
        <v>13908.0</v>
      </c>
      <c r="B2571" s="11" t="s">
        <v>2597</v>
      </c>
      <c r="C2571" s="12">
        <v>28184.0</v>
      </c>
      <c r="D2571" s="11" t="str">
        <f t="shared" si="1"/>
        <v> </v>
      </c>
      <c r="E2571" s="11" t="str">
        <f t="shared" si="2"/>
        <v> </v>
      </c>
    </row>
    <row r="2572" ht="15.75" customHeight="1">
      <c r="A2572" s="11">
        <v>13909.0</v>
      </c>
      <c r="B2572" s="11" t="s">
        <v>2598</v>
      </c>
      <c r="C2572" s="12">
        <v>24060.0</v>
      </c>
      <c r="D2572" s="11" t="str">
        <f t="shared" si="1"/>
        <v>Repeat</v>
      </c>
      <c r="E2572" s="11" t="str">
        <f t="shared" si="2"/>
        <v> </v>
      </c>
    </row>
    <row r="2573" ht="15.75" customHeight="1">
      <c r="A2573" s="11">
        <v>13910.0</v>
      </c>
      <c r="B2573" s="11" t="s">
        <v>2599</v>
      </c>
      <c r="C2573" s="12">
        <v>17530.0</v>
      </c>
      <c r="D2573" s="11" t="str">
        <f t="shared" si="1"/>
        <v> </v>
      </c>
      <c r="E2573" s="11" t="str">
        <f t="shared" si="2"/>
        <v> </v>
      </c>
    </row>
    <row r="2574" ht="15.75" customHeight="1">
      <c r="A2574" s="11">
        <v>13911.0</v>
      </c>
      <c r="B2574" s="11" t="s">
        <v>2600</v>
      </c>
      <c r="C2574" s="12">
        <v>32583.0</v>
      </c>
      <c r="D2574" s="11" t="str">
        <f t="shared" si="1"/>
        <v> </v>
      </c>
      <c r="E2574" s="11" t="str">
        <f t="shared" si="2"/>
        <v> </v>
      </c>
    </row>
    <row r="2575" ht="15.75" customHeight="1">
      <c r="A2575" s="11">
        <v>13912.0</v>
      </c>
      <c r="B2575" s="11" t="s">
        <v>2601</v>
      </c>
      <c r="C2575" s="12">
        <v>30995.0</v>
      </c>
      <c r="D2575" s="11" t="str">
        <f t="shared" si="1"/>
        <v> </v>
      </c>
      <c r="E2575" s="11" t="str">
        <f t="shared" si="2"/>
        <v> </v>
      </c>
    </row>
    <row r="2576" ht="15.75" customHeight="1">
      <c r="A2576" s="11">
        <v>13915.0</v>
      </c>
      <c r="B2576" s="11" t="s">
        <v>2602</v>
      </c>
      <c r="C2576" s="12">
        <v>33230.0</v>
      </c>
      <c r="D2576" s="11" t="str">
        <f t="shared" si="1"/>
        <v> </v>
      </c>
      <c r="E2576" s="11" t="str">
        <f t="shared" si="2"/>
        <v> </v>
      </c>
    </row>
    <row r="2577" ht="15.75" customHeight="1">
      <c r="A2577" s="11">
        <v>13916.0</v>
      </c>
      <c r="B2577" s="11" t="s">
        <v>2603</v>
      </c>
      <c r="C2577" s="12">
        <v>27764.0</v>
      </c>
      <c r="D2577" s="11" t="str">
        <f t="shared" si="1"/>
        <v> </v>
      </c>
      <c r="E2577" s="11" t="str">
        <f t="shared" si="2"/>
        <v> </v>
      </c>
    </row>
    <row r="2578" ht="15.75" customHeight="1">
      <c r="A2578" s="11">
        <v>13918.0</v>
      </c>
      <c r="B2578" s="11" t="s">
        <v>2604</v>
      </c>
      <c r="C2578" s="12">
        <v>19692.0</v>
      </c>
      <c r="D2578" s="11" t="str">
        <f t="shared" si="1"/>
        <v> </v>
      </c>
      <c r="E2578" s="11" t="str">
        <f t="shared" si="2"/>
        <v> </v>
      </c>
    </row>
    <row r="2579" ht="15.75" customHeight="1">
      <c r="A2579" s="11">
        <v>13919.0</v>
      </c>
      <c r="B2579" s="11" t="s">
        <v>2605</v>
      </c>
      <c r="C2579" s="12">
        <v>26724.0</v>
      </c>
      <c r="D2579" s="11" t="str">
        <f t="shared" si="1"/>
        <v> </v>
      </c>
      <c r="E2579" s="11" t="str">
        <f t="shared" si="2"/>
        <v> </v>
      </c>
    </row>
    <row r="2580" ht="15.75" customHeight="1">
      <c r="A2580" s="11">
        <v>13920.0</v>
      </c>
      <c r="B2580" s="11" t="s">
        <v>2606</v>
      </c>
      <c r="C2580" s="12">
        <v>27293.0</v>
      </c>
      <c r="D2580" s="11" t="str">
        <f t="shared" si="1"/>
        <v> </v>
      </c>
      <c r="E2580" s="11" t="str">
        <f t="shared" si="2"/>
        <v> </v>
      </c>
    </row>
    <row r="2581" ht="15.75" customHeight="1">
      <c r="A2581" s="11">
        <v>13921.0</v>
      </c>
      <c r="B2581" s="11" t="s">
        <v>2607</v>
      </c>
      <c r="C2581" s="12">
        <v>26239.0</v>
      </c>
      <c r="D2581" s="11" t="str">
        <f t="shared" si="1"/>
        <v> </v>
      </c>
      <c r="E2581" s="11" t="str">
        <f t="shared" si="2"/>
        <v> </v>
      </c>
    </row>
    <row r="2582" ht="15.75" customHeight="1">
      <c r="A2582" s="11">
        <v>13922.0</v>
      </c>
      <c r="B2582" s="11" t="s">
        <v>2608</v>
      </c>
      <c r="C2582" s="12">
        <v>25674.0</v>
      </c>
      <c r="D2582" s="11" t="str">
        <f t="shared" si="1"/>
        <v> </v>
      </c>
      <c r="E2582" s="11" t="str">
        <f t="shared" si="2"/>
        <v> </v>
      </c>
    </row>
    <row r="2583" ht="15.75" customHeight="1">
      <c r="A2583" s="11">
        <v>13925.0</v>
      </c>
      <c r="B2583" s="11" t="s">
        <v>2609</v>
      </c>
      <c r="C2583" s="12">
        <v>20757.0</v>
      </c>
      <c r="D2583" s="11" t="str">
        <f t="shared" si="1"/>
        <v> </v>
      </c>
      <c r="E2583" s="11" t="str">
        <f t="shared" si="2"/>
        <v> </v>
      </c>
    </row>
    <row r="2584" ht="15.75" customHeight="1">
      <c r="A2584" s="11">
        <v>13927.0</v>
      </c>
      <c r="B2584" s="11" t="s">
        <v>2610</v>
      </c>
      <c r="C2584" s="12">
        <v>24913.0</v>
      </c>
      <c r="D2584" s="11" t="str">
        <f t="shared" si="1"/>
        <v> </v>
      </c>
      <c r="E2584" s="11" t="str">
        <f t="shared" si="2"/>
        <v> </v>
      </c>
    </row>
    <row r="2585" ht="15.75" customHeight="1">
      <c r="A2585" s="11">
        <v>13928.0</v>
      </c>
      <c r="B2585" s="11" t="s">
        <v>2611</v>
      </c>
      <c r="C2585" s="12">
        <v>24570.0</v>
      </c>
      <c r="D2585" s="11" t="str">
        <f t="shared" si="1"/>
        <v>Repeat</v>
      </c>
      <c r="E2585" s="11" t="str">
        <f t="shared" si="2"/>
        <v> </v>
      </c>
    </row>
    <row r="2586" ht="15.75" customHeight="1">
      <c r="A2586" s="11">
        <v>13929.0</v>
      </c>
      <c r="B2586" s="11" t="s">
        <v>2612</v>
      </c>
      <c r="C2586" s="12">
        <v>32797.0</v>
      </c>
      <c r="D2586" s="11" t="str">
        <f t="shared" si="1"/>
        <v> </v>
      </c>
      <c r="E2586" s="11" t="str">
        <f t="shared" si="2"/>
        <v> </v>
      </c>
    </row>
    <row r="2587" ht="15.75" customHeight="1">
      <c r="A2587" s="11">
        <v>13930.0</v>
      </c>
      <c r="B2587" s="11" t="s">
        <v>2613</v>
      </c>
      <c r="C2587" s="12">
        <v>27348.0</v>
      </c>
      <c r="D2587" s="11" t="str">
        <f t="shared" si="1"/>
        <v> </v>
      </c>
      <c r="E2587" s="11" t="str">
        <f t="shared" si="2"/>
        <v> </v>
      </c>
    </row>
    <row r="2588" ht="15.75" customHeight="1">
      <c r="A2588" s="11">
        <v>13931.0</v>
      </c>
      <c r="B2588" s="11" t="s">
        <v>2614</v>
      </c>
      <c r="C2588" s="12">
        <v>11150.0</v>
      </c>
      <c r="D2588" s="11" t="str">
        <f t="shared" si="1"/>
        <v> </v>
      </c>
      <c r="E2588" s="11" t="str">
        <f t="shared" si="2"/>
        <v> </v>
      </c>
    </row>
    <row r="2589" ht="15.75" customHeight="1">
      <c r="A2589" s="11">
        <v>13932.0</v>
      </c>
      <c r="B2589" s="11" t="s">
        <v>2615</v>
      </c>
      <c r="C2589" s="12">
        <v>26038.0</v>
      </c>
      <c r="D2589" s="11" t="str">
        <f t="shared" si="1"/>
        <v> </v>
      </c>
      <c r="E2589" s="11" t="str">
        <f t="shared" si="2"/>
        <v> </v>
      </c>
    </row>
    <row r="2590" ht="15.75" customHeight="1">
      <c r="A2590" s="11">
        <v>13934.0</v>
      </c>
      <c r="B2590" s="11" t="s">
        <v>2616</v>
      </c>
      <c r="C2590" s="12">
        <v>23231.0</v>
      </c>
      <c r="D2590" s="11" t="str">
        <f t="shared" si="1"/>
        <v> </v>
      </c>
      <c r="E2590" s="11" t="str">
        <f t="shared" si="2"/>
        <v> </v>
      </c>
    </row>
    <row r="2591" ht="15.75" customHeight="1">
      <c r="A2591" s="11">
        <v>13935.0</v>
      </c>
      <c r="B2591" s="11" t="s">
        <v>2617</v>
      </c>
      <c r="C2591" s="12">
        <v>29223.0</v>
      </c>
      <c r="D2591" s="11" t="str">
        <f t="shared" si="1"/>
        <v> </v>
      </c>
      <c r="E2591" s="11" t="str">
        <f t="shared" si="2"/>
        <v> </v>
      </c>
    </row>
    <row r="2592" ht="15.75" customHeight="1">
      <c r="A2592" s="11">
        <v>13936.0</v>
      </c>
      <c r="B2592" s="11" t="s">
        <v>2618</v>
      </c>
      <c r="C2592" s="12">
        <v>32726.0</v>
      </c>
      <c r="D2592" s="11" t="str">
        <f t="shared" si="1"/>
        <v> </v>
      </c>
      <c r="E2592" s="11" t="str">
        <f t="shared" si="2"/>
        <v> </v>
      </c>
    </row>
    <row r="2593" ht="15.75" customHeight="1">
      <c r="A2593" s="11">
        <v>13937.0</v>
      </c>
      <c r="B2593" s="11" t="s">
        <v>2619</v>
      </c>
      <c r="C2593" s="12">
        <v>33308.0</v>
      </c>
      <c r="D2593" s="11" t="str">
        <f t="shared" si="1"/>
        <v> </v>
      </c>
      <c r="E2593" s="11" t="str">
        <f t="shared" si="2"/>
        <v> </v>
      </c>
    </row>
    <row r="2594" ht="15.75" customHeight="1">
      <c r="A2594" s="11">
        <v>13938.0</v>
      </c>
      <c r="B2594" s="11" t="s">
        <v>2620</v>
      </c>
      <c r="C2594" s="12">
        <v>17231.0</v>
      </c>
      <c r="D2594" s="11" t="str">
        <f t="shared" si="1"/>
        <v> </v>
      </c>
      <c r="E2594" s="11" t="str">
        <f t="shared" si="2"/>
        <v> </v>
      </c>
    </row>
    <row r="2595" ht="15.75" customHeight="1">
      <c r="A2595" s="11">
        <v>13939.0</v>
      </c>
      <c r="B2595" s="11" t="s">
        <v>2621</v>
      </c>
      <c r="C2595" s="12">
        <v>35267.0</v>
      </c>
      <c r="D2595" s="11" t="str">
        <f t="shared" si="1"/>
        <v> </v>
      </c>
      <c r="E2595" s="11" t="str">
        <f t="shared" si="2"/>
        <v> </v>
      </c>
    </row>
    <row r="2596" ht="15.75" customHeight="1">
      <c r="A2596" s="11">
        <v>13940.0</v>
      </c>
      <c r="B2596" s="11" t="s">
        <v>2622</v>
      </c>
      <c r="C2596" s="12">
        <v>28730.0</v>
      </c>
      <c r="D2596" s="11" t="str">
        <f t="shared" si="1"/>
        <v> </v>
      </c>
      <c r="E2596" s="11" t="str">
        <f t="shared" si="2"/>
        <v> </v>
      </c>
    </row>
    <row r="2597" ht="15.75" customHeight="1">
      <c r="A2597" s="11">
        <v>13941.0</v>
      </c>
      <c r="B2597" s="11" t="s">
        <v>2623</v>
      </c>
      <c r="C2597" s="12">
        <v>25424.0</v>
      </c>
      <c r="D2597" s="11" t="str">
        <f t="shared" si="1"/>
        <v> </v>
      </c>
      <c r="E2597" s="11" t="str">
        <f t="shared" si="2"/>
        <v> </v>
      </c>
    </row>
    <row r="2598" ht="15.75" customHeight="1">
      <c r="A2598" s="11">
        <v>13942.0</v>
      </c>
      <c r="B2598" s="11" t="s">
        <v>2624</v>
      </c>
      <c r="C2598" s="12">
        <v>21494.0</v>
      </c>
      <c r="D2598" s="11" t="str">
        <f t="shared" si="1"/>
        <v> </v>
      </c>
      <c r="E2598" s="11" t="str">
        <f t="shared" si="2"/>
        <v> </v>
      </c>
    </row>
    <row r="2599" ht="15.75" customHeight="1">
      <c r="A2599" s="11">
        <v>13943.0</v>
      </c>
      <c r="B2599" s="11" t="s">
        <v>2625</v>
      </c>
      <c r="C2599" s="12">
        <v>20851.0</v>
      </c>
      <c r="D2599" s="11" t="str">
        <f t="shared" si="1"/>
        <v> </v>
      </c>
      <c r="E2599" s="11" t="str">
        <f t="shared" si="2"/>
        <v> </v>
      </c>
    </row>
    <row r="2600" ht="15.75" customHeight="1">
      <c r="A2600" s="11">
        <v>13944.0</v>
      </c>
      <c r="B2600" s="11" t="s">
        <v>2626</v>
      </c>
      <c r="C2600" s="12">
        <v>21843.0</v>
      </c>
      <c r="D2600" s="11" t="str">
        <f t="shared" si="1"/>
        <v> </v>
      </c>
      <c r="E2600" s="11" t="str">
        <f t="shared" si="2"/>
        <v> </v>
      </c>
    </row>
    <row r="2601" ht="15.75" customHeight="1">
      <c r="A2601" s="11">
        <v>13945.0</v>
      </c>
      <c r="B2601" s="11" t="s">
        <v>2627</v>
      </c>
      <c r="C2601" s="12">
        <v>20083.0</v>
      </c>
      <c r="D2601" s="11" t="str">
        <f t="shared" si="1"/>
        <v> </v>
      </c>
      <c r="E2601" s="11" t="str">
        <f t="shared" si="2"/>
        <v> </v>
      </c>
    </row>
    <row r="2602" ht="15.75" customHeight="1">
      <c r="A2602" s="11">
        <v>13946.0</v>
      </c>
      <c r="B2602" s="11" t="s">
        <v>2628</v>
      </c>
      <c r="C2602" s="12">
        <v>26251.0</v>
      </c>
      <c r="D2602" s="11" t="str">
        <f t="shared" si="1"/>
        <v> </v>
      </c>
      <c r="E2602" s="11" t="str">
        <f t="shared" si="2"/>
        <v> </v>
      </c>
    </row>
    <row r="2603" ht="15.75" customHeight="1">
      <c r="A2603" s="11">
        <v>13948.0</v>
      </c>
      <c r="B2603" s="11" t="s">
        <v>2629</v>
      </c>
      <c r="C2603" s="12">
        <v>17647.0</v>
      </c>
      <c r="D2603" s="11" t="str">
        <f t="shared" si="1"/>
        <v> </v>
      </c>
      <c r="E2603" s="11" t="str">
        <f t="shared" si="2"/>
        <v> </v>
      </c>
    </row>
    <row r="2604" ht="15.75" customHeight="1">
      <c r="A2604" s="11">
        <v>13949.0</v>
      </c>
      <c r="B2604" s="11" t="s">
        <v>2630</v>
      </c>
      <c r="C2604" s="12">
        <v>27103.0</v>
      </c>
      <c r="D2604" s="11" t="str">
        <f t="shared" si="1"/>
        <v> </v>
      </c>
      <c r="E2604" s="11" t="str">
        <f t="shared" si="2"/>
        <v> </v>
      </c>
    </row>
    <row r="2605" ht="15.75" customHeight="1">
      <c r="A2605" s="11">
        <v>13950.0</v>
      </c>
      <c r="B2605" s="11" t="s">
        <v>2631</v>
      </c>
      <c r="C2605" s="12">
        <v>21926.0</v>
      </c>
      <c r="D2605" s="11" t="str">
        <f t="shared" si="1"/>
        <v> </v>
      </c>
      <c r="E2605" s="11" t="str">
        <f t="shared" si="2"/>
        <v> </v>
      </c>
    </row>
    <row r="2606" ht="15.75" customHeight="1">
      <c r="A2606" s="11">
        <v>13951.0</v>
      </c>
      <c r="B2606" s="11" t="s">
        <v>2632</v>
      </c>
      <c r="C2606" s="12">
        <v>18130.0</v>
      </c>
      <c r="D2606" s="11" t="str">
        <f t="shared" si="1"/>
        <v> </v>
      </c>
      <c r="E2606" s="11" t="str">
        <f t="shared" si="2"/>
        <v> </v>
      </c>
    </row>
    <row r="2607" ht="15.75" customHeight="1">
      <c r="A2607" s="11">
        <v>13954.0</v>
      </c>
      <c r="B2607" s="11" t="s">
        <v>2633</v>
      </c>
      <c r="C2607" s="12">
        <v>25241.0</v>
      </c>
      <c r="D2607" s="11" t="str">
        <f t="shared" si="1"/>
        <v> </v>
      </c>
      <c r="E2607" s="11" t="str">
        <f t="shared" si="2"/>
        <v> </v>
      </c>
    </row>
    <row r="2608" ht="15.75" customHeight="1">
      <c r="A2608" s="11">
        <v>13955.0</v>
      </c>
      <c r="B2608" s="11" t="s">
        <v>2634</v>
      </c>
      <c r="C2608" s="12">
        <v>23519.0</v>
      </c>
      <c r="D2608" s="11" t="str">
        <f t="shared" si="1"/>
        <v> </v>
      </c>
      <c r="E2608" s="11" t="str">
        <f t="shared" si="2"/>
        <v> </v>
      </c>
    </row>
    <row r="2609" ht="15.75" customHeight="1">
      <c r="A2609" s="11">
        <v>13956.0</v>
      </c>
      <c r="B2609" s="11" t="s">
        <v>2635</v>
      </c>
      <c r="C2609" s="12">
        <v>16581.0</v>
      </c>
      <c r="D2609" s="11" t="str">
        <f t="shared" si="1"/>
        <v> </v>
      </c>
      <c r="E2609" s="11" t="str">
        <f t="shared" si="2"/>
        <v> </v>
      </c>
    </row>
    <row r="2610" ht="15.75" customHeight="1">
      <c r="A2610" s="11">
        <v>13957.0</v>
      </c>
      <c r="B2610" s="11" t="s">
        <v>2636</v>
      </c>
      <c r="C2610" s="12">
        <v>18093.0</v>
      </c>
      <c r="D2610" s="11" t="str">
        <f t="shared" si="1"/>
        <v> </v>
      </c>
      <c r="E2610" s="11" t="str">
        <f t="shared" si="2"/>
        <v> </v>
      </c>
    </row>
    <row r="2611" ht="15.75" customHeight="1">
      <c r="A2611" s="11">
        <v>13958.0</v>
      </c>
      <c r="B2611" s="11" t="s">
        <v>2637</v>
      </c>
      <c r="C2611" s="12">
        <v>18454.0</v>
      </c>
      <c r="D2611" s="11" t="str">
        <f t="shared" si="1"/>
        <v> </v>
      </c>
      <c r="E2611" s="11" t="str">
        <f t="shared" si="2"/>
        <v> </v>
      </c>
    </row>
    <row r="2612" ht="15.75" customHeight="1">
      <c r="A2612" s="11">
        <v>13959.0</v>
      </c>
      <c r="B2612" s="11" t="s">
        <v>2638</v>
      </c>
      <c r="C2612" s="12">
        <v>17526.0</v>
      </c>
      <c r="D2612" s="11" t="str">
        <f t="shared" si="1"/>
        <v> </v>
      </c>
      <c r="E2612" s="11" t="str">
        <f t="shared" si="2"/>
        <v> </v>
      </c>
    </row>
    <row r="2613" ht="15.75" customHeight="1">
      <c r="A2613" s="11">
        <v>13960.0</v>
      </c>
      <c r="B2613" s="11" t="s">
        <v>2639</v>
      </c>
      <c r="C2613" s="12">
        <v>15189.0</v>
      </c>
      <c r="D2613" s="11" t="str">
        <f t="shared" si="1"/>
        <v> </v>
      </c>
      <c r="E2613" s="11" t="str">
        <f t="shared" si="2"/>
        <v> </v>
      </c>
    </row>
    <row r="2614" ht="15.75" customHeight="1">
      <c r="A2614" s="11">
        <v>13961.0</v>
      </c>
      <c r="B2614" s="11" t="s">
        <v>2640</v>
      </c>
      <c r="C2614" s="12">
        <v>17659.0</v>
      </c>
      <c r="D2614" s="11" t="str">
        <f t="shared" si="1"/>
        <v> </v>
      </c>
      <c r="E2614" s="11" t="str">
        <f t="shared" si="2"/>
        <v> </v>
      </c>
    </row>
    <row r="2615" ht="15.75" customHeight="1">
      <c r="A2615" s="11">
        <v>13962.0</v>
      </c>
      <c r="B2615" s="11" t="s">
        <v>2641</v>
      </c>
      <c r="C2615" s="12">
        <v>23708.0</v>
      </c>
      <c r="D2615" s="11" t="str">
        <f t="shared" si="1"/>
        <v> </v>
      </c>
      <c r="E2615" s="11" t="str">
        <f t="shared" si="2"/>
        <v> </v>
      </c>
    </row>
    <row r="2616" ht="15.75" customHeight="1">
      <c r="A2616" s="11">
        <v>13963.0</v>
      </c>
      <c r="B2616" s="11" t="s">
        <v>2642</v>
      </c>
      <c r="C2616" s="12">
        <v>26014.0</v>
      </c>
      <c r="D2616" s="11" t="str">
        <f t="shared" si="1"/>
        <v> </v>
      </c>
      <c r="E2616" s="11" t="str">
        <f t="shared" si="2"/>
        <v> </v>
      </c>
    </row>
    <row r="2617" ht="15.75" customHeight="1">
      <c r="A2617" s="11">
        <v>13964.0</v>
      </c>
      <c r="B2617" s="11" t="s">
        <v>2643</v>
      </c>
      <c r="C2617" s="12">
        <v>15894.0</v>
      </c>
      <c r="D2617" s="11" t="str">
        <f t="shared" si="1"/>
        <v> </v>
      </c>
      <c r="E2617" s="11" t="str">
        <f t="shared" si="2"/>
        <v> </v>
      </c>
    </row>
    <row r="2618" ht="15.75" customHeight="1">
      <c r="A2618" s="11">
        <v>13967.0</v>
      </c>
      <c r="B2618" s="11" t="s">
        <v>2644</v>
      </c>
      <c r="C2618" s="12">
        <v>16308.0</v>
      </c>
      <c r="D2618" s="11" t="str">
        <f t="shared" si="1"/>
        <v> </v>
      </c>
      <c r="E2618" s="11" t="str">
        <f t="shared" si="2"/>
        <v> </v>
      </c>
    </row>
    <row r="2619" ht="15.75" customHeight="1">
      <c r="A2619" s="11">
        <v>13969.0</v>
      </c>
      <c r="B2619" s="11" t="s">
        <v>2645</v>
      </c>
      <c r="C2619" s="12">
        <v>27299.0</v>
      </c>
      <c r="D2619" s="11" t="str">
        <f t="shared" si="1"/>
        <v> </v>
      </c>
      <c r="E2619" s="11" t="str">
        <f t="shared" si="2"/>
        <v> </v>
      </c>
    </row>
    <row r="2620" ht="15.75" customHeight="1">
      <c r="A2620" s="11">
        <v>13970.0</v>
      </c>
      <c r="B2620" s="11" t="s">
        <v>2646</v>
      </c>
      <c r="C2620" s="12">
        <v>16671.0</v>
      </c>
      <c r="D2620" s="11" t="str">
        <f t="shared" si="1"/>
        <v> </v>
      </c>
      <c r="E2620" s="11" t="str">
        <f t="shared" si="2"/>
        <v> </v>
      </c>
    </row>
    <row r="2621" ht="15.75" customHeight="1">
      <c r="A2621" s="11">
        <v>13972.0</v>
      </c>
      <c r="B2621" s="11" t="s">
        <v>2647</v>
      </c>
      <c r="C2621" s="12">
        <v>17231.0</v>
      </c>
      <c r="D2621" s="11" t="str">
        <f t="shared" si="1"/>
        <v> </v>
      </c>
      <c r="E2621" s="11" t="str">
        <f t="shared" si="2"/>
        <v> </v>
      </c>
    </row>
    <row r="2622" ht="15.75" customHeight="1">
      <c r="A2622" s="11">
        <v>13973.0</v>
      </c>
      <c r="B2622" s="11" t="s">
        <v>2648</v>
      </c>
      <c r="C2622" s="12">
        <v>17572.0</v>
      </c>
      <c r="D2622" s="11" t="str">
        <f t="shared" si="1"/>
        <v> </v>
      </c>
      <c r="E2622" s="11" t="str">
        <f t="shared" si="2"/>
        <v> </v>
      </c>
    </row>
    <row r="2623" ht="15.75" customHeight="1">
      <c r="A2623" s="11">
        <v>13978.0</v>
      </c>
      <c r="B2623" s="11" t="s">
        <v>2649</v>
      </c>
      <c r="C2623" s="12">
        <v>27403.0</v>
      </c>
      <c r="D2623" s="11" t="str">
        <f t="shared" si="1"/>
        <v> </v>
      </c>
      <c r="E2623" s="11" t="str">
        <f t="shared" si="2"/>
        <v> </v>
      </c>
    </row>
    <row r="2624" ht="15.75" customHeight="1">
      <c r="A2624" s="11">
        <v>13981.0</v>
      </c>
      <c r="B2624" s="11" t="s">
        <v>2650</v>
      </c>
      <c r="C2624" s="12">
        <v>15632.0</v>
      </c>
      <c r="D2624" s="11" t="str">
        <f t="shared" si="1"/>
        <v> </v>
      </c>
      <c r="E2624" s="11" t="str">
        <f t="shared" si="2"/>
        <v> </v>
      </c>
    </row>
    <row r="2625" ht="15.75" customHeight="1">
      <c r="A2625" s="11">
        <v>13983.0</v>
      </c>
      <c r="B2625" s="11" t="s">
        <v>2651</v>
      </c>
      <c r="C2625" s="12">
        <v>20219.0</v>
      </c>
      <c r="D2625" s="11" t="str">
        <f t="shared" si="1"/>
        <v> </v>
      </c>
      <c r="E2625" s="11" t="str">
        <f t="shared" si="2"/>
        <v> </v>
      </c>
    </row>
    <row r="2626" ht="15.75" customHeight="1">
      <c r="A2626" s="11">
        <v>13986.0</v>
      </c>
      <c r="B2626" s="11" t="s">
        <v>2652</v>
      </c>
      <c r="C2626" s="12">
        <v>29393.0</v>
      </c>
      <c r="D2626" s="11" t="str">
        <f t="shared" si="1"/>
        <v> </v>
      </c>
      <c r="E2626" s="11" t="str">
        <f t="shared" si="2"/>
        <v> </v>
      </c>
    </row>
    <row r="2627" ht="15.75" customHeight="1">
      <c r="A2627" s="11">
        <v>13989.0</v>
      </c>
      <c r="B2627" s="11" t="s">
        <v>2653</v>
      </c>
      <c r="C2627" s="12">
        <v>25975.0</v>
      </c>
      <c r="D2627" s="11" t="str">
        <f t="shared" si="1"/>
        <v> </v>
      </c>
      <c r="E2627" s="11" t="str">
        <f t="shared" si="2"/>
        <v> </v>
      </c>
    </row>
    <row r="2628" ht="15.75" customHeight="1">
      <c r="A2628" s="11">
        <v>13990.0</v>
      </c>
      <c r="B2628" s="11" t="s">
        <v>2654</v>
      </c>
      <c r="C2628" s="12">
        <v>17140.0</v>
      </c>
      <c r="D2628" s="11" t="str">
        <f t="shared" si="1"/>
        <v> </v>
      </c>
      <c r="E2628" s="11" t="str">
        <f t="shared" si="2"/>
        <v> </v>
      </c>
    </row>
    <row r="2629" ht="15.75" customHeight="1">
      <c r="A2629" s="11">
        <v>13992.0</v>
      </c>
      <c r="B2629" s="11" t="s">
        <v>2655</v>
      </c>
      <c r="C2629" s="12">
        <v>22001.0</v>
      </c>
      <c r="D2629" s="11" t="str">
        <f t="shared" si="1"/>
        <v> </v>
      </c>
      <c r="E2629" s="11" t="str">
        <f t="shared" si="2"/>
        <v> </v>
      </c>
    </row>
    <row r="2630" ht="15.75" customHeight="1">
      <c r="A2630" s="11">
        <v>13994.0</v>
      </c>
      <c r="B2630" s="11" t="s">
        <v>2656</v>
      </c>
      <c r="C2630" s="12">
        <v>28275.0</v>
      </c>
      <c r="D2630" s="11" t="str">
        <f t="shared" si="1"/>
        <v> </v>
      </c>
      <c r="E2630" s="11" t="str">
        <f t="shared" si="2"/>
        <v> </v>
      </c>
    </row>
    <row r="2631" ht="15.75" customHeight="1">
      <c r="A2631" s="11">
        <v>13996.0</v>
      </c>
      <c r="B2631" s="11" t="s">
        <v>2657</v>
      </c>
      <c r="C2631" s="12">
        <v>24823.0</v>
      </c>
      <c r="D2631" s="11" t="str">
        <f t="shared" si="1"/>
        <v>Repeat</v>
      </c>
      <c r="E2631" s="11" t="str">
        <f t="shared" si="2"/>
        <v> </v>
      </c>
    </row>
    <row r="2632" ht="15.75" customHeight="1">
      <c r="A2632" s="11">
        <v>13998.0</v>
      </c>
      <c r="B2632" s="11" t="s">
        <v>2658</v>
      </c>
      <c r="C2632" s="12">
        <v>31976.0</v>
      </c>
      <c r="D2632" s="11" t="str">
        <f t="shared" si="1"/>
        <v> </v>
      </c>
      <c r="E2632" s="11" t="str">
        <f t="shared" si="2"/>
        <v> </v>
      </c>
    </row>
    <row r="2633" ht="15.75" customHeight="1">
      <c r="A2633" s="11">
        <v>13999.0</v>
      </c>
      <c r="B2633" s="11" t="s">
        <v>2659</v>
      </c>
      <c r="C2633" s="12">
        <v>15330.0</v>
      </c>
      <c r="D2633" s="11" t="str">
        <f t="shared" si="1"/>
        <v> </v>
      </c>
      <c r="E2633" s="11" t="str">
        <f t="shared" si="2"/>
        <v> </v>
      </c>
    </row>
    <row r="2634" ht="15.75" customHeight="1">
      <c r="A2634" s="11">
        <v>14000.0</v>
      </c>
      <c r="B2634" s="11" t="s">
        <v>2660</v>
      </c>
      <c r="C2634" s="12">
        <v>23026.0</v>
      </c>
      <c r="D2634" s="11" t="str">
        <f t="shared" si="1"/>
        <v> </v>
      </c>
      <c r="E2634" s="11" t="str">
        <f t="shared" si="2"/>
        <v> </v>
      </c>
    </row>
    <row r="2635" ht="15.75" customHeight="1">
      <c r="A2635" s="11">
        <v>14001.0</v>
      </c>
      <c r="B2635" s="11" t="s">
        <v>2661</v>
      </c>
      <c r="C2635" s="12">
        <v>25773.0</v>
      </c>
      <c r="D2635" s="11" t="str">
        <f t="shared" si="1"/>
        <v> </v>
      </c>
      <c r="E2635" s="11" t="str">
        <f t="shared" si="2"/>
        <v> </v>
      </c>
    </row>
    <row r="2636" ht="15.75" customHeight="1">
      <c r="A2636" s="11">
        <v>14002.0</v>
      </c>
      <c r="B2636" s="11" t="s">
        <v>2662</v>
      </c>
      <c r="C2636" s="12">
        <v>16901.0</v>
      </c>
      <c r="D2636" s="11" t="str">
        <f t="shared" si="1"/>
        <v> </v>
      </c>
      <c r="E2636" s="11" t="str">
        <f t="shared" si="2"/>
        <v> </v>
      </c>
    </row>
    <row r="2637" ht="15.75" customHeight="1">
      <c r="A2637" s="11">
        <v>14003.0</v>
      </c>
      <c r="B2637" s="11" t="s">
        <v>2663</v>
      </c>
      <c r="C2637" s="12">
        <v>24137.0</v>
      </c>
      <c r="D2637" s="11" t="str">
        <f t="shared" si="1"/>
        <v> </v>
      </c>
      <c r="E2637" s="11" t="str">
        <f t="shared" si="2"/>
        <v> </v>
      </c>
    </row>
    <row r="2638" ht="15.75" customHeight="1">
      <c r="A2638" s="11">
        <v>14004.0</v>
      </c>
      <c r="B2638" s="11" t="s">
        <v>2664</v>
      </c>
      <c r="C2638" s="12">
        <v>17535.0</v>
      </c>
      <c r="D2638" s="11" t="str">
        <f t="shared" si="1"/>
        <v> </v>
      </c>
      <c r="E2638" s="11" t="str">
        <f t="shared" si="2"/>
        <v> </v>
      </c>
    </row>
    <row r="2639" ht="15.75" customHeight="1">
      <c r="A2639" s="11">
        <v>14005.0</v>
      </c>
      <c r="B2639" s="11" t="s">
        <v>2665</v>
      </c>
      <c r="C2639" s="12">
        <v>16346.0</v>
      </c>
      <c r="D2639" s="11" t="str">
        <f t="shared" si="1"/>
        <v> </v>
      </c>
      <c r="E2639" s="11" t="str">
        <f t="shared" si="2"/>
        <v> </v>
      </c>
    </row>
    <row r="2640" ht="15.75" customHeight="1">
      <c r="A2640" s="11">
        <v>14006.0</v>
      </c>
      <c r="B2640" s="11" t="s">
        <v>2666</v>
      </c>
      <c r="C2640" s="12">
        <v>28299.0</v>
      </c>
      <c r="D2640" s="11" t="str">
        <f t="shared" si="1"/>
        <v> </v>
      </c>
      <c r="E2640" s="11" t="str">
        <f t="shared" si="2"/>
        <v> </v>
      </c>
    </row>
    <row r="2641" ht="15.75" customHeight="1">
      <c r="A2641" s="11">
        <v>14008.0</v>
      </c>
      <c r="B2641" s="11" t="s">
        <v>2667</v>
      </c>
      <c r="C2641" s="12">
        <v>23643.0</v>
      </c>
      <c r="D2641" s="11" t="str">
        <f t="shared" si="1"/>
        <v> </v>
      </c>
      <c r="E2641" s="11" t="str">
        <f t="shared" si="2"/>
        <v> </v>
      </c>
    </row>
    <row r="2642" ht="15.75" customHeight="1">
      <c r="A2642" s="11">
        <v>14009.0</v>
      </c>
      <c r="B2642" s="11" t="s">
        <v>2668</v>
      </c>
      <c r="C2642" s="12">
        <v>26227.0</v>
      </c>
      <c r="D2642" s="11" t="str">
        <f t="shared" si="1"/>
        <v> </v>
      </c>
      <c r="E2642" s="11" t="str">
        <f t="shared" si="2"/>
        <v> </v>
      </c>
    </row>
    <row r="2643" ht="15.75" customHeight="1">
      <c r="A2643" s="11">
        <v>14010.0</v>
      </c>
      <c r="B2643" s="11" t="s">
        <v>2669</v>
      </c>
      <c r="C2643" s="12">
        <v>21325.0</v>
      </c>
      <c r="D2643" s="11" t="str">
        <f t="shared" si="1"/>
        <v> </v>
      </c>
      <c r="E2643" s="11" t="str">
        <f t="shared" si="2"/>
        <v> </v>
      </c>
    </row>
    <row r="2644" ht="15.75" customHeight="1">
      <c r="A2644" s="11">
        <v>14011.0</v>
      </c>
      <c r="B2644" s="11" t="s">
        <v>2670</v>
      </c>
      <c r="C2644" s="12">
        <v>20836.0</v>
      </c>
      <c r="D2644" s="11" t="str">
        <f t="shared" si="1"/>
        <v> </v>
      </c>
      <c r="E2644" s="11" t="str">
        <f t="shared" si="2"/>
        <v> </v>
      </c>
    </row>
    <row r="2645" ht="15.75" customHeight="1">
      <c r="A2645" s="11">
        <v>14012.0</v>
      </c>
      <c r="B2645" s="11" t="s">
        <v>2671</v>
      </c>
      <c r="C2645" s="12">
        <v>18523.0</v>
      </c>
      <c r="D2645" s="11" t="str">
        <f t="shared" si="1"/>
        <v> </v>
      </c>
      <c r="E2645" s="11" t="str">
        <f t="shared" si="2"/>
        <v> </v>
      </c>
    </row>
    <row r="2646" ht="15.75" customHeight="1">
      <c r="A2646" s="11">
        <v>14013.0</v>
      </c>
      <c r="B2646" s="11" t="s">
        <v>2672</v>
      </c>
      <c r="C2646" s="12">
        <v>20269.0</v>
      </c>
      <c r="D2646" s="11" t="str">
        <f t="shared" si="1"/>
        <v> </v>
      </c>
      <c r="E2646" s="11" t="str">
        <f t="shared" si="2"/>
        <v> </v>
      </c>
    </row>
    <row r="2647" ht="15.75" customHeight="1">
      <c r="A2647" s="11">
        <v>14015.0</v>
      </c>
      <c r="B2647" s="11" t="s">
        <v>2673</v>
      </c>
      <c r="C2647" s="12">
        <v>23046.0</v>
      </c>
      <c r="D2647" s="11" t="str">
        <f t="shared" si="1"/>
        <v> </v>
      </c>
      <c r="E2647" s="11" t="str">
        <f t="shared" si="2"/>
        <v> </v>
      </c>
    </row>
    <row r="2648" ht="15.75" customHeight="1">
      <c r="A2648" s="11">
        <v>14016.0</v>
      </c>
      <c r="B2648" s="11" t="s">
        <v>2674</v>
      </c>
      <c r="C2648" s="12">
        <v>20109.0</v>
      </c>
      <c r="D2648" s="11" t="str">
        <f t="shared" si="1"/>
        <v> </v>
      </c>
      <c r="E2648" s="11" t="str">
        <f t="shared" si="2"/>
        <v> </v>
      </c>
    </row>
    <row r="2649" ht="15.75" customHeight="1">
      <c r="A2649" s="11">
        <v>14017.0</v>
      </c>
      <c r="B2649" s="11" t="s">
        <v>2675</v>
      </c>
      <c r="C2649" s="12">
        <v>20618.0</v>
      </c>
      <c r="D2649" s="11" t="str">
        <f t="shared" si="1"/>
        <v> </v>
      </c>
      <c r="E2649" s="11" t="str">
        <f t="shared" si="2"/>
        <v> </v>
      </c>
    </row>
    <row r="2650" ht="15.75" customHeight="1">
      <c r="A2650" s="11">
        <v>14018.0</v>
      </c>
      <c r="B2650" s="11" t="s">
        <v>2676</v>
      </c>
      <c r="C2650" s="12">
        <v>27273.0</v>
      </c>
      <c r="D2650" s="11" t="str">
        <f t="shared" si="1"/>
        <v> </v>
      </c>
      <c r="E2650" s="11" t="str">
        <f t="shared" si="2"/>
        <v> </v>
      </c>
    </row>
    <row r="2651" ht="15.75" customHeight="1">
      <c r="A2651" s="11">
        <v>14019.0</v>
      </c>
      <c r="B2651" s="11" t="s">
        <v>2677</v>
      </c>
      <c r="C2651" s="12">
        <v>23292.0</v>
      </c>
      <c r="D2651" s="11" t="str">
        <f t="shared" si="1"/>
        <v> </v>
      </c>
      <c r="E2651" s="11" t="str">
        <f t="shared" si="2"/>
        <v> </v>
      </c>
    </row>
    <row r="2652" ht="15.75" customHeight="1">
      <c r="A2652" s="11">
        <v>14020.0</v>
      </c>
      <c r="B2652" s="11" t="s">
        <v>2678</v>
      </c>
      <c r="C2652" s="12">
        <v>19315.0</v>
      </c>
      <c r="D2652" s="11" t="str">
        <f t="shared" si="1"/>
        <v> </v>
      </c>
      <c r="E2652" s="11" t="str">
        <f t="shared" si="2"/>
        <v> </v>
      </c>
    </row>
    <row r="2653" ht="15.75" customHeight="1">
      <c r="A2653" s="11">
        <v>14021.0</v>
      </c>
      <c r="B2653" s="11" t="s">
        <v>2679</v>
      </c>
      <c r="C2653" s="12">
        <v>21451.0</v>
      </c>
      <c r="D2653" s="11" t="str">
        <f t="shared" si="1"/>
        <v> </v>
      </c>
      <c r="E2653" s="11" t="str">
        <f t="shared" si="2"/>
        <v> </v>
      </c>
    </row>
    <row r="2654" ht="15.75" customHeight="1">
      <c r="A2654" s="11">
        <v>14024.0</v>
      </c>
      <c r="B2654" s="11" t="s">
        <v>2680</v>
      </c>
      <c r="C2654" s="12">
        <v>15850.0</v>
      </c>
      <c r="D2654" s="11" t="str">
        <f t="shared" si="1"/>
        <v> </v>
      </c>
      <c r="E2654" s="11" t="str">
        <f t="shared" si="2"/>
        <v> </v>
      </c>
    </row>
    <row r="2655" ht="15.75" customHeight="1">
      <c r="A2655" s="11">
        <v>14025.0</v>
      </c>
      <c r="B2655" s="11" t="s">
        <v>2681</v>
      </c>
      <c r="C2655" s="12">
        <v>17130.0</v>
      </c>
      <c r="D2655" s="11" t="str">
        <f t="shared" si="1"/>
        <v> </v>
      </c>
      <c r="E2655" s="11" t="str">
        <f t="shared" si="2"/>
        <v> </v>
      </c>
    </row>
    <row r="2656" ht="15.75" customHeight="1">
      <c r="A2656" s="11">
        <v>14026.0</v>
      </c>
      <c r="B2656" s="11" t="s">
        <v>2682</v>
      </c>
      <c r="C2656" s="12">
        <v>25018.0</v>
      </c>
      <c r="D2656" s="11" t="str">
        <f t="shared" si="1"/>
        <v> </v>
      </c>
      <c r="E2656" s="11" t="str">
        <f t="shared" si="2"/>
        <v> </v>
      </c>
    </row>
    <row r="2657" ht="15.75" customHeight="1">
      <c r="A2657" s="11">
        <v>14027.0</v>
      </c>
      <c r="B2657" s="11" t="s">
        <v>2683</v>
      </c>
      <c r="C2657" s="12">
        <v>27228.0</v>
      </c>
      <c r="D2657" s="11" t="str">
        <f t="shared" si="1"/>
        <v> </v>
      </c>
      <c r="E2657" s="11" t="str">
        <f t="shared" si="2"/>
        <v> </v>
      </c>
    </row>
    <row r="2658" ht="15.75" customHeight="1">
      <c r="A2658" s="11">
        <v>14028.0</v>
      </c>
      <c r="B2658" s="11" t="s">
        <v>2684</v>
      </c>
      <c r="C2658" s="12">
        <v>31415.0</v>
      </c>
      <c r="D2658" s="11" t="str">
        <f t="shared" si="1"/>
        <v> </v>
      </c>
      <c r="E2658" s="11" t="str">
        <f t="shared" si="2"/>
        <v> </v>
      </c>
    </row>
    <row r="2659" ht="15.75" customHeight="1">
      <c r="A2659" s="11">
        <v>14029.0</v>
      </c>
      <c r="B2659" s="11" t="s">
        <v>2685</v>
      </c>
      <c r="C2659" s="12">
        <v>23337.0</v>
      </c>
      <c r="D2659" s="11" t="str">
        <f t="shared" si="1"/>
        <v> </v>
      </c>
      <c r="E2659" s="11" t="str">
        <f t="shared" si="2"/>
        <v> </v>
      </c>
    </row>
    <row r="2660" ht="15.75" customHeight="1">
      <c r="A2660" s="11">
        <v>14030.0</v>
      </c>
      <c r="B2660" s="11" t="s">
        <v>2686</v>
      </c>
      <c r="C2660" s="12">
        <v>17261.0</v>
      </c>
      <c r="D2660" s="11" t="str">
        <f t="shared" si="1"/>
        <v> </v>
      </c>
      <c r="E2660" s="11" t="str">
        <f t="shared" si="2"/>
        <v> </v>
      </c>
    </row>
    <row r="2661" ht="15.75" customHeight="1">
      <c r="A2661" s="11">
        <v>14031.0</v>
      </c>
      <c r="B2661" s="11" t="s">
        <v>2687</v>
      </c>
      <c r="C2661" s="12">
        <v>24739.0</v>
      </c>
      <c r="D2661" s="11" t="str">
        <f t="shared" si="1"/>
        <v> </v>
      </c>
      <c r="E2661" s="11" t="str">
        <f t="shared" si="2"/>
        <v> </v>
      </c>
    </row>
    <row r="2662" ht="15.75" customHeight="1">
      <c r="A2662" s="11">
        <v>14032.0</v>
      </c>
      <c r="B2662" s="11" t="s">
        <v>2688</v>
      </c>
      <c r="C2662" s="12">
        <v>12889.0</v>
      </c>
      <c r="D2662" s="11" t="str">
        <f t="shared" si="1"/>
        <v> </v>
      </c>
      <c r="E2662" s="11" t="str">
        <f t="shared" si="2"/>
        <v> </v>
      </c>
    </row>
    <row r="2663" ht="15.75" customHeight="1">
      <c r="A2663" s="11">
        <v>14034.0</v>
      </c>
      <c r="B2663" s="11" t="s">
        <v>2689</v>
      </c>
      <c r="C2663" s="12">
        <v>19737.0</v>
      </c>
      <c r="D2663" s="11" t="str">
        <f t="shared" si="1"/>
        <v> </v>
      </c>
      <c r="E2663" s="11" t="str">
        <f t="shared" si="2"/>
        <v> </v>
      </c>
    </row>
    <row r="2664" ht="15.75" customHeight="1">
      <c r="A2664" s="11">
        <v>14035.0</v>
      </c>
      <c r="B2664" s="11" t="s">
        <v>2690</v>
      </c>
      <c r="C2664" s="12">
        <v>22362.0</v>
      </c>
      <c r="D2664" s="11" t="str">
        <f t="shared" si="1"/>
        <v> </v>
      </c>
      <c r="E2664" s="11" t="str">
        <f t="shared" si="2"/>
        <v> </v>
      </c>
    </row>
    <row r="2665" ht="15.75" customHeight="1">
      <c r="A2665" s="11">
        <v>14036.0</v>
      </c>
      <c r="B2665" s="11" t="s">
        <v>2691</v>
      </c>
      <c r="C2665" s="12">
        <v>22715.0</v>
      </c>
      <c r="D2665" s="11" t="str">
        <f t="shared" si="1"/>
        <v> </v>
      </c>
      <c r="E2665" s="11" t="str">
        <f t="shared" si="2"/>
        <v> </v>
      </c>
    </row>
    <row r="2666" ht="15.75" customHeight="1">
      <c r="A2666" s="11">
        <v>14037.0</v>
      </c>
      <c r="B2666" s="11" t="s">
        <v>2692</v>
      </c>
      <c r="C2666" s="12">
        <v>16970.0</v>
      </c>
      <c r="D2666" s="11" t="str">
        <f t="shared" si="1"/>
        <v> </v>
      </c>
      <c r="E2666" s="11" t="str">
        <f t="shared" si="2"/>
        <v> </v>
      </c>
    </row>
    <row r="2667" ht="15.75" customHeight="1">
      <c r="A2667" s="11">
        <v>14038.0</v>
      </c>
      <c r="B2667" s="11" t="s">
        <v>2693</v>
      </c>
      <c r="C2667" s="12">
        <v>19026.0</v>
      </c>
      <c r="D2667" s="11" t="str">
        <f t="shared" si="1"/>
        <v> </v>
      </c>
      <c r="E2667" s="11" t="str">
        <f t="shared" si="2"/>
        <v> </v>
      </c>
    </row>
    <row r="2668" ht="15.75" customHeight="1">
      <c r="A2668" s="11">
        <v>14042.0</v>
      </c>
      <c r="B2668" s="11" t="s">
        <v>2694</v>
      </c>
      <c r="C2668" s="12">
        <v>15727.0</v>
      </c>
      <c r="D2668" s="11" t="str">
        <f t="shared" si="1"/>
        <v> </v>
      </c>
      <c r="E2668" s="11" t="str">
        <f t="shared" si="2"/>
        <v> </v>
      </c>
    </row>
    <row r="2669" ht="15.75" customHeight="1">
      <c r="A2669" s="11">
        <v>14044.0</v>
      </c>
      <c r="B2669" s="11" t="s">
        <v>2695</v>
      </c>
      <c r="C2669" s="12">
        <v>15928.0</v>
      </c>
      <c r="D2669" s="11" t="str">
        <f t="shared" si="1"/>
        <v> </v>
      </c>
      <c r="E2669" s="11" t="str">
        <f t="shared" si="2"/>
        <v> </v>
      </c>
    </row>
    <row r="2670" ht="15.75" customHeight="1">
      <c r="A2670" s="11">
        <v>14046.0</v>
      </c>
      <c r="B2670" s="11" t="s">
        <v>2696</v>
      </c>
      <c r="C2670" s="12">
        <v>18509.0</v>
      </c>
      <c r="D2670" s="11" t="str">
        <f t="shared" si="1"/>
        <v> </v>
      </c>
      <c r="E2670" s="11" t="str">
        <f t="shared" si="2"/>
        <v> </v>
      </c>
    </row>
    <row r="2671" ht="15.75" customHeight="1">
      <c r="A2671" s="11">
        <v>14047.0</v>
      </c>
      <c r="B2671" s="11" t="s">
        <v>2697</v>
      </c>
      <c r="C2671" s="12">
        <v>21885.0</v>
      </c>
      <c r="D2671" s="11" t="str">
        <f t="shared" si="1"/>
        <v> </v>
      </c>
      <c r="E2671" s="11" t="str">
        <f t="shared" si="2"/>
        <v> </v>
      </c>
    </row>
    <row r="2672" ht="15.75" customHeight="1">
      <c r="A2672" s="11">
        <v>14049.0</v>
      </c>
      <c r="B2672" s="11" t="s">
        <v>2698</v>
      </c>
      <c r="C2672" s="12">
        <v>31322.0</v>
      </c>
      <c r="D2672" s="11" t="str">
        <f t="shared" si="1"/>
        <v> </v>
      </c>
      <c r="E2672" s="11" t="str">
        <f t="shared" si="2"/>
        <v> </v>
      </c>
    </row>
    <row r="2673" ht="15.75" customHeight="1">
      <c r="A2673" s="11">
        <v>14050.0</v>
      </c>
      <c r="B2673" s="11" t="s">
        <v>2699</v>
      </c>
      <c r="C2673" s="12">
        <v>20523.0</v>
      </c>
      <c r="D2673" s="11" t="str">
        <f t="shared" si="1"/>
        <v> </v>
      </c>
      <c r="E2673" s="11" t="str">
        <f t="shared" si="2"/>
        <v> </v>
      </c>
    </row>
    <row r="2674" ht="15.75" customHeight="1">
      <c r="A2674" s="11">
        <v>14051.0</v>
      </c>
      <c r="B2674" s="11" t="s">
        <v>2700</v>
      </c>
      <c r="C2674" s="12">
        <v>23129.0</v>
      </c>
      <c r="D2674" s="11" t="str">
        <f t="shared" si="1"/>
        <v> </v>
      </c>
      <c r="E2674" s="11" t="str">
        <f t="shared" si="2"/>
        <v> </v>
      </c>
    </row>
    <row r="2675" ht="15.75" customHeight="1">
      <c r="A2675" s="11">
        <v>14052.0</v>
      </c>
      <c r="B2675" s="11" t="s">
        <v>2701</v>
      </c>
      <c r="C2675" s="12">
        <v>29046.0</v>
      </c>
      <c r="D2675" s="11" t="str">
        <f t="shared" si="1"/>
        <v> </v>
      </c>
      <c r="E2675" s="11" t="str">
        <f t="shared" si="2"/>
        <v> </v>
      </c>
    </row>
    <row r="2676" ht="15.75" customHeight="1">
      <c r="A2676" s="11">
        <v>14053.0</v>
      </c>
      <c r="B2676" s="11" t="s">
        <v>2702</v>
      </c>
      <c r="C2676" s="12">
        <v>18535.0</v>
      </c>
      <c r="D2676" s="11" t="str">
        <f t="shared" si="1"/>
        <v>Repeat</v>
      </c>
      <c r="E2676" s="11" t="str">
        <f t="shared" si="2"/>
        <v> </v>
      </c>
    </row>
    <row r="2677" ht="15.75" customHeight="1">
      <c r="A2677" s="11">
        <v>14054.0</v>
      </c>
      <c r="B2677" s="11" t="s">
        <v>2703</v>
      </c>
      <c r="C2677" s="12">
        <v>19098.0</v>
      </c>
      <c r="D2677" s="11" t="str">
        <f t="shared" si="1"/>
        <v> </v>
      </c>
      <c r="E2677" s="11" t="str">
        <f t="shared" si="2"/>
        <v> </v>
      </c>
    </row>
    <row r="2678" ht="15.75" customHeight="1">
      <c r="A2678" s="11">
        <v>14055.0</v>
      </c>
      <c r="B2678" s="11" t="s">
        <v>2704</v>
      </c>
      <c r="C2678" s="12">
        <v>30077.0</v>
      </c>
      <c r="D2678" s="11" t="str">
        <f t="shared" si="1"/>
        <v> </v>
      </c>
      <c r="E2678" s="11" t="str">
        <f t="shared" si="2"/>
        <v> </v>
      </c>
    </row>
    <row r="2679" ht="15.75" customHeight="1">
      <c r="A2679" s="11">
        <v>14056.0</v>
      </c>
      <c r="B2679" s="11" t="s">
        <v>2705</v>
      </c>
      <c r="C2679" s="12">
        <v>16341.0</v>
      </c>
      <c r="D2679" s="11" t="str">
        <f t="shared" si="1"/>
        <v> </v>
      </c>
      <c r="E2679" s="11" t="str">
        <f t="shared" si="2"/>
        <v> </v>
      </c>
    </row>
    <row r="2680" ht="15.75" customHeight="1">
      <c r="A2680" s="11">
        <v>14058.0</v>
      </c>
      <c r="B2680" s="11" t="s">
        <v>2706</v>
      </c>
      <c r="C2680" s="12">
        <v>14375.0</v>
      </c>
      <c r="D2680" s="11" t="str">
        <f t="shared" si="1"/>
        <v> </v>
      </c>
      <c r="E2680" s="11" t="str">
        <f t="shared" si="2"/>
        <v> </v>
      </c>
    </row>
    <row r="2681" ht="15.75" customHeight="1">
      <c r="A2681" s="11">
        <v>14062.0</v>
      </c>
      <c r="B2681" s="11" t="s">
        <v>2707</v>
      </c>
      <c r="C2681" s="12">
        <v>24045.0</v>
      </c>
      <c r="D2681" s="11" t="str">
        <f t="shared" si="1"/>
        <v> </v>
      </c>
      <c r="E2681" s="11" t="str">
        <f t="shared" si="2"/>
        <v> </v>
      </c>
    </row>
    <row r="2682" ht="15.75" customHeight="1">
      <c r="A2682" s="11">
        <v>14063.0</v>
      </c>
      <c r="B2682" s="11" t="s">
        <v>2708</v>
      </c>
      <c r="C2682" s="12">
        <v>22822.0</v>
      </c>
      <c r="D2682" s="11" t="str">
        <f t="shared" si="1"/>
        <v> </v>
      </c>
      <c r="E2682" s="11" t="str">
        <f t="shared" si="2"/>
        <v> </v>
      </c>
    </row>
    <row r="2683" ht="15.75" customHeight="1">
      <c r="A2683" s="11">
        <v>14064.0</v>
      </c>
      <c r="B2683" s="11" t="s">
        <v>2709</v>
      </c>
      <c r="C2683" s="12">
        <v>17859.0</v>
      </c>
      <c r="D2683" s="11" t="str">
        <f t="shared" si="1"/>
        <v> </v>
      </c>
      <c r="E2683" s="11" t="str">
        <f t="shared" si="2"/>
        <v> </v>
      </c>
    </row>
    <row r="2684" ht="15.75" customHeight="1">
      <c r="A2684" s="11">
        <v>14065.0</v>
      </c>
      <c r="B2684" s="11" t="s">
        <v>2710</v>
      </c>
      <c r="C2684" s="12">
        <v>16477.0</v>
      </c>
      <c r="D2684" s="11" t="str">
        <f t="shared" si="1"/>
        <v> </v>
      </c>
      <c r="E2684" s="11" t="str">
        <f t="shared" si="2"/>
        <v> </v>
      </c>
    </row>
    <row r="2685" ht="15.75" customHeight="1">
      <c r="A2685" s="11">
        <v>14066.0</v>
      </c>
      <c r="B2685" s="11" t="s">
        <v>2711</v>
      </c>
      <c r="C2685" s="12">
        <v>35192.0</v>
      </c>
      <c r="D2685" s="11" t="str">
        <f t="shared" si="1"/>
        <v> </v>
      </c>
      <c r="E2685" s="11" t="str">
        <f t="shared" si="2"/>
        <v> </v>
      </c>
    </row>
    <row r="2686" ht="15.75" customHeight="1">
      <c r="A2686" s="11">
        <v>14068.0</v>
      </c>
      <c r="B2686" s="11" t="s">
        <v>2712</v>
      </c>
      <c r="C2686" s="12">
        <v>26572.0</v>
      </c>
      <c r="D2686" s="11" t="str">
        <f t="shared" si="1"/>
        <v> </v>
      </c>
      <c r="E2686" s="11" t="str">
        <f t="shared" si="2"/>
        <v> </v>
      </c>
    </row>
    <row r="2687" ht="15.75" customHeight="1">
      <c r="A2687" s="11">
        <v>14069.0</v>
      </c>
      <c r="B2687" s="11" t="s">
        <v>2713</v>
      </c>
      <c r="C2687" s="12">
        <v>20721.0</v>
      </c>
      <c r="D2687" s="11" t="str">
        <f t="shared" si="1"/>
        <v> </v>
      </c>
      <c r="E2687" s="11" t="str">
        <f t="shared" si="2"/>
        <v> </v>
      </c>
    </row>
    <row r="2688" ht="15.75" customHeight="1">
      <c r="A2688" s="11">
        <v>14070.0</v>
      </c>
      <c r="B2688" s="11" t="s">
        <v>2714</v>
      </c>
      <c r="C2688" s="12">
        <v>26355.0</v>
      </c>
      <c r="D2688" s="11" t="str">
        <f t="shared" si="1"/>
        <v> </v>
      </c>
      <c r="E2688" s="11" t="str">
        <f t="shared" si="2"/>
        <v> </v>
      </c>
    </row>
    <row r="2689" ht="15.75" customHeight="1">
      <c r="A2689" s="11">
        <v>14071.0</v>
      </c>
      <c r="B2689" s="11" t="s">
        <v>2715</v>
      </c>
      <c r="C2689" s="12">
        <v>25236.0</v>
      </c>
      <c r="D2689" s="11" t="str">
        <f t="shared" si="1"/>
        <v> </v>
      </c>
      <c r="E2689" s="11" t="str">
        <f t="shared" si="2"/>
        <v> </v>
      </c>
    </row>
    <row r="2690" ht="15.75" customHeight="1">
      <c r="A2690" s="11">
        <v>14072.0</v>
      </c>
      <c r="B2690" s="11" t="s">
        <v>2716</v>
      </c>
      <c r="C2690" s="12">
        <v>15854.0</v>
      </c>
      <c r="D2690" s="11" t="str">
        <f t="shared" si="1"/>
        <v> </v>
      </c>
      <c r="E2690" s="11" t="str">
        <f t="shared" si="2"/>
        <v> </v>
      </c>
    </row>
    <row r="2691" ht="15.75" customHeight="1">
      <c r="A2691" s="11">
        <v>14073.0</v>
      </c>
      <c r="B2691" s="11" t="s">
        <v>2717</v>
      </c>
      <c r="C2691" s="12">
        <v>19245.0</v>
      </c>
      <c r="D2691" s="11" t="str">
        <f t="shared" si="1"/>
        <v> </v>
      </c>
      <c r="E2691" s="11" t="str">
        <f t="shared" si="2"/>
        <v> </v>
      </c>
    </row>
    <row r="2692" ht="15.75" customHeight="1">
      <c r="A2692" s="11">
        <v>14074.0</v>
      </c>
      <c r="B2692" s="11" t="s">
        <v>2718</v>
      </c>
      <c r="C2692" s="12">
        <v>26061.0</v>
      </c>
      <c r="D2692" s="11" t="str">
        <f t="shared" si="1"/>
        <v> </v>
      </c>
      <c r="E2692" s="11" t="str">
        <f t="shared" si="2"/>
        <v> </v>
      </c>
    </row>
    <row r="2693" ht="15.75" customHeight="1">
      <c r="A2693" s="11">
        <v>14075.0</v>
      </c>
      <c r="B2693" s="11" t="s">
        <v>2719</v>
      </c>
      <c r="C2693" s="12">
        <v>17613.0</v>
      </c>
      <c r="D2693" s="11" t="str">
        <f t="shared" si="1"/>
        <v> </v>
      </c>
      <c r="E2693" s="11" t="str">
        <f t="shared" si="2"/>
        <v> </v>
      </c>
    </row>
    <row r="2694" ht="15.75" customHeight="1">
      <c r="A2694" s="11">
        <v>14076.0</v>
      </c>
      <c r="B2694" s="11" t="s">
        <v>2720</v>
      </c>
      <c r="C2694" s="12">
        <v>29289.0</v>
      </c>
      <c r="D2694" s="11" t="str">
        <f t="shared" si="1"/>
        <v> </v>
      </c>
      <c r="E2694" s="11" t="str">
        <f t="shared" si="2"/>
        <v> </v>
      </c>
    </row>
    <row r="2695" ht="15.75" customHeight="1">
      <c r="A2695" s="11">
        <v>14078.0</v>
      </c>
      <c r="B2695" s="11" t="s">
        <v>2721</v>
      </c>
      <c r="C2695" s="12">
        <v>17865.0</v>
      </c>
      <c r="D2695" s="11" t="str">
        <f t="shared" si="1"/>
        <v> </v>
      </c>
      <c r="E2695" s="11" t="str">
        <f t="shared" si="2"/>
        <v> </v>
      </c>
    </row>
    <row r="2696" ht="15.75" customHeight="1">
      <c r="A2696" s="11">
        <v>14079.0</v>
      </c>
      <c r="B2696" s="11" t="s">
        <v>1740</v>
      </c>
      <c r="C2696" s="12">
        <v>18184.0</v>
      </c>
      <c r="D2696" s="11" t="str">
        <f t="shared" si="1"/>
        <v>Repeat</v>
      </c>
      <c r="E2696" s="11" t="str">
        <f t="shared" si="2"/>
        <v> </v>
      </c>
    </row>
    <row r="2697" ht="15.75" customHeight="1">
      <c r="A2697" s="11">
        <v>14080.0</v>
      </c>
      <c r="B2697" s="11" t="s">
        <v>2722</v>
      </c>
      <c r="C2697" s="12">
        <v>28706.0</v>
      </c>
      <c r="D2697" s="11" t="str">
        <f t="shared" si="1"/>
        <v> </v>
      </c>
      <c r="E2697" s="11" t="str">
        <f t="shared" si="2"/>
        <v> </v>
      </c>
    </row>
    <row r="2698" ht="15.75" customHeight="1">
      <c r="A2698" s="11">
        <v>14081.0</v>
      </c>
      <c r="B2698" s="11" t="s">
        <v>2723</v>
      </c>
      <c r="C2698" s="12">
        <v>32882.0</v>
      </c>
      <c r="D2698" s="11" t="str">
        <f t="shared" si="1"/>
        <v> </v>
      </c>
      <c r="E2698" s="11" t="str">
        <f t="shared" si="2"/>
        <v> </v>
      </c>
    </row>
    <row r="2699" ht="15.75" customHeight="1">
      <c r="A2699" s="11">
        <v>14082.0</v>
      </c>
      <c r="B2699" s="11" t="s">
        <v>2724</v>
      </c>
      <c r="C2699" s="12">
        <v>12052.0</v>
      </c>
      <c r="D2699" s="11" t="str">
        <f t="shared" si="1"/>
        <v> </v>
      </c>
      <c r="E2699" s="11" t="str">
        <f t="shared" si="2"/>
        <v> </v>
      </c>
    </row>
    <row r="2700" ht="15.75" customHeight="1">
      <c r="A2700" s="11">
        <v>14083.0</v>
      </c>
      <c r="B2700" s="11" t="s">
        <v>2725</v>
      </c>
      <c r="C2700" s="12">
        <v>22869.0</v>
      </c>
      <c r="D2700" s="11" t="str">
        <f t="shared" si="1"/>
        <v> </v>
      </c>
      <c r="E2700" s="11" t="str">
        <f t="shared" si="2"/>
        <v> </v>
      </c>
    </row>
    <row r="2701" ht="15.75" customHeight="1">
      <c r="A2701" s="11">
        <v>14084.0</v>
      </c>
      <c r="B2701" s="11" t="s">
        <v>2726</v>
      </c>
      <c r="C2701" s="12">
        <v>29711.0</v>
      </c>
      <c r="D2701" s="11" t="str">
        <f t="shared" si="1"/>
        <v> </v>
      </c>
      <c r="E2701" s="11" t="str">
        <f t="shared" si="2"/>
        <v> </v>
      </c>
    </row>
    <row r="2702" ht="15.75" customHeight="1">
      <c r="A2702" s="11">
        <v>14085.0</v>
      </c>
      <c r="B2702" s="11" t="s">
        <v>2727</v>
      </c>
      <c r="C2702" s="12">
        <v>15888.0</v>
      </c>
      <c r="D2702" s="11" t="str">
        <f t="shared" si="1"/>
        <v> </v>
      </c>
      <c r="E2702" s="11" t="str">
        <f t="shared" si="2"/>
        <v> </v>
      </c>
    </row>
    <row r="2703" ht="15.75" customHeight="1">
      <c r="A2703" s="11">
        <v>14086.0</v>
      </c>
      <c r="B2703" s="11" t="s">
        <v>2728</v>
      </c>
      <c r="C2703" s="12">
        <v>25562.0</v>
      </c>
      <c r="D2703" s="11" t="str">
        <f t="shared" si="1"/>
        <v> </v>
      </c>
      <c r="E2703" s="11" t="str">
        <f t="shared" si="2"/>
        <v> </v>
      </c>
    </row>
    <row r="2704" ht="15.75" customHeight="1">
      <c r="A2704" s="11">
        <v>14087.0</v>
      </c>
      <c r="B2704" s="11" t="s">
        <v>2729</v>
      </c>
      <c r="C2704" s="12">
        <v>20668.0</v>
      </c>
      <c r="D2704" s="11" t="str">
        <f t="shared" si="1"/>
        <v> </v>
      </c>
      <c r="E2704" s="11" t="str">
        <f t="shared" si="2"/>
        <v> </v>
      </c>
    </row>
    <row r="2705" ht="15.75" customHeight="1">
      <c r="A2705" s="11">
        <v>14088.0</v>
      </c>
      <c r="B2705" s="11" t="s">
        <v>2730</v>
      </c>
      <c r="C2705" s="12">
        <v>22147.0</v>
      </c>
      <c r="D2705" s="11" t="str">
        <f t="shared" si="1"/>
        <v> </v>
      </c>
      <c r="E2705" s="11" t="str">
        <f t="shared" si="2"/>
        <v> </v>
      </c>
    </row>
    <row r="2706" ht="15.75" customHeight="1">
      <c r="A2706" s="11">
        <v>14089.0</v>
      </c>
      <c r="B2706" s="11" t="s">
        <v>2731</v>
      </c>
      <c r="C2706" s="12">
        <v>17713.0</v>
      </c>
      <c r="D2706" s="11" t="str">
        <f t="shared" si="1"/>
        <v> </v>
      </c>
      <c r="E2706" s="11" t="str">
        <f t="shared" si="2"/>
        <v> </v>
      </c>
    </row>
    <row r="2707" ht="15.75" customHeight="1">
      <c r="A2707" s="11">
        <v>14090.0</v>
      </c>
      <c r="B2707" s="11" t="s">
        <v>2732</v>
      </c>
      <c r="C2707" s="12">
        <v>35828.0</v>
      </c>
      <c r="D2707" s="11" t="str">
        <f t="shared" si="1"/>
        <v> </v>
      </c>
      <c r="E2707" s="11" t="str">
        <f t="shared" si="2"/>
        <v> </v>
      </c>
    </row>
    <row r="2708" ht="15.75" customHeight="1">
      <c r="A2708" s="11">
        <v>14091.0</v>
      </c>
      <c r="B2708" s="11" t="s">
        <v>2733</v>
      </c>
      <c r="C2708" s="12">
        <v>26587.0</v>
      </c>
      <c r="D2708" s="11" t="str">
        <f t="shared" si="1"/>
        <v> </v>
      </c>
      <c r="E2708" s="11" t="str">
        <f t="shared" si="2"/>
        <v> </v>
      </c>
    </row>
    <row r="2709" ht="15.75" customHeight="1">
      <c r="A2709" s="11">
        <v>14092.0</v>
      </c>
      <c r="B2709" s="11" t="s">
        <v>2734</v>
      </c>
      <c r="C2709" s="12">
        <v>18278.0</v>
      </c>
      <c r="D2709" s="11" t="str">
        <f t="shared" si="1"/>
        <v> </v>
      </c>
      <c r="E2709" s="11" t="str">
        <f t="shared" si="2"/>
        <v> </v>
      </c>
    </row>
    <row r="2710" ht="15.75" customHeight="1">
      <c r="A2710" s="11">
        <v>14093.0</v>
      </c>
      <c r="B2710" s="11" t="s">
        <v>2735</v>
      </c>
      <c r="C2710" s="12">
        <v>26917.0</v>
      </c>
      <c r="D2710" s="11" t="str">
        <f t="shared" si="1"/>
        <v> </v>
      </c>
      <c r="E2710" s="11" t="str">
        <f t="shared" si="2"/>
        <v> </v>
      </c>
    </row>
    <row r="2711" ht="15.75" customHeight="1">
      <c r="A2711" s="11">
        <v>14094.0</v>
      </c>
      <c r="B2711" s="11" t="s">
        <v>2736</v>
      </c>
      <c r="C2711" s="12">
        <v>16176.0</v>
      </c>
      <c r="D2711" s="11" t="str">
        <f t="shared" si="1"/>
        <v> </v>
      </c>
      <c r="E2711" s="11" t="str">
        <f t="shared" si="2"/>
        <v> </v>
      </c>
    </row>
    <row r="2712" ht="15.75" customHeight="1">
      <c r="A2712" s="11">
        <v>14095.0</v>
      </c>
      <c r="B2712" s="11" t="s">
        <v>2737</v>
      </c>
      <c r="C2712" s="12">
        <v>22965.0</v>
      </c>
      <c r="D2712" s="11" t="str">
        <f t="shared" si="1"/>
        <v> </v>
      </c>
      <c r="E2712" s="11" t="str">
        <f t="shared" si="2"/>
        <v> </v>
      </c>
    </row>
    <row r="2713" ht="15.75" customHeight="1">
      <c r="A2713" s="11">
        <v>14096.0</v>
      </c>
      <c r="B2713" s="11" t="s">
        <v>2738</v>
      </c>
      <c r="C2713" s="12">
        <v>19879.0</v>
      </c>
      <c r="D2713" s="11" t="str">
        <f t="shared" si="1"/>
        <v> </v>
      </c>
      <c r="E2713" s="11" t="str">
        <f t="shared" si="2"/>
        <v> </v>
      </c>
    </row>
    <row r="2714" ht="15.75" customHeight="1">
      <c r="A2714" s="11">
        <v>14097.0</v>
      </c>
      <c r="B2714" s="11" t="s">
        <v>2739</v>
      </c>
      <c r="C2714" s="12">
        <v>24483.0</v>
      </c>
      <c r="D2714" s="11" t="str">
        <f t="shared" si="1"/>
        <v>Repeat</v>
      </c>
      <c r="E2714" s="11" t="str">
        <f t="shared" si="2"/>
        <v> </v>
      </c>
    </row>
    <row r="2715" ht="15.75" customHeight="1">
      <c r="A2715" s="11">
        <v>14099.0</v>
      </c>
      <c r="B2715" s="11" t="s">
        <v>2740</v>
      </c>
      <c r="C2715" s="12">
        <v>19291.0</v>
      </c>
      <c r="D2715" s="11" t="str">
        <f t="shared" si="1"/>
        <v> </v>
      </c>
      <c r="E2715" s="11" t="str">
        <f t="shared" si="2"/>
        <v> </v>
      </c>
    </row>
    <row r="2716" ht="15.75" customHeight="1">
      <c r="A2716" s="11">
        <v>14100.0</v>
      </c>
      <c r="B2716" s="11" t="s">
        <v>2741</v>
      </c>
      <c r="C2716" s="12">
        <v>17679.0</v>
      </c>
      <c r="D2716" s="11" t="str">
        <f t="shared" si="1"/>
        <v> </v>
      </c>
      <c r="E2716" s="11" t="str">
        <f t="shared" si="2"/>
        <v> </v>
      </c>
    </row>
    <row r="2717" ht="15.75" customHeight="1">
      <c r="A2717" s="11">
        <v>14101.0</v>
      </c>
      <c r="B2717" s="11" t="s">
        <v>2742</v>
      </c>
      <c r="C2717" s="12">
        <v>20670.0</v>
      </c>
      <c r="D2717" s="11" t="str">
        <f t="shared" si="1"/>
        <v> </v>
      </c>
      <c r="E2717" s="11" t="str">
        <f t="shared" si="2"/>
        <v> </v>
      </c>
    </row>
    <row r="2718" ht="15.75" customHeight="1">
      <c r="A2718" s="11">
        <v>14102.0</v>
      </c>
      <c r="B2718" s="11" t="s">
        <v>2743</v>
      </c>
      <c r="C2718" s="12">
        <v>12832.0</v>
      </c>
      <c r="D2718" s="11" t="str">
        <f t="shared" si="1"/>
        <v> </v>
      </c>
      <c r="E2718" s="11" t="str">
        <f t="shared" si="2"/>
        <v> </v>
      </c>
    </row>
    <row r="2719" ht="15.75" customHeight="1">
      <c r="A2719" s="11">
        <v>14103.0</v>
      </c>
      <c r="B2719" s="11" t="s">
        <v>2744</v>
      </c>
      <c r="C2719" s="12">
        <v>16960.0</v>
      </c>
      <c r="D2719" s="11" t="str">
        <f t="shared" si="1"/>
        <v> </v>
      </c>
      <c r="E2719" s="11" t="str">
        <f t="shared" si="2"/>
        <v> </v>
      </c>
    </row>
    <row r="2720" ht="15.75" customHeight="1">
      <c r="A2720" s="11">
        <v>14104.0</v>
      </c>
      <c r="B2720" s="11" t="s">
        <v>2745</v>
      </c>
      <c r="C2720" s="12">
        <v>19685.0</v>
      </c>
      <c r="D2720" s="11" t="str">
        <f t="shared" si="1"/>
        <v> </v>
      </c>
      <c r="E2720" s="11" t="str">
        <f t="shared" si="2"/>
        <v> </v>
      </c>
    </row>
    <row r="2721" ht="15.75" customHeight="1">
      <c r="A2721" s="11">
        <v>14106.0</v>
      </c>
      <c r="B2721" s="11" t="s">
        <v>2746</v>
      </c>
      <c r="C2721" s="12">
        <v>29830.0</v>
      </c>
      <c r="D2721" s="11" t="str">
        <f t="shared" si="1"/>
        <v> </v>
      </c>
      <c r="E2721" s="11" t="str">
        <f t="shared" si="2"/>
        <v> </v>
      </c>
    </row>
    <row r="2722" ht="15.75" customHeight="1">
      <c r="A2722" s="11">
        <v>14107.0</v>
      </c>
      <c r="B2722" s="11" t="s">
        <v>2747</v>
      </c>
      <c r="C2722" s="12">
        <v>30940.0</v>
      </c>
      <c r="D2722" s="11" t="str">
        <f t="shared" si="1"/>
        <v> </v>
      </c>
      <c r="E2722" s="11" t="str">
        <f t="shared" si="2"/>
        <v> </v>
      </c>
    </row>
    <row r="2723" ht="15.75" customHeight="1">
      <c r="A2723" s="11">
        <v>14108.0</v>
      </c>
      <c r="B2723" s="11" t="s">
        <v>2748</v>
      </c>
      <c r="C2723" s="12">
        <v>28241.0</v>
      </c>
      <c r="D2723" s="11" t="str">
        <f t="shared" si="1"/>
        <v> </v>
      </c>
      <c r="E2723" s="11" t="str">
        <f t="shared" si="2"/>
        <v> </v>
      </c>
    </row>
    <row r="2724" ht="15.75" customHeight="1">
      <c r="A2724" s="11">
        <v>14110.0</v>
      </c>
      <c r="B2724" s="11" t="s">
        <v>2749</v>
      </c>
      <c r="C2724" s="12">
        <v>24135.0</v>
      </c>
      <c r="D2724" s="11" t="str">
        <f t="shared" si="1"/>
        <v> </v>
      </c>
      <c r="E2724" s="11" t="str">
        <f t="shared" si="2"/>
        <v> </v>
      </c>
    </row>
    <row r="2725" ht="15.75" customHeight="1">
      <c r="A2725" s="11">
        <v>14111.0</v>
      </c>
      <c r="B2725" s="11" t="s">
        <v>2750</v>
      </c>
      <c r="C2725" s="12">
        <v>31980.0</v>
      </c>
      <c r="D2725" s="11" t="str">
        <f t="shared" si="1"/>
        <v> </v>
      </c>
      <c r="E2725" s="11" t="str">
        <f t="shared" si="2"/>
        <v> </v>
      </c>
    </row>
    <row r="2726" ht="15.75" customHeight="1">
      <c r="A2726" s="11">
        <v>14112.0</v>
      </c>
      <c r="B2726" s="11" t="s">
        <v>2751</v>
      </c>
      <c r="C2726" s="12">
        <v>31471.0</v>
      </c>
      <c r="D2726" s="11" t="str">
        <f t="shared" si="1"/>
        <v> </v>
      </c>
      <c r="E2726" s="11" t="str">
        <f t="shared" si="2"/>
        <v> </v>
      </c>
    </row>
    <row r="2727" ht="15.75" customHeight="1">
      <c r="A2727" s="11">
        <v>14113.0</v>
      </c>
      <c r="B2727" s="11" t="s">
        <v>2752</v>
      </c>
      <c r="C2727" s="12">
        <v>21851.0</v>
      </c>
      <c r="D2727" s="11" t="str">
        <f t="shared" si="1"/>
        <v> </v>
      </c>
      <c r="E2727" s="11" t="str">
        <f t="shared" si="2"/>
        <v>Repeat</v>
      </c>
    </row>
    <row r="2728" ht="15.75" customHeight="1">
      <c r="A2728" s="11">
        <v>14114.0</v>
      </c>
      <c r="B2728" s="11" t="s">
        <v>2753</v>
      </c>
      <c r="C2728" s="12">
        <v>26059.0</v>
      </c>
      <c r="D2728" s="11" t="str">
        <f t="shared" si="1"/>
        <v> </v>
      </c>
      <c r="E2728" s="11" t="str">
        <f t="shared" si="2"/>
        <v> </v>
      </c>
    </row>
    <row r="2729" ht="15.75" customHeight="1">
      <c r="A2729" s="11">
        <v>14116.0</v>
      </c>
      <c r="B2729" s="11" t="s">
        <v>2754</v>
      </c>
      <c r="C2729" s="12">
        <v>28332.0</v>
      </c>
      <c r="D2729" s="11" t="str">
        <f t="shared" si="1"/>
        <v> </v>
      </c>
      <c r="E2729" s="11" t="str">
        <f t="shared" si="2"/>
        <v> </v>
      </c>
    </row>
    <row r="2730" ht="15.75" customHeight="1">
      <c r="A2730" s="11">
        <v>14117.0</v>
      </c>
      <c r="B2730" s="11" t="s">
        <v>2755</v>
      </c>
      <c r="C2730" s="12">
        <v>24626.0</v>
      </c>
      <c r="D2730" s="11" t="str">
        <f t="shared" si="1"/>
        <v> </v>
      </c>
      <c r="E2730" s="11" t="str">
        <f t="shared" si="2"/>
        <v> </v>
      </c>
    </row>
    <row r="2731" ht="15.75" customHeight="1">
      <c r="A2731" s="11">
        <v>14119.0</v>
      </c>
      <c r="B2731" s="11" t="s">
        <v>2756</v>
      </c>
      <c r="C2731" s="12">
        <v>19885.0</v>
      </c>
      <c r="D2731" s="11" t="str">
        <f t="shared" si="1"/>
        <v> </v>
      </c>
      <c r="E2731" s="11" t="str">
        <f t="shared" si="2"/>
        <v> </v>
      </c>
    </row>
    <row r="2732" ht="15.75" customHeight="1">
      <c r="A2732" s="11">
        <v>14120.0</v>
      </c>
      <c r="B2732" s="11" t="s">
        <v>2757</v>
      </c>
      <c r="C2732" s="12">
        <v>19553.0</v>
      </c>
      <c r="D2732" s="11" t="str">
        <f t="shared" si="1"/>
        <v> </v>
      </c>
      <c r="E2732" s="11" t="str">
        <f t="shared" si="2"/>
        <v> </v>
      </c>
    </row>
    <row r="2733" ht="15.75" customHeight="1">
      <c r="A2733" s="11">
        <v>14121.0</v>
      </c>
      <c r="B2733" s="11" t="s">
        <v>2758</v>
      </c>
      <c r="C2733" s="12">
        <v>21929.0</v>
      </c>
      <c r="D2733" s="11" t="str">
        <f t="shared" si="1"/>
        <v> </v>
      </c>
      <c r="E2733" s="11" t="str">
        <f t="shared" si="2"/>
        <v> </v>
      </c>
    </row>
    <row r="2734" ht="15.75" customHeight="1">
      <c r="A2734" s="11">
        <v>14123.0</v>
      </c>
      <c r="B2734" s="11" t="s">
        <v>2759</v>
      </c>
      <c r="C2734" s="12">
        <v>32620.0</v>
      </c>
      <c r="D2734" s="11" t="str">
        <f t="shared" si="1"/>
        <v> </v>
      </c>
      <c r="E2734" s="11" t="str">
        <f t="shared" si="2"/>
        <v> </v>
      </c>
    </row>
    <row r="2735" ht="15.75" customHeight="1">
      <c r="A2735" s="11">
        <v>14124.0</v>
      </c>
      <c r="B2735" s="11" t="s">
        <v>2760</v>
      </c>
      <c r="C2735" s="12">
        <v>17258.0</v>
      </c>
      <c r="D2735" s="11" t="str">
        <f t="shared" si="1"/>
        <v> </v>
      </c>
      <c r="E2735" s="11" t="str">
        <f t="shared" si="2"/>
        <v> </v>
      </c>
    </row>
    <row r="2736" ht="15.75" customHeight="1">
      <c r="A2736" s="11">
        <v>14125.0</v>
      </c>
      <c r="B2736" s="11" t="s">
        <v>2761</v>
      </c>
      <c r="C2736" s="12">
        <v>20213.0</v>
      </c>
      <c r="D2736" s="11" t="str">
        <f t="shared" si="1"/>
        <v> </v>
      </c>
      <c r="E2736" s="11" t="str">
        <f t="shared" si="2"/>
        <v> </v>
      </c>
    </row>
    <row r="2737" ht="15.75" customHeight="1">
      <c r="A2737" s="11">
        <v>14126.0</v>
      </c>
      <c r="B2737" s="11" t="s">
        <v>2762</v>
      </c>
      <c r="C2737" s="12">
        <v>18823.0</v>
      </c>
      <c r="D2737" s="11" t="str">
        <f t="shared" si="1"/>
        <v> </v>
      </c>
      <c r="E2737" s="11" t="str">
        <f t="shared" si="2"/>
        <v> </v>
      </c>
    </row>
    <row r="2738" ht="15.75" customHeight="1">
      <c r="A2738" s="11">
        <v>14127.0</v>
      </c>
      <c r="B2738" s="11" t="s">
        <v>2763</v>
      </c>
      <c r="C2738" s="12">
        <v>28053.0</v>
      </c>
      <c r="D2738" s="11" t="str">
        <f t="shared" si="1"/>
        <v> </v>
      </c>
      <c r="E2738" s="11" t="str">
        <f t="shared" si="2"/>
        <v> </v>
      </c>
    </row>
    <row r="2739" ht="15.75" customHeight="1">
      <c r="A2739" s="11">
        <v>14128.0</v>
      </c>
      <c r="B2739" s="11" t="s">
        <v>2764</v>
      </c>
      <c r="C2739" s="12">
        <v>26319.0</v>
      </c>
      <c r="D2739" s="11" t="str">
        <f t="shared" si="1"/>
        <v> </v>
      </c>
      <c r="E2739" s="11" t="str">
        <f t="shared" si="2"/>
        <v> </v>
      </c>
    </row>
    <row r="2740" ht="15.75" customHeight="1">
      <c r="A2740" s="11">
        <v>14129.0</v>
      </c>
      <c r="B2740" s="11" t="s">
        <v>2765</v>
      </c>
      <c r="C2740" s="12">
        <v>32875.0</v>
      </c>
      <c r="D2740" s="11" t="str">
        <f t="shared" si="1"/>
        <v> </v>
      </c>
      <c r="E2740" s="11" t="str">
        <f t="shared" si="2"/>
        <v> </v>
      </c>
    </row>
    <row r="2741" ht="15.75" customHeight="1">
      <c r="A2741" s="11">
        <v>14130.0</v>
      </c>
      <c r="B2741" s="11" t="s">
        <v>2766</v>
      </c>
      <c r="C2741" s="12">
        <v>28018.0</v>
      </c>
      <c r="D2741" s="11" t="str">
        <f t="shared" si="1"/>
        <v> </v>
      </c>
      <c r="E2741" s="11" t="str">
        <f t="shared" si="2"/>
        <v> </v>
      </c>
    </row>
    <row r="2742" ht="15.75" customHeight="1">
      <c r="A2742" s="11">
        <v>14131.0</v>
      </c>
      <c r="B2742" s="11" t="s">
        <v>2767</v>
      </c>
      <c r="C2742" s="12">
        <v>29855.0</v>
      </c>
      <c r="D2742" s="11" t="str">
        <f t="shared" si="1"/>
        <v> </v>
      </c>
      <c r="E2742" s="11" t="str">
        <f t="shared" si="2"/>
        <v> </v>
      </c>
    </row>
    <row r="2743" ht="15.75" customHeight="1">
      <c r="A2743" s="11">
        <v>14132.0</v>
      </c>
      <c r="B2743" s="11" t="s">
        <v>2768</v>
      </c>
      <c r="C2743" s="12">
        <v>22172.0</v>
      </c>
      <c r="D2743" s="11" t="str">
        <f t="shared" si="1"/>
        <v> </v>
      </c>
      <c r="E2743" s="11" t="str">
        <f t="shared" si="2"/>
        <v> </v>
      </c>
    </row>
    <row r="2744" ht="15.75" customHeight="1">
      <c r="A2744" s="11">
        <v>14134.0</v>
      </c>
      <c r="B2744" s="11" t="s">
        <v>2769</v>
      </c>
      <c r="C2744" s="12">
        <v>22167.0</v>
      </c>
      <c r="D2744" s="11" t="str">
        <f t="shared" si="1"/>
        <v> </v>
      </c>
      <c r="E2744" s="11" t="str">
        <f t="shared" si="2"/>
        <v> </v>
      </c>
    </row>
    <row r="2745" ht="15.75" customHeight="1">
      <c r="A2745" s="11">
        <v>14135.0</v>
      </c>
      <c r="B2745" s="11" t="s">
        <v>2770</v>
      </c>
      <c r="C2745" s="12">
        <v>17862.0</v>
      </c>
      <c r="D2745" s="11" t="str">
        <f t="shared" si="1"/>
        <v> </v>
      </c>
      <c r="E2745" s="11" t="str">
        <f t="shared" si="2"/>
        <v> </v>
      </c>
    </row>
    <row r="2746" ht="15.75" customHeight="1">
      <c r="A2746" s="11">
        <v>14136.0</v>
      </c>
      <c r="B2746" s="11" t="s">
        <v>2771</v>
      </c>
      <c r="C2746" s="12">
        <v>10575.0</v>
      </c>
      <c r="D2746" s="11" t="str">
        <f t="shared" si="1"/>
        <v> </v>
      </c>
      <c r="E2746" s="11" t="str">
        <f t="shared" si="2"/>
        <v> </v>
      </c>
    </row>
    <row r="2747" ht="15.75" customHeight="1">
      <c r="A2747" s="11">
        <v>14137.0</v>
      </c>
      <c r="B2747" s="11" t="s">
        <v>2772</v>
      </c>
      <c r="C2747" s="12">
        <v>19849.0</v>
      </c>
      <c r="D2747" s="11" t="str">
        <f t="shared" si="1"/>
        <v> </v>
      </c>
      <c r="E2747" s="11" t="str">
        <f t="shared" si="2"/>
        <v> </v>
      </c>
    </row>
    <row r="2748" ht="15.75" customHeight="1">
      <c r="A2748" s="11">
        <v>14138.0</v>
      </c>
      <c r="B2748" s="11" t="s">
        <v>2773</v>
      </c>
      <c r="C2748" s="12">
        <v>30220.0</v>
      </c>
      <c r="D2748" s="11" t="str">
        <f t="shared" si="1"/>
        <v> </v>
      </c>
      <c r="E2748" s="11" t="str">
        <f t="shared" si="2"/>
        <v> </v>
      </c>
    </row>
    <row r="2749" ht="15.75" customHeight="1">
      <c r="A2749" s="11">
        <v>14139.0</v>
      </c>
      <c r="B2749" s="11" t="s">
        <v>2774</v>
      </c>
      <c r="C2749" s="12">
        <v>17430.0</v>
      </c>
      <c r="D2749" s="11" t="str">
        <f t="shared" si="1"/>
        <v> </v>
      </c>
      <c r="E2749" s="11" t="str">
        <f t="shared" si="2"/>
        <v> </v>
      </c>
    </row>
    <row r="2750" ht="15.75" customHeight="1">
      <c r="A2750" s="11">
        <v>14140.0</v>
      </c>
      <c r="B2750" s="11" t="s">
        <v>2775</v>
      </c>
      <c r="C2750" s="12">
        <v>19016.0</v>
      </c>
      <c r="D2750" s="11" t="str">
        <f t="shared" si="1"/>
        <v> </v>
      </c>
      <c r="E2750" s="11" t="str">
        <f t="shared" si="2"/>
        <v> </v>
      </c>
    </row>
    <row r="2751" ht="15.75" customHeight="1">
      <c r="A2751" s="11">
        <v>14141.0</v>
      </c>
      <c r="B2751" s="11" t="s">
        <v>2776</v>
      </c>
      <c r="C2751" s="12">
        <v>24288.0</v>
      </c>
      <c r="D2751" s="11" t="str">
        <f t="shared" si="1"/>
        <v> </v>
      </c>
      <c r="E2751" s="11" t="str">
        <f t="shared" si="2"/>
        <v> </v>
      </c>
    </row>
    <row r="2752" ht="15.75" customHeight="1">
      <c r="A2752" s="11">
        <v>14142.0</v>
      </c>
      <c r="B2752" s="11" t="s">
        <v>2777</v>
      </c>
      <c r="C2752" s="12">
        <v>10205.0</v>
      </c>
      <c r="D2752" s="11" t="str">
        <f t="shared" si="1"/>
        <v> </v>
      </c>
      <c r="E2752" s="11" t="str">
        <f t="shared" si="2"/>
        <v> </v>
      </c>
    </row>
    <row r="2753" ht="15.75" customHeight="1">
      <c r="A2753" s="11">
        <v>14143.0</v>
      </c>
      <c r="B2753" s="11" t="s">
        <v>2778</v>
      </c>
      <c r="C2753" s="12">
        <v>27676.0</v>
      </c>
      <c r="D2753" s="11" t="str">
        <f t="shared" si="1"/>
        <v> </v>
      </c>
      <c r="E2753" s="11" t="str">
        <f t="shared" si="2"/>
        <v> </v>
      </c>
    </row>
    <row r="2754" ht="15.75" customHeight="1">
      <c r="A2754" s="11">
        <v>14144.0</v>
      </c>
      <c r="B2754" s="11" t="s">
        <v>2779</v>
      </c>
      <c r="C2754" s="12">
        <v>15387.0</v>
      </c>
      <c r="D2754" s="11" t="str">
        <f t="shared" si="1"/>
        <v> </v>
      </c>
      <c r="E2754" s="11" t="str">
        <f t="shared" si="2"/>
        <v> </v>
      </c>
    </row>
    <row r="2755" ht="15.75" customHeight="1">
      <c r="A2755" s="11">
        <v>14148.0</v>
      </c>
      <c r="B2755" s="11" t="s">
        <v>2780</v>
      </c>
      <c r="C2755" s="12">
        <v>25500.0</v>
      </c>
      <c r="D2755" s="11" t="str">
        <f t="shared" si="1"/>
        <v> </v>
      </c>
      <c r="E2755" s="11" t="str">
        <f t="shared" si="2"/>
        <v> </v>
      </c>
    </row>
    <row r="2756" ht="15.75" customHeight="1">
      <c r="A2756" s="11">
        <v>14151.0</v>
      </c>
      <c r="B2756" s="11" t="s">
        <v>2781</v>
      </c>
      <c r="C2756" s="12">
        <v>17139.0</v>
      </c>
      <c r="D2756" s="11" t="str">
        <f t="shared" si="1"/>
        <v> </v>
      </c>
      <c r="E2756" s="11" t="str">
        <f t="shared" si="2"/>
        <v> </v>
      </c>
    </row>
    <row r="2757" ht="15.75" customHeight="1">
      <c r="A2757" s="11">
        <v>14152.0</v>
      </c>
      <c r="B2757" s="11" t="s">
        <v>2782</v>
      </c>
      <c r="C2757" s="12">
        <v>25368.0</v>
      </c>
      <c r="D2757" s="11" t="str">
        <f t="shared" si="1"/>
        <v> </v>
      </c>
      <c r="E2757" s="11" t="str">
        <f t="shared" si="2"/>
        <v> </v>
      </c>
    </row>
    <row r="2758" ht="15.75" customHeight="1">
      <c r="A2758" s="11">
        <v>14155.0</v>
      </c>
      <c r="B2758" s="11" t="s">
        <v>2783</v>
      </c>
      <c r="C2758" s="12">
        <v>20002.0</v>
      </c>
      <c r="D2758" s="11" t="str">
        <f t="shared" si="1"/>
        <v> </v>
      </c>
      <c r="E2758" s="11" t="str">
        <f t="shared" si="2"/>
        <v> </v>
      </c>
    </row>
    <row r="2759" ht="15.75" customHeight="1">
      <c r="A2759" s="11">
        <v>14156.0</v>
      </c>
      <c r="B2759" s="11" t="s">
        <v>2784</v>
      </c>
      <c r="C2759" s="12">
        <v>18022.0</v>
      </c>
      <c r="D2759" s="11" t="str">
        <f t="shared" si="1"/>
        <v> </v>
      </c>
      <c r="E2759" s="11" t="str">
        <f t="shared" si="2"/>
        <v> </v>
      </c>
    </row>
    <row r="2760" ht="15.75" customHeight="1">
      <c r="A2760" s="11">
        <v>14158.0</v>
      </c>
      <c r="B2760" s="11" t="s">
        <v>2785</v>
      </c>
      <c r="C2760" s="12">
        <v>14321.0</v>
      </c>
      <c r="D2760" s="11" t="str">
        <f t="shared" si="1"/>
        <v> </v>
      </c>
      <c r="E2760" s="11" t="str">
        <f t="shared" si="2"/>
        <v> </v>
      </c>
    </row>
    <row r="2761" ht="15.75" customHeight="1">
      <c r="A2761" s="11">
        <v>14159.0</v>
      </c>
      <c r="B2761" s="11" t="s">
        <v>2786</v>
      </c>
      <c r="C2761" s="12">
        <v>31274.0</v>
      </c>
      <c r="D2761" s="11" t="str">
        <f t="shared" si="1"/>
        <v> </v>
      </c>
      <c r="E2761" s="11" t="str">
        <f t="shared" si="2"/>
        <v> </v>
      </c>
    </row>
    <row r="2762" ht="15.75" customHeight="1">
      <c r="A2762" s="11">
        <v>14160.0</v>
      </c>
      <c r="B2762" s="11" t="s">
        <v>2787</v>
      </c>
      <c r="C2762" s="12">
        <v>29818.0</v>
      </c>
      <c r="D2762" s="11" t="str">
        <f t="shared" si="1"/>
        <v> </v>
      </c>
      <c r="E2762" s="11" t="str">
        <f t="shared" si="2"/>
        <v> </v>
      </c>
    </row>
    <row r="2763" ht="15.75" customHeight="1">
      <c r="A2763" s="11">
        <v>14161.0</v>
      </c>
      <c r="B2763" s="11" t="s">
        <v>2788</v>
      </c>
      <c r="C2763" s="12">
        <v>18739.0</v>
      </c>
      <c r="D2763" s="11" t="str">
        <f t="shared" si="1"/>
        <v> </v>
      </c>
      <c r="E2763" s="11" t="str">
        <f t="shared" si="2"/>
        <v> </v>
      </c>
    </row>
    <row r="2764" ht="15.75" customHeight="1">
      <c r="A2764" s="11">
        <v>14162.0</v>
      </c>
      <c r="B2764" s="11" t="s">
        <v>2789</v>
      </c>
      <c r="C2764" s="12">
        <v>35966.0</v>
      </c>
      <c r="D2764" s="11" t="str">
        <f t="shared" si="1"/>
        <v> </v>
      </c>
      <c r="E2764" s="11" t="str">
        <f t="shared" si="2"/>
        <v> </v>
      </c>
    </row>
    <row r="2765" ht="15.75" customHeight="1">
      <c r="A2765" s="11">
        <v>14167.0</v>
      </c>
      <c r="B2765" s="11" t="s">
        <v>2790</v>
      </c>
      <c r="C2765" s="12">
        <v>30502.0</v>
      </c>
      <c r="D2765" s="11" t="str">
        <f t="shared" si="1"/>
        <v> </v>
      </c>
      <c r="E2765" s="11" t="str">
        <f t="shared" si="2"/>
        <v> </v>
      </c>
    </row>
    <row r="2766" ht="15.75" customHeight="1">
      <c r="A2766" s="11">
        <v>14169.0</v>
      </c>
      <c r="B2766" s="11" t="s">
        <v>2791</v>
      </c>
      <c r="C2766" s="12">
        <v>21779.0</v>
      </c>
      <c r="D2766" s="11" t="str">
        <f t="shared" si="1"/>
        <v> </v>
      </c>
      <c r="E2766" s="11" t="str">
        <f t="shared" si="2"/>
        <v> </v>
      </c>
    </row>
    <row r="2767" ht="15.75" customHeight="1">
      <c r="A2767" s="11">
        <v>14170.0</v>
      </c>
      <c r="B2767" s="11" t="s">
        <v>2792</v>
      </c>
      <c r="C2767" s="12">
        <v>21080.0</v>
      </c>
      <c r="D2767" s="11" t="str">
        <f t="shared" si="1"/>
        <v> </v>
      </c>
      <c r="E2767" s="11" t="str">
        <f t="shared" si="2"/>
        <v> </v>
      </c>
    </row>
    <row r="2768" ht="15.75" customHeight="1">
      <c r="A2768" s="11">
        <v>14172.0</v>
      </c>
      <c r="B2768" s="11" t="s">
        <v>2793</v>
      </c>
      <c r="C2768" s="12">
        <v>17875.0</v>
      </c>
      <c r="D2768" s="11" t="str">
        <f t="shared" si="1"/>
        <v>Repeat</v>
      </c>
      <c r="E2768" s="11" t="str">
        <f t="shared" si="2"/>
        <v> </v>
      </c>
    </row>
    <row r="2769" ht="15.75" customHeight="1">
      <c r="A2769" s="11">
        <v>14173.0</v>
      </c>
      <c r="B2769" s="11" t="s">
        <v>2794</v>
      </c>
      <c r="C2769" s="12">
        <v>24813.0</v>
      </c>
      <c r="D2769" s="11" t="str">
        <f t="shared" si="1"/>
        <v> </v>
      </c>
      <c r="E2769" s="11" t="str">
        <f t="shared" si="2"/>
        <v> </v>
      </c>
    </row>
    <row r="2770" ht="15.75" customHeight="1">
      <c r="A2770" s="11">
        <v>14174.0</v>
      </c>
      <c r="B2770" s="11" t="s">
        <v>2795</v>
      </c>
      <c r="C2770" s="12">
        <v>20551.0</v>
      </c>
      <c r="D2770" s="11" t="str">
        <f t="shared" si="1"/>
        <v> </v>
      </c>
      <c r="E2770" s="11" t="str">
        <f t="shared" si="2"/>
        <v> </v>
      </c>
    </row>
    <row r="2771" ht="15.75" customHeight="1">
      <c r="A2771" s="11">
        <v>14176.0</v>
      </c>
      <c r="B2771" s="11" t="s">
        <v>2796</v>
      </c>
      <c r="C2771" s="12">
        <v>25015.0</v>
      </c>
      <c r="D2771" s="11" t="str">
        <f t="shared" si="1"/>
        <v> </v>
      </c>
      <c r="E2771" s="11" t="str">
        <f t="shared" si="2"/>
        <v> </v>
      </c>
    </row>
    <row r="2772" ht="15.75" customHeight="1">
      <c r="A2772" s="11">
        <v>14177.0</v>
      </c>
      <c r="B2772" s="11" t="s">
        <v>2797</v>
      </c>
      <c r="C2772" s="12">
        <v>17826.0</v>
      </c>
      <c r="D2772" s="11" t="str">
        <f t="shared" si="1"/>
        <v> </v>
      </c>
      <c r="E2772" s="11" t="str">
        <f t="shared" si="2"/>
        <v> </v>
      </c>
    </row>
    <row r="2773" ht="15.75" customHeight="1">
      <c r="A2773" s="11">
        <v>14178.0</v>
      </c>
      <c r="B2773" s="11" t="s">
        <v>2798</v>
      </c>
      <c r="C2773" s="12">
        <v>20540.0</v>
      </c>
      <c r="D2773" s="11" t="str">
        <f t="shared" si="1"/>
        <v> </v>
      </c>
      <c r="E2773" s="11" t="str">
        <f t="shared" si="2"/>
        <v> </v>
      </c>
    </row>
    <row r="2774" ht="15.75" customHeight="1">
      <c r="A2774" s="11">
        <v>14179.0</v>
      </c>
      <c r="B2774" s="11" t="s">
        <v>2799</v>
      </c>
      <c r="C2774" s="12">
        <v>19507.0</v>
      </c>
      <c r="D2774" s="11" t="str">
        <f t="shared" si="1"/>
        <v> </v>
      </c>
      <c r="E2774" s="11" t="str">
        <f t="shared" si="2"/>
        <v> </v>
      </c>
    </row>
    <row r="2775" ht="15.75" customHeight="1">
      <c r="A2775" s="11">
        <v>14180.0</v>
      </c>
      <c r="B2775" s="11" t="s">
        <v>2800</v>
      </c>
      <c r="C2775" s="12">
        <v>33139.0</v>
      </c>
      <c r="D2775" s="11" t="str">
        <f t="shared" si="1"/>
        <v> </v>
      </c>
      <c r="E2775" s="11" t="str">
        <f t="shared" si="2"/>
        <v> </v>
      </c>
    </row>
    <row r="2776" ht="15.75" customHeight="1">
      <c r="A2776" s="11">
        <v>14181.0</v>
      </c>
      <c r="B2776" s="11" t="s">
        <v>2801</v>
      </c>
      <c r="C2776" s="12">
        <v>14883.0</v>
      </c>
      <c r="D2776" s="11" t="str">
        <f t="shared" si="1"/>
        <v> </v>
      </c>
      <c r="E2776" s="11" t="str">
        <f t="shared" si="2"/>
        <v> </v>
      </c>
    </row>
    <row r="2777" ht="15.75" customHeight="1">
      <c r="A2777" s="11">
        <v>14183.0</v>
      </c>
      <c r="B2777" s="11" t="s">
        <v>2802</v>
      </c>
      <c r="C2777" s="12">
        <v>17152.0</v>
      </c>
      <c r="D2777" s="11" t="str">
        <f t="shared" si="1"/>
        <v> </v>
      </c>
      <c r="E2777" s="11" t="str">
        <f t="shared" si="2"/>
        <v> </v>
      </c>
    </row>
    <row r="2778" ht="15.75" customHeight="1">
      <c r="A2778" s="11">
        <v>14184.0</v>
      </c>
      <c r="B2778" s="11" t="s">
        <v>2803</v>
      </c>
      <c r="C2778" s="12">
        <v>21084.0</v>
      </c>
      <c r="D2778" s="11" t="str">
        <f t="shared" si="1"/>
        <v> </v>
      </c>
      <c r="E2778" s="11" t="str">
        <f t="shared" si="2"/>
        <v> </v>
      </c>
    </row>
    <row r="2779" ht="15.75" customHeight="1">
      <c r="A2779" s="11">
        <v>14185.0</v>
      </c>
      <c r="B2779" s="11" t="s">
        <v>2804</v>
      </c>
      <c r="C2779" s="12">
        <v>9736.0</v>
      </c>
      <c r="D2779" s="11" t="str">
        <f t="shared" si="1"/>
        <v> </v>
      </c>
      <c r="E2779" s="11" t="str">
        <f t="shared" si="2"/>
        <v> </v>
      </c>
    </row>
    <row r="2780" ht="15.75" customHeight="1">
      <c r="A2780" s="11">
        <v>14186.0</v>
      </c>
      <c r="B2780" s="11" t="s">
        <v>2805</v>
      </c>
      <c r="C2780" s="12">
        <v>22075.0</v>
      </c>
      <c r="D2780" s="11" t="str">
        <f t="shared" si="1"/>
        <v> </v>
      </c>
      <c r="E2780" s="11" t="str">
        <f t="shared" si="2"/>
        <v> </v>
      </c>
    </row>
    <row r="2781" ht="15.75" customHeight="1">
      <c r="A2781" s="11">
        <v>14187.0</v>
      </c>
      <c r="B2781" s="11" t="s">
        <v>2806</v>
      </c>
      <c r="C2781" s="12">
        <v>29547.0</v>
      </c>
      <c r="D2781" s="11" t="str">
        <f t="shared" si="1"/>
        <v> </v>
      </c>
      <c r="E2781" s="11" t="str">
        <f t="shared" si="2"/>
        <v> </v>
      </c>
    </row>
    <row r="2782" ht="15.75" customHeight="1">
      <c r="A2782" s="11">
        <v>14188.0</v>
      </c>
      <c r="B2782" s="11" t="s">
        <v>2807</v>
      </c>
      <c r="C2782" s="12">
        <v>23480.0</v>
      </c>
      <c r="D2782" s="11" t="str">
        <f t="shared" si="1"/>
        <v> </v>
      </c>
      <c r="E2782" s="11" t="str">
        <f t="shared" si="2"/>
        <v> </v>
      </c>
    </row>
    <row r="2783" ht="15.75" customHeight="1">
      <c r="A2783" s="11">
        <v>14189.0</v>
      </c>
      <c r="B2783" s="11" t="s">
        <v>2808</v>
      </c>
      <c r="C2783" s="12">
        <v>22743.0</v>
      </c>
      <c r="D2783" s="11" t="str">
        <f t="shared" si="1"/>
        <v> </v>
      </c>
      <c r="E2783" s="11" t="str">
        <f t="shared" si="2"/>
        <v> </v>
      </c>
    </row>
    <row r="2784" ht="15.75" customHeight="1">
      <c r="A2784" s="11">
        <v>14190.0</v>
      </c>
      <c r="B2784" s="11" t="s">
        <v>2809</v>
      </c>
      <c r="C2784" s="12">
        <v>19659.0</v>
      </c>
      <c r="D2784" s="11" t="str">
        <f t="shared" si="1"/>
        <v> </v>
      </c>
      <c r="E2784" s="11" t="str">
        <f t="shared" si="2"/>
        <v> </v>
      </c>
    </row>
    <row r="2785" ht="15.75" customHeight="1">
      <c r="A2785" s="11">
        <v>14191.0</v>
      </c>
      <c r="B2785" s="11" t="s">
        <v>2810</v>
      </c>
      <c r="C2785" s="12">
        <v>28526.0</v>
      </c>
      <c r="D2785" s="11" t="str">
        <f t="shared" si="1"/>
        <v> </v>
      </c>
      <c r="E2785" s="11" t="str">
        <f t="shared" si="2"/>
        <v> </v>
      </c>
    </row>
    <row r="2786" ht="15.75" customHeight="1">
      <c r="A2786" s="11">
        <v>14193.0</v>
      </c>
      <c r="B2786" s="11" t="s">
        <v>2811</v>
      </c>
      <c r="C2786" s="12">
        <v>24527.0</v>
      </c>
      <c r="D2786" s="11" t="str">
        <f t="shared" si="1"/>
        <v> </v>
      </c>
      <c r="E2786" s="11" t="str">
        <f t="shared" si="2"/>
        <v> </v>
      </c>
    </row>
    <row r="2787" ht="15.75" customHeight="1">
      <c r="A2787" s="11">
        <v>14194.0</v>
      </c>
      <c r="B2787" s="11" t="s">
        <v>2812</v>
      </c>
      <c r="C2787" s="12">
        <v>25721.0</v>
      </c>
      <c r="D2787" s="11" t="str">
        <f t="shared" si="1"/>
        <v> </v>
      </c>
      <c r="E2787" s="11" t="str">
        <f t="shared" si="2"/>
        <v> </v>
      </c>
    </row>
    <row r="2788" ht="15.75" customHeight="1">
      <c r="A2788" s="11">
        <v>14195.0</v>
      </c>
      <c r="B2788" s="11" t="s">
        <v>2813</v>
      </c>
      <c r="C2788" s="12">
        <v>12757.0</v>
      </c>
      <c r="D2788" s="11" t="str">
        <f t="shared" si="1"/>
        <v> </v>
      </c>
      <c r="E2788" s="11" t="str">
        <f t="shared" si="2"/>
        <v> </v>
      </c>
    </row>
    <row r="2789" ht="15.75" customHeight="1">
      <c r="A2789" s="11">
        <v>14196.0</v>
      </c>
      <c r="B2789" s="11" t="s">
        <v>2814</v>
      </c>
      <c r="C2789" s="12">
        <v>12003.0</v>
      </c>
      <c r="D2789" s="11" t="str">
        <f t="shared" si="1"/>
        <v> </v>
      </c>
      <c r="E2789" s="11" t="str">
        <f t="shared" si="2"/>
        <v> </v>
      </c>
    </row>
    <row r="2790" ht="15.75" customHeight="1">
      <c r="A2790" s="11">
        <v>14198.0</v>
      </c>
      <c r="B2790" s="11" t="s">
        <v>2815</v>
      </c>
      <c r="C2790" s="12">
        <v>25589.0</v>
      </c>
      <c r="D2790" s="11" t="str">
        <f t="shared" si="1"/>
        <v> </v>
      </c>
      <c r="E2790" s="11" t="str">
        <f t="shared" si="2"/>
        <v> </v>
      </c>
    </row>
    <row r="2791" ht="15.75" customHeight="1">
      <c r="A2791" s="11">
        <v>14199.0</v>
      </c>
      <c r="B2791" s="11" t="s">
        <v>2816</v>
      </c>
      <c r="C2791" s="12">
        <v>18703.0</v>
      </c>
      <c r="D2791" s="11" t="str">
        <f t="shared" si="1"/>
        <v> </v>
      </c>
      <c r="E2791" s="11" t="str">
        <f t="shared" si="2"/>
        <v> </v>
      </c>
    </row>
    <row r="2792" ht="15.75" customHeight="1">
      <c r="A2792" s="11">
        <v>14200.0</v>
      </c>
      <c r="B2792" s="11" t="s">
        <v>2817</v>
      </c>
      <c r="C2792" s="12">
        <v>25722.0</v>
      </c>
      <c r="D2792" s="11" t="str">
        <f t="shared" si="1"/>
        <v> </v>
      </c>
      <c r="E2792" s="11" t="str">
        <f t="shared" si="2"/>
        <v> </v>
      </c>
    </row>
    <row r="2793" ht="15.75" customHeight="1">
      <c r="A2793" s="11">
        <v>14202.0</v>
      </c>
      <c r="B2793" s="11" t="s">
        <v>2818</v>
      </c>
      <c r="C2793" s="12">
        <v>16650.0</v>
      </c>
      <c r="D2793" s="11" t="str">
        <f t="shared" si="1"/>
        <v> </v>
      </c>
      <c r="E2793" s="11" t="str">
        <f t="shared" si="2"/>
        <v> </v>
      </c>
    </row>
    <row r="2794" ht="15.75" customHeight="1">
      <c r="A2794" s="11">
        <v>14206.0</v>
      </c>
      <c r="B2794" s="11" t="s">
        <v>35</v>
      </c>
      <c r="C2794" s="12">
        <v>15810.0</v>
      </c>
      <c r="D2794" s="11" t="str">
        <f t="shared" si="1"/>
        <v>Repeat</v>
      </c>
      <c r="E2794" s="11" t="str">
        <f t="shared" si="2"/>
        <v> </v>
      </c>
    </row>
    <row r="2795" ht="15.75" customHeight="1">
      <c r="A2795" s="11">
        <v>14207.0</v>
      </c>
      <c r="B2795" s="11" t="s">
        <v>2819</v>
      </c>
      <c r="C2795" s="12">
        <v>29917.0</v>
      </c>
      <c r="D2795" s="11" t="str">
        <f t="shared" si="1"/>
        <v> </v>
      </c>
      <c r="E2795" s="11" t="str">
        <f t="shared" si="2"/>
        <v> </v>
      </c>
    </row>
    <row r="2796" ht="15.75" customHeight="1">
      <c r="A2796" s="11">
        <v>14208.0</v>
      </c>
      <c r="B2796" s="11" t="s">
        <v>2820</v>
      </c>
      <c r="C2796" s="12">
        <v>27050.0</v>
      </c>
      <c r="D2796" s="11" t="str">
        <f t="shared" si="1"/>
        <v> </v>
      </c>
      <c r="E2796" s="11" t="str">
        <f t="shared" si="2"/>
        <v> </v>
      </c>
    </row>
    <row r="2797" ht="15.75" customHeight="1">
      <c r="A2797" s="11">
        <v>14209.0</v>
      </c>
      <c r="B2797" s="11" t="s">
        <v>2821</v>
      </c>
      <c r="C2797" s="12">
        <v>20012.0</v>
      </c>
      <c r="D2797" s="11" t="str">
        <f t="shared" si="1"/>
        <v> </v>
      </c>
      <c r="E2797" s="11" t="str">
        <f t="shared" si="2"/>
        <v> </v>
      </c>
    </row>
    <row r="2798" ht="15.75" customHeight="1">
      <c r="A2798" s="11">
        <v>14210.0</v>
      </c>
      <c r="B2798" s="11" t="s">
        <v>2822</v>
      </c>
      <c r="C2798" s="12">
        <v>19397.0</v>
      </c>
      <c r="D2798" s="11" t="str">
        <f t="shared" si="1"/>
        <v> </v>
      </c>
      <c r="E2798" s="11" t="str">
        <f t="shared" si="2"/>
        <v> </v>
      </c>
    </row>
    <row r="2799" ht="15.75" customHeight="1">
      <c r="A2799" s="11">
        <v>14211.0</v>
      </c>
      <c r="B2799" s="11" t="s">
        <v>2823</v>
      </c>
      <c r="C2799" s="12">
        <v>32369.0</v>
      </c>
      <c r="D2799" s="11" t="str">
        <f t="shared" si="1"/>
        <v> </v>
      </c>
      <c r="E2799" s="11" t="str">
        <f t="shared" si="2"/>
        <v> </v>
      </c>
    </row>
    <row r="2800" ht="15.75" customHeight="1">
      <c r="A2800" s="11">
        <v>14212.0</v>
      </c>
      <c r="B2800" s="11" t="s">
        <v>2824</v>
      </c>
      <c r="C2800" s="12">
        <v>21952.0</v>
      </c>
      <c r="D2800" s="11" t="str">
        <f t="shared" si="1"/>
        <v> </v>
      </c>
      <c r="E2800" s="11" t="str">
        <f t="shared" si="2"/>
        <v> </v>
      </c>
    </row>
    <row r="2801" ht="15.75" customHeight="1">
      <c r="A2801" s="11">
        <v>14214.0</v>
      </c>
      <c r="B2801" s="11" t="s">
        <v>2825</v>
      </c>
      <c r="C2801" s="12">
        <v>18489.0</v>
      </c>
      <c r="D2801" s="11" t="str">
        <f t="shared" si="1"/>
        <v> </v>
      </c>
      <c r="E2801" s="11" t="str">
        <f t="shared" si="2"/>
        <v> </v>
      </c>
    </row>
    <row r="2802" ht="15.75" customHeight="1">
      <c r="A2802" s="11">
        <v>14215.0</v>
      </c>
      <c r="B2802" s="11" t="s">
        <v>2826</v>
      </c>
      <c r="C2802" s="12">
        <v>11993.0</v>
      </c>
      <c r="D2802" s="11" t="str">
        <f t="shared" si="1"/>
        <v> </v>
      </c>
      <c r="E2802" s="11" t="str">
        <f t="shared" si="2"/>
        <v> </v>
      </c>
    </row>
    <row r="2803" ht="15.75" customHeight="1">
      <c r="A2803" s="11">
        <v>14216.0</v>
      </c>
      <c r="B2803" s="11" t="s">
        <v>2827</v>
      </c>
      <c r="C2803" s="12">
        <v>22769.0</v>
      </c>
      <c r="D2803" s="11" t="str">
        <f t="shared" si="1"/>
        <v> </v>
      </c>
      <c r="E2803" s="11" t="str">
        <f t="shared" si="2"/>
        <v> </v>
      </c>
    </row>
    <row r="2804" ht="15.75" customHeight="1">
      <c r="A2804" s="11">
        <v>14217.0</v>
      </c>
      <c r="B2804" s="11" t="s">
        <v>2828</v>
      </c>
      <c r="C2804" s="12">
        <v>18042.0</v>
      </c>
      <c r="D2804" s="11" t="str">
        <f t="shared" si="1"/>
        <v> </v>
      </c>
      <c r="E2804" s="11" t="str">
        <f t="shared" si="2"/>
        <v> </v>
      </c>
    </row>
    <row r="2805" ht="15.75" customHeight="1">
      <c r="A2805" s="11">
        <v>14219.0</v>
      </c>
      <c r="B2805" s="11" t="s">
        <v>2829</v>
      </c>
      <c r="C2805" s="12">
        <v>24977.0</v>
      </c>
      <c r="D2805" s="11" t="str">
        <f t="shared" si="1"/>
        <v> </v>
      </c>
      <c r="E2805" s="11" t="str">
        <f t="shared" si="2"/>
        <v> </v>
      </c>
    </row>
    <row r="2806" ht="15.75" customHeight="1">
      <c r="A2806" s="11">
        <v>14220.0</v>
      </c>
      <c r="B2806" s="11" t="s">
        <v>2830</v>
      </c>
      <c r="C2806" s="12">
        <v>19644.0</v>
      </c>
      <c r="D2806" s="11" t="str">
        <f t="shared" si="1"/>
        <v> </v>
      </c>
      <c r="E2806" s="11" t="str">
        <f t="shared" si="2"/>
        <v> </v>
      </c>
    </row>
    <row r="2807" ht="15.75" customHeight="1">
      <c r="A2807" s="11">
        <v>14221.0</v>
      </c>
      <c r="B2807" s="11" t="s">
        <v>2831</v>
      </c>
      <c r="C2807" s="12">
        <v>21290.0</v>
      </c>
      <c r="D2807" s="11" t="str">
        <f t="shared" si="1"/>
        <v> </v>
      </c>
      <c r="E2807" s="11" t="str">
        <f t="shared" si="2"/>
        <v> </v>
      </c>
    </row>
    <row r="2808" ht="15.75" customHeight="1">
      <c r="A2808" s="11">
        <v>14222.0</v>
      </c>
      <c r="B2808" s="11" t="s">
        <v>1249</v>
      </c>
      <c r="C2808" s="12">
        <v>28004.0</v>
      </c>
      <c r="D2808" s="11" t="str">
        <f t="shared" si="1"/>
        <v>Repeat</v>
      </c>
      <c r="E2808" s="11" t="str">
        <f t="shared" si="2"/>
        <v> </v>
      </c>
    </row>
    <row r="2809" ht="15.75" customHeight="1">
      <c r="A2809" s="11">
        <v>14223.0</v>
      </c>
      <c r="B2809" s="11" t="s">
        <v>2832</v>
      </c>
      <c r="C2809" s="12">
        <v>20577.0</v>
      </c>
      <c r="D2809" s="11" t="str">
        <f t="shared" si="1"/>
        <v> </v>
      </c>
      <c r="E2809" s="11" t="str">
        <f t="shared" si="2"/>
        <v> </v>
      </c>
    </row>
    <row r="2810" ht="15.75" customHeight="1">
      <c r="A2810" s="11">
        <v>14225.0</v>
      </c>
      <c r="B2810" s="11" t="s">
        <v>2833</v>
      </c>
      <c r="C2810" s="12">
        <v>17071.0</v>
      </c>
      <c r="D2810" s="11" t="str">
        <f t="shared" si="1"/>
        <v> </v>
      </c>
      <c r="E2810" s="11" t="str">
        <f t="shared" si="2"/>
        <v> </v>
      </c>
    </row>
    <row r="2811" ht="15.75" customHeight="1">
      <c r="A2811" s="11">
        <v>14226.0</v>
      </c>
      <c r="B2811" s="11" t="s">
        <v>2834</v>
      </c>
      <c r="C2811" s="12">
        <v>16704.0</v>
      </c>
      <c r="D2811" s="11" t="str">
        <f t="shared" si="1"/>
        <v> </v>
      </c>
      <c r="E2811" s="11" t="str">
        <f t="shared" si="2"/>
        <v> </v>
      </c>
    </row>
    <row r="2812" ht="15.75" customHeight="1">
      <c r="A2812" s="11">
        <v>14228.0</v>
      </c>
      <c r="B2812" s="11" t="s">
        <v>2835</v>
      </c>
      <c r="C2812" s="12">
        <v>22037.0</v>
      </c>
      <c r="D2812" s="11" t="str">
        <f t="shared" si="1"/>
        <v> </v>
      </c>
      <c r="E2812" s="11" t="str">
        <f t="shared" si="2"/>
        <v> </v>
      </c>
    </row>
    <row r="2813" ht="15.75" customHeight="1">
      <c r="A2813" s="11">
        <v>14229.0</v>
      </c>
      <c r="B2813" s="11" t="s">
        <v>2836</v>
      </c>
      <c r="C2813" s="12">
        <v>24199.0</v>
      </c>
      <c r="D2813" s="11" t="str">
        <f t="shared" si="1"/>
        <v> </v>
      </c>
      <c r="E2813" s="11" t="str">
        <f t="shared" si="2"/>
        <v> </v>
      </c>
    </row>
    <row r="2814" ht="15.75" customHeight="1">
      <c r="A2814" s="11">
        <v>14230.0</v>
      </c>
      <c r="B2814" s="11" t="s">
        <v>2837</v>
      </c>
      <c r="C2814" s="12">
        <v>33648.0</v>
      </c>
      <c r="D2814" s="11" t="str">
        <f t="shared" si="1"/>
        <v> </v>
      </c>
      <c r="E2814" s="11" t="str">
        <f t="shared" si="2"/>
        <v> </v>
      </c>
    </row>
    <row r="2815" ht="15.75" customHeight="1">
      <c r="A2815" s="11">
        <v>14232.0</v>
      </c>
      <c r="B2815" s="11" t="s">
        <v>2838</v>
      </c>
      <c r="C2815" s="12">
        <v>22432.0</v>
      </c>
      <c r="D2815" s="11" t="str">
        <f t="shared" si="1"/>
        <v> </v>
      </c>
      <c r="E2815" s="11" t="str">
        <f t="shared" si="2"/>
        <v> </v>
      </c>
    </row>
    <row r="2816" ht="15.75" customHeight="1">
      <c r="A2816" s="11">
        <v>14233.0</v>
      </c>
      <c r="B2816" s="11" t="s">
        <v>2839</v>
      </c>
      <c r="C2816" s="12">
        <v>27132.0</v>
      </c>
      <c r="D2816" s="11" t="str">
        <f t="shared" si="1"/>
        <v> </v>
      </c>
      <c r="E2816" s="11" t="str">
        <f t="shared" si="2"/>
        <v> </v>
      </c>
    </row>
    <row r="2817" ht="15.75" customHeight="1">
      <c r="A2817" s="11">
        <v>14234.0</v>
      </c>
      <c r="B2817" s="11" t="s">
        <v>2840</v>
      </c>
      <c r="C2817" s="12">
        <v>16918.0</v>
      </c>
      <c r="D2817" s="11" t="str">
        <f t="shared" si="1"/>
        <v> </v>
      </c>
      <c r="E2817" s="11" t="str">
        <f t="shared" si="2"/>
        <v> </v>
      </c>
    </row>
    <row r="2818" ht="15.75" customHeight="1">
      <c r="A2818" s="11">
        <v>14236.0</v>
      </c>
      <c r="B2818" s="11" t="s">
        <v>2841</v>
      </c>
      <c r="C2818" s="12">
        <v>32103.0</v>
      </c>
      <c r="D2818" s="11" t="str">
        <f t="shared" si="1"/>
        <v>Repeat</v>
      </c>
      <c r="E2818" s="11" t="str">
        <f t="shared" si="2"/>
        <v> </v>
      </c>
    </row>
    <row r="2819" ht="15.75" customHeight="1">
      <c r="A2819" s="11">
        <v>14238.0</v>
      </c>
      <c r="B2819" s="11" t="s">
        <v>2842</v>
      </c>
      <c r="C2819" s="12">
        <v>19643.0</v>
      </c>
      <c r="D2819" s="11" t="str">
        <f t="shared" si="1"/>
        <v> </v>
      </c>
      <c r="E2819" s="11" t="str">
        <f t="shared" si="2"/>
        <v> </v>
      </c>
    </row>
    <row r="2820" ht="15.75" customHeight="1">
      <c r="A2820" s="11">
        <v>14239.0</v>
      </c>
      <c r="B2820" s="11" t="s">
        <v>2843</v>
      </c>
      <c r="C2820" s="12">
        <v>22076.0</v>
      </c>
      <c r="D2820" s="11" t="str">
        <f t="shared" si="1"/>
        <v>Repeat</v>
      </c>
      <c r="E2820" s="11" t="str">
        <f t="shared" si="2"/>
        <v> </v>
      </c>
    </row>
    <row r="2821" ht="15.75" customHeight="1">
      <c r="A2821" s="11">
        <v>14240.0</v>
      </c>
      <c r="B2821" s="11" t="s">
        <v>2844</v>
      </c>
      <c r="C2821" s="12">
        <v>22012.0</v>
      </c>
      <c r="D2821" s="11" t="str">
        <f t="shared" si="1"/>
        <v> </v>
      </c>
      <c r="E2821" s="11" t="str">
        <f t="shared" si="2"/>
        <v> </v>
      </c>
    </row>
    <row r="2822" ht="15.75" customHeight="1">
      <c r="A2822" s="11">
        <v>14241.0</v>
      </c>
      <c r="B2822" s="11" t="s">
        <v>2845</v>
      </c>
      <c r="C2822" s="12">
        <v>29086.0</v>
      </c>
      <c r="D2822" s="11" t="str">
        <f t="shared" si="1"/>
        <v> </v>
      </c>
      <c r="E2822" s="11" t="str">
        <f t="shared" si="2"/>
        <v> </v>
      </c>
    </row>
    <row r="2823" ht="15.75" customHeight="1">
      <c r="A2823" s="11">
        <v>14242.0</v>
      </c>
      <c r="B2823" s="11" t="s">
        <v>2846</v>
      </c>
      <c r="C2823" s="12">
        <v>25655.0</v>
      </c>
      <c r="D2823" s="11" t="str">
        <f t="shared" si="1"/>
        <v> </v>
      </c>
      <c r="E2823" s="11" t="str">
        <f t="shared" si="2"/>
        <v> </v>
      </c>
    </row>
    <row r="2824" ht="15.75" customHeight="1">
      <c r="A2824" s="11">
        <v>14243.0</v>
      </c>
      <c r="B2824" s="11" t="s">
        <v>2847</v>
      </c>
      <c r="C2824" s="12">
        <v>30456.0</v>
      </c>
      <c r="D2824" s="11" t="str">
        <f t="shared" si="1"/>
        <v> </v>
      </c>
      <c r="E2824" s="11" t="str">
        <f t="shared" si="2"/>
        <v> </v>
      </c>
    </row>
    <row r="2825" ht="15.75" customHeight="1">
      <c r="A2825" s="11">
        <v>14244.0</v>
      </c>
      <c r="B2825" s="11" t="s">
        <v>2848</v>
      </c>
      <c r="C2825" s="12">
        <v>15317.0</v>
      </c>
      <c r="D2825" s="11" t="str">
        <f t="shared" si="1"/>
        <v> </v>
      </c>
      <c r="E2825" s="11" t="str">
        <f t="shared" si="2"/>
        <v> </v>
      </c>
    </row>
    <row r="2826" ht="15.75" customHeight="1">
      <c r="A2826" s="11">
        <v>14245.0</v>
      </c>
      <c r="B2826" s="11" t="s">
        <v>2849</v>
      </c>
      <c r="C2826" s="12">
        <v>29823.0</v>
      </c>
      <c r="D2826" s="11" t="str">
        <f t="shared" si="1"/>
        <v> </v>
      </c>
      <c r="E2826" s="11" t="str">
        <f t="shared" si="2"/>
        <v> </v>
      </c>
    </row>
    <row r="2827" ht="15.75" customHeight="1">
      <c r="A2827" s="11">
        <v>14247.0</v>
      </c>
      <c r="B2827" s="11" t="s">
        <v>2850</v>
      </c>
      <c r="C2827" s="12">
        <v>25563.0</v>
      </c>
      <c r="D2827" s="11" t="str">
        <f t="shared" si="1"/>
        <v> </v>
      </c>
      <c r="E2827" s="11" t="str">
        <f t="shared" si="2"/>
        <v> </v>
      </c>
    </row>
    <row r="2828" ht="15.75" customHeight="1">
      <c r="A2828" s="11">
        <v>14248.0</v>
      </c>
      <c r="B2828" s="11" t="s">
        <v>2851</v>
      </c>
      <c r="C2828" s="12">
        <v>21730.0</v>
      </c>
      <c r="D2828" s="11" t="str">
        <f t="shared" si="1"/>
        <v> </v>
      </c>
      <c r="E2828" s="11" t="str">
        <f t="shared" si="2"/>
        <v> </v>
      </c>
    </row>
    <row r="2829" ht="15.75" customHeight="1">
      <c r="A2829" s="11">
        <v>14249.0</v>
      </c>
      <c r="B2829" s="11" t="s">
        <v>2852</v>
      </c>
      <c r="C2829" s="12">
        <v>27991.0</v>
      </c>
      <c r="D2829" s="11" t="str">
        <f t="shared" si="1"/>
        <v> </v>
      </c>
      <c r="E2829" s="11" t="str">
        <f t="shared" si="2"/>
        <v> </v>
      </c>
    </row>
    <row r="2830" ht="15.75" customHeight="1">
      <c r="A2830" s="11">
        <v>14251.0</v>
      </c>
      <c r="B2830" s="11" t="s">
        <v>2853</v>
      </c>
      <c r="C2830" s="12">
        <v>16186.0</v>
      </c>
      <c r="D2830" s="11" t="str">
        <f t="shared" si="1"/>
        <v> </v>
      </c>
      <c r="E2830" s="11" t="str">
        <f t="shared" si="2"/>
        <v> </v>
      </c>
    </row>
    <row r="2831" ht="15.75" customHeight="1">
      <c r="A2831" s="11">
        <v>14253.0</v>
      </c>
      <c r="B2831" s="11" t="s">
        <v>2854</v>
      </c>
      <c r="C2831" s="12">
        <v>18688.0</v>
      </c>
      <c r="D2831" s="11" t="str">
        <f t="shared" si="1"/>
        <v> </v>
      </c>
      <c r="E2831" s="11" t="str">
        <f t="shared" si="2"/>
        <v> </v>
      </c>
    </row>
    <row r="2832" ht="15.75" customHeight="1">
      <c r="A2832" s="11">
        <v>14254.0</v>
      </c>
      <c r="B2832" s="11" t="s">
        <v>2855</v>
      </c>
      <c r="C2832" s="12">
        <v>21715.0</v>
      </c>
      <c r="D2832" s="11" t="str">
        <f t="shared" si="1"/>
        <v> </v>
      </c>
      <c r="E2832" s="11" t="str">
        <f t="shared" si="2"/>
        <v> </v>
      </c>
    </row>
    <row r="2833" ht="15.75" customHeight="1">
      <c r="A2833" s="11">
        <v>14255.0</v>
      </c>
      <c r="B2833" s="11" t="s">
        <v>2856</v>
      </c>
      <c r="C2833" s="12">
        <v>17986.0</v>
      </c>
      <c r="D2833" s="11" t="str">
        <f t="shared" si="1"/>
        <v> </v>
      </c>
      <c r="E2833" s="11" t="str">
        <f t="shared" si="2"/>
        <v> </v>
      </c>
    </row>
    <row r="2834" ht="15.75" customHeight="1">
      <c r="A2834" s="11">
        <v>14256.0</v>
      </c>
      <c r="B2834" s="11" t="s">
        <v>2857</v>
      </c>
      <c r="C2834" s="12">
        <v>9908.0</v>
      </c>
      <c r="D2834" s="11" t="str">
        <f t="shared" si="1"/>
        <v> </v>
      </c>
      <c r="E2834" s="11" t="str">
        <f t="shared" si="2"/>
        <v>Repeat</v>
      </c>
    </row>
    <row r="2835" ht="15.75" customHeight="1">
      <c r="A2835" s="11">
        <v>14257.0</v>
      </c>
      <c r="B2835" s="11" t="s">
        <v>2858</v>
      </c>
      <c r="C2835" s="12">
        <v>15843.0</v>
      </c>
      <c r="D2835" s="11" t="str">
        <f t="shared" si="1"/>
        <v> </v>
      </c>
      <c r="E2835" s="11" t="str">
        <f t="shared" si="2"/>
        <v> </v>
      </c>
    </row>
    <row r="2836" ht="15.75" customHeight="1">
      <c r="A2836" s="11">
        <v>14258.0</v>
      </c>
      <c r="B2836" s="11" t="s">
        <v>2859</v>
      </c>
      <c r="C2836" s="12">
        <v>19414.0</v>
      </c>
      <c r="D2836" s="11" t="str">
        <f t="shared" si="1"/>
        <v> </v>
      </c>
      <c r="E2836" s="11" t="str">
        <f t="shared" si="2"/>
        <v> </v>
      </c>
    </row>
    <row r="2837" ht="15.75" customHeight="1">
      <c r="A2837" s="11">
        <v>14260.0</v>
      </c>
      <c r="B2837" s="11" t="s">
        <v>2860</v>
      </c>
      <c r="C2837" s="12">
        <v>15703.0</v>
      </c>
      <c r="D2837" s="11" t="str">
        <f t="shared" si="1"/>
        <v> </v>
      </c>
      <c r="E2837" s="11" t="str">
        <f t="shared" si="2"/>
        <v> </v>
      </c>
    </row>
    <row r="2838" ht="15.75" customHeight="1">
      <c r="A2838" s="11">
        <v>14262.0</v>
      </c>
      <c r="B2838" s="11" t="s">
        <v>2861</v>
      </c>
      <c r="C2838" s="12">
        <v>31118.0</v>
      </c>
      <c r="D2838" s="11" t="str">
        <f t="shared" si="1"/>
        <v> </v>
      </c>
      <c r="E2838" s="11" t="str">
        <f t="shared" si="2"/>
        <v> </v>
      </c>
    </row>
    <row r="2839" ht="15.75" customHeight="1">
      <c r="A2839" s="11">
        <v>14263.0</v>
      </c>
      <c r="B2839" s="11" t="s">
        <v>2862</v>
      </c>
      <c r="C2839" s="12">
        <v>23301.0</v>
      </c>
      <c r="D2839" s="11" t="str">
        <f t="shared" si="1"/>
        <v> </v>
      </c>
      <c r="E2839" s="11" t="str">
        <f t="shared" si="2"/>
        <v> </v>
      </c>
    </row>
    <row r="2840" ht="15.75" customHeight="1">
      <c r="A2840" s="11">
        <v>14264.0</v>
      </c>
      <c r="B2840" s="11" t="s">
        <v>2863</v>
      </c>
      <c r="C2840" s="12">
        <v>18441.0</v>
      </c>
      <c r="D2840" s="11" t="str">
        <f t="shared" si="1"/>
        <v> </v>
      </c>
      <c r="E2840" s="11" t="str">
        <f t="shared" si="2"/>
        <v> </v>
      </c>
    </row>
    <row r="2841" ht="15.75" customHeight="1">
      <c r="A2841" s="11">
        <v>14265.0</v>
      </c>
      <c r="B2841" s="11" t="s">
        <v>2864</v>
      </c>
      <c r="C2841" s="12">
        <v>24940.0</v>
      </c>
      <c r="D2841" s="11" t="str">
        <f t="shared" si="1"/>
        <v> </v>
      </c>
      <c r="E2841" s="11" t="str">
        <f t="shared" si="2"/>
        <v> </v>
      </c>
    </row>
    <row r="2842" ht="15.75" customHeight="1">
      <c r="A2842" s="11">
        <v>14266.0</v>
      </c>
      <c r="B2842" s="11" t="s">
        <v>2865</v>
      </c>
      <c r="C2842" s="12">
        <v>18397.0</v>
      </c>
      <c r="D2842" s="11" t="str">
        <f t="shared" si="1"/>
        <v> </v>
      </c>
      <c r="E2842" s="11" t="str">
        <f t="shared" si="2"/>
        <v> </v>
      </c>
    </row>
    <row r="2843" ht="15.75" customHeight="1">
      <c r="A2843" s="11">
        <v>14267.0</v>
      </c>
      <c r="B2843" s="11" t="s">
        <v>2866</v>
      </c>
      <c r="C2843" s="12">
        <v>20779.0</v>
      </c>
      <c r="D2843" s="11" t="str">
        <f t="shared" si="1"/>
        <v> </v>
      </c>
      <c r="E2843" s="11" t="str">
        <f t="shared" si="2"/>
        <v> </v>
      </c>
    </row>
    <row r="2844" ht="15.75" customHeight="1">
      <c r="A2844" s="11">
        <v>14268.0</v>
      </c>
      <c r="B2844" s="11" t="s">
        <v>2867</v>
      </c>
      <c r="C2844" s="12">
        <v>19812.0</v>
      </c>
      <c r="D2844" s="11" t="str">
        <f t="shared" si="1"/>
        <v> </v>
      </c>
      <c r="E2844" s="11" t="str">
        <f t="shared" si="2"/>
        <v> </v>
      </c>
    </row>
    <row r="2845" ht="15.75" customHeight="1">
      <c r="A2845" s="11">
        <v>14269.0</v>
      </c>
      <c r="B2845" s="11" t="s">
        <v>2868</v>
      </c>
      <c r="C2845" s="12">
        <v>20761.0</v>
      </c>
      <c r="D2845" s="11" t="str">
        <f t="shared" si="1"/>
        <v> </v>
      </c>
      <c r="E2845" s="11" t="str">
        <f t="shared" si="2"/>
        <v> </v>
      </c>
    </row>
    <row r="2846" ht="15.75" customHeight="1">
      <c r="A2846" s="11">
        <v>14270.0</v>
      </c>
      <c r="B2846" s="11" t="s">
        <v>2869</v>
      </c>
      <c r="C2846" s="12">
        <v>16655.0</v>
      </c>
      <c r="D2846" s="11" t="str">
        <f t="shared" si="1"/>
        <v> </v>
      </c>
      <c r="E2846" s="11" t="str">
        <f t="shared" si="2"/>
        <v> </v>
      </c>
    </row>
    <row r="2847" ht="15.75" customHeight="1">
      <c r="A2847" s="11">
        <v>14271.0</v>
      </c>
      <c r="B2847" s="11" t="s">
        <v>2870</v>
      </c>
      <c r="C2847" s="12">
        <v>21394.0</v>
      </c>
      <c r="D2847" s="11" t="str">
        <f t="shared" si="1"/>
        <v> </v>
      </c>
      <c r="E2847" s="11" t="str">
        <f t="shared" si="2"/>
        <v> </v>
      </c>
    </row>
    <row r="2848" ht="15.75" customHeight="1">
      <c r="A2848" s="11">
        <v>14272.0</v>
      </c>
      <c r="B2848" s="11" t="s">
        <v>2871</v>
      </c>
      <c r="C2848" s="12">
        <v>27989.0</v>
      </c>
      <c r="D2848" s="11" t="str">
        <f t="shared" si="1"/>
        <v> </v>
      </c>
      <c r="E2848" s="11" t="str">
        <f t="shared" si="2"/>
        <v> </v>
      </c>
    </row>
    <row r="2849" ht="15.75" customHeight="1">
      <c r="A2849" s="11">
        <v>14273.0</v>
      </c>
      <c r="B2849" s="11" t="s">
        <v>2872</v>
      </c>
      <c r="C2849" s="12">
        <v>19997.0</v>
      </c>
      <c r="D2849" s="11" t="str">
        <f t="shared" si="1"/>
        <v> </v>
      </c>
      <c r="E2849" s="11" t="str">
        <f t="shared" si="2"/>
        <v> </v>
      </c>
    </row>
    <row r="2850" ht="15.75" customHeight="1">
      <c r="A2850" s="11">
        <v>14274.0</v>
      </c>
      <c r="B2850" s="11" t="s">
        <v>2873</v>
      </c>
      <c r="C2850" s="12">
        <v>33182.0</v>
      </c>
      <c r="D2850" s="11" t="str">
        <f t="shared" si="1"/>
        <v> </v>
      </c>
      <c r="E2850" s="11" t="str">
        <f t="shared" si="2"/>
        <v> </v>
      </c>
    </row>
    <row r="2851" ht="15.75" customHeight="1">
      <c r="A2851" s="11">
        <v>14275.0</v>
      </c>
      <c r="B2851" s="11" t="s">
        <v>2874</v>
      </c>
      <c r="C2851" s="12">
        <v>14212.0</v>
      </c>
      <c r="D2851" s="11" t="str">
        <f t="shared" si="1"/>
        <v> </v>
      </c>
      <c r="E2851" s="11" t="str">
        <f t="shared" si="2"/>
        <v> </v>
      </c>
    </row>
    <row r="2852" ht="15.75" customHeight="1">
      <c r="A2852" s="11">
        <v>14276.0</v>
      </c>
      <c r="B2852" s="11" t="s">
        <v>2875</v>
      </c>
      <c r="C2852" s="12">
        <v>27880.0</v>
      </c>
      <c r="D2852" s="11" t="str">
        <f t="shared" si="1"/>
        <v> </v>
      </c>
      <c r="E2852" s="11" t="str">
        <f t="shared" si="2"/>
        <v> </v>
      </c>
    </row>
    <row r="2853" ht="15.75" customHeight="1">
      <c r="A2853" s="11">
        <v>14277.0</v>
      </c>
      <c r="B2853" s="11" t="s">
        <v>2876</v>
      </c>
      <c r="C2853" s="12">
        <v>13878.0</v>
      </c>
      <c r="D2853" s="11" t="str">
        <f t="shared" si="1"/>
        <v> </v>
      </c>
      <c r="E2853" s="11" t="str">
        <f t="shared" si="2"/>
        <v> </v>
      </c>
    </row>
    <row r="2854" ht="15.75" customHeight="1">
      <c r="A2854" s="11">
        <v>14278.0</v>
      </c>
      <c r="B2854" s="11" t="s">
        <v>2877</v>
      </c>
      <c r="C2854" s="12">
        <v>21242.0</v>
      </c>
      <c r="D2854" s="11" t="str">
        <f t="shared" si="1"/>
        <v> </v>
      </c>
      <c r="E2854" s="11" t="str">
        <f t="shared" si="2"/>
        <v> </v>
      </c>
    </row>
    <row r="2855" ht="15.75" customHeight="1">
      <c r="A2855" s="11">
        <v>14279.0</v>
      </c>
      <c r="B2855" s="11" t="s">
        <v>2878</v>
      </c>
      <c r="C2855" s="12">
        <v>28206.0</v>
      </c>
      <c r="D2855" s="11" t="str">
        <f t="shared" si="1"/>
        <v> </v>
      </c>
      <c r="E2855" s="11" t="str">
        <f t="shared" si="2"/>
        <v> </v>
      </c>
    </row>
    <row r="2856" ht="15.75" customHeight="1">
      <c r="A2856" s="11">
        <v>14281.0</v>
      </c>
      <c r="B2856" s="11" t="s">
        <v>2879</v>
      </c>
      <c r="C2856" s="12">
        <v>20136.0</v>
      </c>
      <c r="D2856" s="11" t="str">
        <f t="shared" si="1"/>
        <v> </v>
      </c>
      <c r="E2856" s="11" t="str">
        <f t="shared" si="2"/>
        <v> </v>
      </c>
    </row>
    <row r="2857" ht="15.75" customHeight="1">
      <c r="A2857" s="11">
        <v>14285.0</v>
      </c>
      <c r="B2857" s="11" t="s">
        <v>2880</v>
      </c>
      <c r="C2857" s="12">
        <v>35763.0</v>
      </c>
      <c r="D2857" s="11" t="str">
        <f t="shared" si="1"/>
        <v> </v>
      </c>
      <c r="E2857" s="11" t="str">
        <f t="shared" si="2"/>
        <v> </v>
      </c>
    </row>
    <row r="2858" ht="15.75" customHeight="1">
      <c r="A2858" s="11">
        <v>14286.0</v>
      </c>
      <c r="B2858" s="11" t="s">
        <v>2881</v>
      </c>
      <c r="C2858" s="12">
        <v>23758.0</v>
      </c>
      <c r="D2858" s="11" t="str">
        <f t="shared" si="1"/>
        <v> </v>
      </c>
      <c r="E2858" s="11" t="str">
        <f t="shared" si="2"/>
        <v> </v>
      </c>
    </row>
    <row r="2859" ht="15.75" customHeight="1">
      <c r="A2859" s="11">
        <v>14287.0</v>
      </c>
      <c r="B2859" s="11" t="s">
        <v>2882</v>
      </c>
      <c r="C2859" s="12">
        <v>26044.0</v>
      </c>
      <c r="D2859" s="11" t="str">
        <f t="shared" si="1"/>
        <v> </v>
      </c>
      <c r="E2859" s="11" t="str">
        <f t="shared" si="2"/>
        <v> </v>
      </c>
    </row>
    <row r="2860" ht="15.75" customHeight="1">
      <c r="A2860" s="11">
        <v>14288.0</v>
      </c>
      <c r="B2860" s="11" t="s">
        <v>2883</v>
      </c>
      <c r="C2860" s="12">
        <v>26576.0</v>
      </c>
      <c r="D2860" s="11" t="str">
        <f t="shared" si="1"/>
        <v> </v>
      </c>
      <c r="E2860" s="11" t="str">
        <f t="shared" si="2"/>
        <v> </v>
      </c>
    </row>
    <row r="2861" ht="15.75" customHeight="1">
      <c r="A2861" s="11">
        <v>14289.0</v>
      </c>
      <c r="B2861" s="11" t="s">
        <v>2884</v>
      </c>
      <c r="C2861" s="12">
        <v>21140.0</v>
      </c>
      <c r="D2861" s="11" t="str">
        <f t="shared" si="1"/>
        <v> </v>
      </c>
      <c r="E2861" s="11" t="str">
        <f t="shared" si="2"/>
        <v> </v>
      </c>
    </row>
    <row r="2862" ht="15.75" customHeight="1">
      <c r="A2862" s="11">
        <v>14290.0</v>
      </c>
      <c r="B2862" s="11" t="s">
        <v>2885</v>
      </c>
      <c r="C2862" s="12">
        <v>21385.0</v>
      </c>
      <c r="D2862" s="11" t="str">
        <f t="shared" si="1"/>
        <v> </v>
      </c>
      <c r="E2862" s="11" t="str">
        <f t="shared" si="2"/>
        <v> </v>
      </c>
    </row>
    <row r="2863" ht="15.75" customHeight="1">
      <c r="A2863" s="11">
        <v>14291.0</v>
      </c>
      <c r="B2863" s="11" t="s">
        <v>2886</v>
      </c>
      <c r="C2863" s="12">
        <v>20668.0</v>
      </c>
      <c r="D2863" s="11" t="str">
        <f t="shared" si="1"/>
        <v> </v>
      </c>
      <c r="E2863" s="11" t="str">
        <f t="shared" si="2"/>
        <v> </v>
      </c>
    </row>
    <row r="2864" ht="15.75" customHeight="1">
      <c r="A2864" s="11">
        <v>14292.0</v>
      </c>
      <c r="B2864" s="11" t="s">
        <v>2887</v>
      </c>
      <c r="C2864" s="12">
        <v>14720.0</v>
      </c>
      <c r="D2864" s="11" t="str">
        <f t="shared" si="1"/>
        <v> </v>
      </c>
      <c r="E2864" s="11" t="str">
        <f t="shared" si="2"/>
        <v> </v>
      </c>
    </row>
    <row r="2865" ht="15.75" customHeight="1">
      <c r="A2865" s="11">
        <v>14293.0</v>
      </c>
      <c r="B2865" s="11" t="s">
        <v>2888</v>
      </c>
      <c r="C2865" s="12">
        <v>15468.0</v>
      </c>
      <c r="D2865" s="11" t="str">
        <f t="shared" si="1"/>
        <v> </v>
      </c>
      <c r="E2865" s="11" t="str">
        <f t="shared" si="2"/>
        <v> </v>
      </c>
    </row>
    <row r="2866" ht="15.75" customHeight="1">
      <c r="A2866" s="11">
        <v>14295.0</v>
      </c>
      <c r="B2866" s="11" t="s">
        <v>2889</v>
      </c>
      <c r="C2866" s="12">
        <v>11929.0</v>
      </c>
      <c r="D2866" s="11" t="str">
        <f t="shared" si="1"/>
        <v> </v>
      </c>
      <c r="E2866" s="11" t="str">
        <f t="shared" si="2"/>
        <v> </v>
      </c>
    </row>
    <row r="2867" ht="15.75" customHeight="1">
      <c r="A2867" s="11">
        <v>14296.0</v>
      </c>
      <c r="B2867" s="11" t="s">
        <v>2890</v>
      </c>
      <c r="C2867" s="12">
        <v>31274.0</v>
      </c>
      <c r="D2867" s="11" t="str">
        <f t="shared" si="1"/>
        <v> </v>
      </c>
      <c r="E2867" s="11" t="str">
        <f t="shared" si="2"/>
        <v> </v>
      </c>
    </row>
    <row r="2868" ht="15.75" customHeight="1">
      <c r="A2868" s="11">
        <v>14297.0</v>
      </c>
      <c r="B2868" s="11" t="s">
        <v>2891</v>
      </c>
      <c r="C2868" s="12">
        <v>22443.0</v>
      </c>
      <c r="D2868" s="11" t="str">
        <f t="shared" si="1"/>
        <v> </v>
      </c>
      <c r="E2868" s="11" t="str">
        <f t="shared" si="2"/>
        <v> </v>
      </c>
    </row>
    <row r="2869" ht="15.75" customHeight="1">
      <c r="A2869" s="11">
        <v>14298.0</v>
      </c>
      <c r="B2869" s="11" t="s">
        <v>2892</v>
      </c>
      <c r="C2869" s="12">
        <v>24518.0</v>
      </c>
      <c r="D2869" s="11" t="str">
        <f t="shared" si="1"/>
        <v> </v>
      </c>
      <c r="E2869" s="11" t="str">
        <f t="shared" si="2"/>
        <v> </v>
      </c>
    </row>
    <row r="2870" ht="15.75" customHeight="1">
      <c r="A2870" s="11">
        <v>14299.0</v>
      </c>
      <c r="B2870" s="11" t="s">
        <v>2893</v>
      </c>
      <c r="C2870" s="12">
        <v>17234.0</v>
      </c>
      <c r="D2870" s="11" t="str">
        <f t="shared" si="1"/>
        <v> </v>
      </c>
      <c r="E2870" s="11" t="str">
        <f t="shared" si="2"/>
        <v> </v>
      </c>
    </row>
    <row r="2871" ht="15.75" customHeight="1">
      <c r="A2871" s="11">
        <v>14300.0</v>
      </c>
      <c r="B2871" s="11" t="s">
        <v>2894</v>
      </c>
      <c r="C2871" s="12">
        <v>15999.0</v>
      </c>
      <c r="D2871" s="11" t="str">
        <f t="shared" si="1"/>
        <v> </v>
      </c>
      <c r="E2871" s="11" t="str">
        <f t="shared" si="2"/>
        <v> </v>
      </c>
    </row>
    <row r="2872" ht="15.75" customHeight="1">
      <c r="A2872" s="11">
        <v>14301.0</v>
      </c>
      <c r="B2872" s="11" t="s">
        <v>2895</v>
      </c>
      <c r="C2872" s="12">
        <v>29745.0</v>
      </c>
      <c r="D2872" s="11" t="str">
        <f t="shared" si="1"/>
        <v> </v>
      </c>
      <c r="E2872" s="11" t="str">
        <f t="shared" si="2"/>
        <v> </v>
      </c>
    </row>
    <row r="2873" ht="15.75" customHeight="1">
      <c r="A2873" s="11">
        <v>14302.0</v>
      </c>
      <c r="B2873" s="11" t="s">
        <v>2896</v>
      </c>
      <c r="C2873" s="12">
        <v>22334.0</v>
      </c>
      <c r="D2873" s="11" t="str">
        <f t="shared" si="1"/>
        <v> </v>
      </c>
      <c r="E2873" s="11" t="str">
        <f t="shared" si="2"/>
        <v> </v>
      </c>
    </row>
    <row r="2874" ht="15.75" customHeight="1">
      <c r="A2874" s="11">
        <v>14303.0</v>
      </c>
      <c r="B2874" s="11" t="s">
        <v>2897</v>
      </c>
      <c r="C2874" s="12">
        <v>35894.0</v>
      </c>
      <c r="D2874" s="11" t="str">
        <f t="shared" si="1"/>
        <v> </v>
      </c>
      <c r="E2874" s="11" t="str">
        <f t="shared" si="2"/>
        <v> </v>
      </c>
    </row>
    <row r="2875" ht="15.75" customHeight="1">
      <c r="A2875" s="11">
        <v>14304.0</v>
      </c>
      <c r="B2875" s="11" t="s">
        <v>2898</v>
      </c>
      <c r="C2875" s="12">
        <v>24014.0</v>
      </c>
      <c r="D2875" s="11" t="str">
        <f t="shared" si="1"/>
        <v> </v>
      </c>
      <c r="E2875" s="11" t="str">
        <f t="shared" si="2"/>
        <v> </v>
      </c>
    </row>
    <row r="2876" ht="15.75" customHeight="1">
      <c r="A2876" s="11">
        <v>14305.0</v>
      </c>
      <c r="B2876" s="11" t="s">
        <v>2899</v>
      </c>
      <c r="C2876" s="12">
        <v>25675.0</v>
      </c>
      <c r="D2876" s="11" t="str">
        <f t="shared" si="1"/>
        <v> </v>
      </c>
      <c r="E2876" s="11" t="str">
        <f t="shared" si="2"/>
        <v> </v>
      </c>
    </row>
    <row r="2877" ht="15.75" customHeight="1">
      <c r="A2877" s="11">
        <v>14306.0</v>
      </c>
      <c r="B2877" s="11" t="s">
        <v>2900</v>
      </c>
      <c r="C2877" s="12">
        <v>22927.0</v>
      </c>
      <c r="D2877" s="11" t="str">
        <f t="shared" si="1"/>
        <v> </v>
      </c>
      <c r="E2877" s="11" t="str">
        <f t="shared" si="2"/>
        <v> </v>
      </c>
    </row>
    <row r="2878" ht="15.75" customHeight="1">
      <c r="A2878" s="11">
        <v>14307.0</v>
      </c>
      <c r="B2878" s="11" t="s">
        <v>2901</v>
      </c>
      <c r="C2878" s="12">
        <v>19933.0</v>
      </c>
      <c r="D2878" s="11" t="str">
        <f t="shared" si="1"/>
        <v> </v>
      </c>
      <c r="E2878" s="11" t="str">
        <f t="shared" si="2"/>
        <v> </v>
      </c>
    </row>
    <row r="2879" ht="15.75" customHeight="1">
      <c r="A2879" s="11">
        <v>14309.0</v>
      </c>
      <c r="B2879" s="11" t="s">
        <v>2902</v>
      </c>
      <c r="C2879" s="12">
        <v>20996.0</v>
      </c>
      <c r="D2879" s="11" t="str">
        <f t="shared" si="1"/>
        <v> </v>
      </c>
      <c r="E2879" s="11" t="str">
        <f t="shared" si="2"/>
        <v> </v>
      </c>
    </row>
    <row r="2880" ht="15.75" customHeight="1">
      <c r="A2880" s="11">
        <v>14310.0</v>
      </c>
      <c r="B2880" s="11" t="s">
        <v>2903</v>
      </c>
      <c r="C2880" s="12">
        <v>34567.0</v>
      </c>
      <c r="D2880" s="11" t="str">
        <f t="shared" si="1"/>
        <v> </v>
      </c>
      <c r="E2880" s="11" t="str">
        <f t="shared" si="2"/>
        <v> </v>
      </c>
    </row>
    <row r="2881" ht="15.75" customHeight="1">
      <c r="A2881" s="11">
        <v>14311.0</v>
      </c>
      <c r="B2881" s="11" t="s">
        <v>2904</v>
      </c>
      <c r="C2881" s="12">
        <v>20832.0</v>
      </c>
      <c r="D2881" s="11" t="str">
        <f t="shared" si="1"/>
        <v> </v>
      </c>
      <c r="E2881" s="11" t="str">
        <f t="shared" si="2"/>
        <v> </v>
      </c>
    </row>
    <row r="2882" ht="15.75" customHeight="1">
      <c r="A2882" s="11">
        <v>14312.0</v>
      </c>
      <c r="B2882" s="11" t="s">
        <v>2905</v>
      </c>
      <c r="C2882" s="12">
        <v>27429.0</v>
      </c>
      <c r="D2882" s="11" t="str">
        <f t="shared" si="1"/>
        <v> </v>
      </c>
      <c r="E2882" s="11" t="str">
        <f t="shared" si="2"/>
        <v> </v>
      </c>
    </row>
    <row r="2883" ht="15.75" customHeight="1">
      <c r="A2883" s="11">
        <v>14313.0</v>
      </c>
      <c r="B2883" s="11" t="s">
        <v>2906</v>
      </c>
      <c r="C2883" s="12">
        <v>30032.0</v>
      </c>
      <c r="D2883" s="11" t="str">
        <f t="shared" si="1"/>
        <v> </v>
      </c>
      <c r="E2883" s="11" t="str">
        <f t="shared" si="2"/>
        <v> </v>
      </c>
    </row>
    <row r="2884" ht="15.75" customHeight="1">
      <c r="A2884" s="11">
        <v>14314.0</v>
      </c>
      <c r="B2884" s="11" t="s">
        <v>2907</v>
      </c>
      <c r="C2884" s="12">
        <v>22921.0</v>
      </c>
      <c r="D2884" s="11" t="str">
        <f t="shared" si="1"/>
        <v> </v>
      </c>
      <c r="E2884" s="11" t="str">
        <f t="shared" si="2"/>
        <v> </v>
      </c>
    </row>
    <row r="2885" ht="15.75" customHeight="1">
      <c r="A2885" s="11">
        <v>14316.0</v>
      </c>
      <c r="B2885" s="11" t="s">
        <v>2908</v>
      </c>
      <c r="C2885" s="12">
        <v>18805.0</v>
      </c>
      <c r="D2885" s="11" t="str">
        <f t="shared" si="1"/>
        <v> </v>
      </c>
      <c r="E2885" s="11" t="str">
        <f t="shared" si="2"/>
        <v> </v>
      </c>
    </row>
    <row r="2886" ht="15.75" customHeight="1">
      <c r="A2886" s="11">
        <v>14317.0</v>
      </c>
      <c r="B2886" s="11" t="s">
        <v>2909</v>
      </c>
      <c r="C2886" s="12">
        <v>24775.0</v>
      </c>
      <c r="D2886" s="11" t="str">
        <f t="shared" si="1"/>
        <v> </v>
      </c>
      <c r="E2886" s="11" t="str">
        <f t="shared" si="2"/>
        <v> </v>
      </c>
    </row>
    <row r="2887" ht="15.75" customHeight="1">
      <c r="A2887" s="11">
        <v>14318.0</v>
      </c>
      <c r="B2887" s="11" t="s">
        <v>2910</v>
      </c>
      <c r="C2887" s="12">
        <v>18193.0</v>
      </c>
      <c r="D2887" s="11" t="str">
        <f t="shared" si="1"/>
        <v> </v>
      </c>
      <c r="E2887" s="11" t="str">
        <f t="shared" si="2"/>
        <v> </v>
      </c>
    </row>
    <row r="2888" ht="15.75" customHeight="1">
      <c r="A2888" s="11">
        <v>14319.0</v>
      </c>
      <c r="B2888" s="11" t="s">
        <v>2911</v>
      </c>
      <c r="C2888" s="12">
        <v>26339.0</v>
      </c>
      <c r="D2888" s="11" t="str">
        <f t="shared" si="1"/>
        <v> </v>
      </c>
      <c r="E2888" s="11" t="str">
        <f t="shared" si="2"/>
        <v> </v>
      </c>
    </row>
    <row r="2889" ht="15.75" customHeight="1">
      <c r="A2889" s="11">
        <v>14320.0</v>
      </c>
      <c r="B2889" s="11" t="s">
        <v>2912</v>
      </c>
      <c r="C2889" s="12">
        <v>31224.0</v>
      </c>
      <c r="D2889" s="11" t="str">
        <f t="shared" si="1"/>
        <v> </v>
      </c>
      <c r="E2889" s="11" t="str">
        <f t="shared" si="2"/>
        <v> </v>
      </c>
    </row>
    <row r="2890" ht="15.75" customHeight="1">
      <c r="A2890" s="11">
        <v>14321.0</v>
      </c>
      <c r="B2890" s="11" t="s">
        <v>2913</v>
      </c>
      <c r="C2890" s="12">
        <v>19244.0</v>
      </c>
      <c r="D2890" s="11" t="str">
        <f t="shared" si="1"/>
        <v> </v>
      </c>
      <c r="E2890" s="11" t="str">
        <f t="shared" si="2"/>
        <v> </v>
      </c>
    </row>
    <row r="2891" ht="15.75" customHeight="1">
      <c r="A2891" s="11">
        <v>14322.0</v>
      </c>
      <c r="B2891" s="11" t="s">
        <v>2914</v>
      </c>
      <c r="C2891" s="12">
        <v>26478.0</v>
      </c>
      <c r="D2891" s="11" t="str">
        <f t="shared" si="1"/>
        <v> </v>
      </c>
      <c r="E2891" s="11" t="str">
        <f t="shared" si="2"/>
        <v> </v>
      </c>
    </row>
    <row r="2892" ht="15.75" customHeight="1">
      <c r="A2892" s="11">
        <v>14323.0</v>
      </c>
      <c r="B2892" s="11" t="s">
        <v>2915</v>
      </c>
      <c r="C2892" s="12">
        <v>16672.0</v>
      </c>
      <c r="D2892" s="11" t="str">
        <f t="shared" si="1"/>
        <v> </v>
      </c>
      <c r="E2892" s="11" t="str">
        <f t="shared" si="2"/>
        <v> </v>
      </c>
    </row>
    <row r="2893" ht="15.75" customHeight="1">
      <c r="A2893" s="11">
        <v>14325.0</v>
      </c>
      <c r="B2893" s="11" t="s">
        <v>2916</v>
      </c>
      <c r="C2893" s="12">
        <v>27771.0</v>
      </c>
      <c r="D2893" s="11" t="str">
        <f t="shared" si="1"/>
        <v> </v>
      </c>
      <c r="E2893" s="11" t="str">
        <f t="shared" si="2"/>
        <v> </v>
      </c>
    </row>
    <row r="2894" ht="15.75" customHeight="1">
      <c r="A2894" s="11">
        <v>14326.0</v>
      </c>
      <c r="B2894" s="11" t="s">
        <v>2917</v>
      </c>
      <c r="C2894" s="12">
        <v>20768.0</v>
      </c>
      <c r="D2894" s="11" t="str">
        <f t="shared" si="1"/>
        <v> </v>
      </c>
      <c r="E2894" s="11" t="str">
        <f t="shared" si="2"/>
        <v> </v>
      </c>
    </row>
    <row r="2895" ht="15.75" customHeight="1">
      <c r="A2895" s="11">
        <v>14327.0</v>
      </c>
      <c r="B2895" s="11" t="s">
        <v>2918</v>
      </c>
      <c r="C2895" s="12">
        <v>27363.0</v>
      </c>
      <c r="D2895" s="11" t="str">
        <f t="shared" si="1"/>
        <v> </v>
      </c>
      <c r="E2895" s="11" t="str">
        <f t="shared" si="2"/>
        <v> </v>
      </c>
    </row>
    <row r="2896" ht="15.75" customHeight="1">
      <c r="A2896" s="11">
        <v>14328.0</v>
      </c>
      <c r="B2896" s="11" t="s">
        <v>2919</v>
      </c>
      <c r="C2896" s="12">
        <v>30720.0</v>
      </c>
      <c r="D2896" s="11" t="str">
        <f t="shared" si="1"/>
        <v> </v>
      </c>
      <c r="E2896" s="11" t="str">
        <f t="shared" si="2"/>
        <v> </v>
      </c>
    </row>
    <row r="2897" ht="15.75" customHeight="1">
      <c r="A2897" s="11">
        <v>14329.0</v>
      </c>
      <c r="B2897" s="11" t="s">
        <v>2920</v>
      </c>
      <c r="C2897" s="12">
        <v>27222.0</v>
      </c>
      <c r="D2897" s="11" t="str">
        <f t="shared" si="1"/>
        <v> </v>
      </c>
      <c r="E2897" s="11" t="str">
        <f t="shared" si="2"/>
        <v> </v>
      </c>
    </row>
    <row r="2898" ht="15.75" customHeight="1">
      <c r="A2898" s="11">
        <v>14330.0</v>
      </c>
      <c r="B2898" s="11" t="s">
        <v>2921</v>
      </c>
      <c r="C2898" s="12">
        <v>17506.0</v>
      </c>
      <c r="D2898" s="11" t="str">
        <f t="shared" si="1"/>
        <v> </v>
      </c>
      <c r="E2898" s="11" t="str">
        <f t="shared" si="2"/>
        <v> </v>
      </c>
    </row>
    <row r="2899" ht="15.75" customHeight="1">
      <c r="A2899" s="11">
        <v>14331.0</v>
      </c>
      <c r="B2899" s="11" t="s">
        <v>2922</v>
      </c>
      <c r="C2899" s="12">
        <v>21404.0</v>
      </c>
      <c r="D2899" s="11" t="str">
        <f t="shared" si="1"/>
        <v> </v>
      </c>
      <c r="E2899" s="11" t="str">
        <f t="shared" si="2"/>
        <v> </v>
      </c>
    </row>
    <row r="2900" ht="15.75" customHeight="1">
      <c r="A2900" s="11">
        <v>14332.0</v>
      </c>
      <c r="B2900" s="11" t="s">
        <v>2923</v>
      </c>
      <c r="C2900" s="12">
        <v>23076.0</v>
      </c>
      <c r="D2900" s="11" t="str">
        <f t="shared" si="1"/>
        <v> </v>
      </c>
      <c r="E2900" s="11" t="str">
        <f t="shared" si="2"/>
        <v> </v>
      </c>
    </row>
    <row r="2901" ht="15.75" customHeight="1">
      <c r="A2901" s="11">
        <v>14333.0</v>
      </c>
      <c r="B2901" s="11" t="s">
        <v>2924</v>
      </c>
      <c r="C2901" s="12">
        <v>26847.0</v>
      </c>
      <c r="D2901" s="11" t="str">
        <f t="shared" si="1"/>
        <v> </v>
      </c>
      <c r="E2901" s="11" t="str">
        <f t="shared" si="2"/>
        <v> </v>
      </c>
    </row>
    <row r="2902" ht="15.75" customHeight="1">
      <c r="A2902" s="11">
        <v>14334.0</v>
      </c>
      <c r="B2902" s="11" t="s">
        <v>2925</v>
      </c>
      <c r="C2902" s="12">
        <v>17187.0</v>
      </c>
      <c r="D2902" s="11" t="str">
        <f t="shared" si="1"/>
        <v> </v>
      </c>
      <c r="E2902" s="11" t="str">
        <f t="shared" si="2"/>
        <v> </v>
      </c>
    </row>
    <row r="2903" ht="15.75" customHeight="1">
      <c r="A2903" s="11">
        <v>14335.0</v>
      </c>
      <c r="B2903" s="11" t="s">
        <v>2926</v>
      </c>
      <c r="C2903" s="12">
        <v>22805.0</v>
      </c>
      <c r="D2903" s="11" t="str">
        <f t="shared" si="1"/>
        <v> </v>
      </c>
      <c r="E2903" s="11" t="str">
        <f t="shared" si="2"/>
        <v> </v>
      </c>
    </row>
    <row r="2904" ht="15.75" customHeight="1">
      <c r="A2904" s="11">
        <v>14336.0</v>
      </c>
      <c r="B2904" s="11" t="s">
        <v>2927</v>
      </c>
      <c r="C2904" s="12">
        <v>29285.0</v>
      </c>
      <c r="D2904" s="11" t="str">
        <f t="shared" si="1"/>
        <v> </v>
      </c>
      <c r="E2904" s="11" t="str">
        <f t="shared" si="2"/>
        <v> </v>
      </c>
    </row>
    <row r="2905" ht="15.75" customHeight="1">
      <c r="A2905" s="11">
        <v>14337.0</v>
      </c>
      <c r="B2905" s="11" t="s">
        <v>2928</v>
      </c>
      <c r="C2905" s="12">
        <v>20282.0</v>
      </c>
      <c r="D2905" s="11" t="str">
        <f t="shared" si="1"/>
        <v> </v>
      </c>
      <c r="E2905" s="11" t="str">
        <f t="shared" si="2"/>
        <v> </v>
      </c>
    </row>
    <row r="2906" ht="15.75" customHeight="1">
      <c r="A2906" s="11">
        <v>14338.0</v>
      </c>
      <c r="B2906" s="11" t="s">
        <v>2929</v>
      </c>
      <c r="C2906" s="12">
        <v>29008.0</v>
      </c>
      <c r="D2906" s="11" t="str">
        <f t="shared" si="1"/>
        <v>Repeat</v>
      </c>
      <c r="E2906" s="11" t="str">
        <f t="shared" si="2"/>
        <v> </v>
      </c>
    </row>
    <row r="2907" ht="15.75" customHeight="1">
      <c r="A2907" s="11">
        <v>14339.0</v>
      </c>
      <c r="B2907" s="11" t="s">
        <v>2930</v>
      </c>
      <c r="C2907" s="12">
        <v>19142.0</v>
      </c>
      <c r="D2907" s="11" t="str">
        <f t="shared" si="1"/>
        <v> </v>
      </c>
      <c r="E2907" s="11" t="str">
        <f t="shared" si="2"/>
        <v> </v>
      </c>
    </row>
    <row r="2908" ht="15.75" customHeight="1">
      <c r="A2908" s="11">
        <v>14340.0</v>
      </c>
      <c r="B2908" s="11" t="s">
        <v>2931</v>
      </c>
      <c r="C2908" s="12">
        <v>18616.0</v>
      </c>
      <c r="D2908" s="11" t="str">
        <f t="shared" si="1"/>
        <v> </v>
      </c>
      <c r="E2908" s="11" t="str">
        <f t="shared" si="2"/>
        <v> </v>
      </c>
    </row>
    <row r="2909" ht="15.75" customHeight="1">
      <c r="A2909" s="11">
        <v>14341.0</v>
      </c>
      <c r="B2909" s="11" t="s">
        <v>2932</v>
      </c>
      <c r="C2909" s="12">
        <v>17687.0</v>
      </c>
      <c r="D2909" s="11" t="str">
        <f t="shared" si="1"/>
        <v> </v>
      </c>
      <c r="E2909" s="11" t="str">
        <f t="shared" si="2"/>
        <v> </v>
      </c>
    </row>
    <row r="2910" ht="15.75" customHeight="1">
      <c r="A2910" s="11">
        <v>14342.0</v>
      </c>
      <c r="B2910" s="11" t="s">
        <v>2933</v>
      </c>
      <c r="C2910" s="12">
        <v>26440.0</v>
      </c>
      <c r="D2910" s="11" t="str">
        <f t="shared" si="1"/>
        <v> </v>
      </c>
      <c r="E2910" s="11" t="str">
        <f t="shared" si="2"/>
        <v> </v>
      </c>
    </row>
    <row r="2911" ht="15.75" customHeight="1">
      <c r="A2911" s="11">
        <v>14344.0</v>
      </c>
      <c r="B2911" s="11" t="s">
        <v>2934</v>
      </c>
      <c r="C2911" s="12">
        <v>20391.0</v>
      </c>
      <c r="D2911" s="11" t="str">
        <f t="shared" si="1"/>
        <v> </v>
      </c>
      <c r="E2911" s="11" t="str">
        <f t="shared" si="2"/>
        <v> </v>
      </c>
    </row>
    <row r="2912" ht="15.75" customHeight="1">
      <c r="A2912" s="11">
        <v>14345.0</v>
      </c>
      <c r="B2912" s="11" t="s">
        <v>2935</v>
      </c>
      <c r="C2912" s="12">
        <v>36442.0</v>
      </c>
      <c r="D2912" s="11" t="str">
        <f t="shared" si="1"/>
        <v> </v>
      </c>
      <c r="E2912" s="11" t="str">
        <f t="shared" si="2"/>
        <v> </v>
      </c>
    </row>
    <row r="2913" ht="15.75" customHeight="1">
      <c r="A2913" s="11">
        <v>14346.0</v>
      </c>
      <c r="B2913" s="11" t="s">
        <v>2936</v>
      </c>
      <c r="C2913" s="12">
        <v>22541.0</v>
      </c>
      <c r="D2913" s="11" t="str">
        <f t="shared" si="1"/>
        <v> </v>
      </c>
      <c r="E2913" s="11" t="str">
        <f t="shared" si="2"/>
        <v> </v>
      </c>
    </row>
    <row r="2914" ht="15.75" customHeight="1">
      <c r="A2914" s="11">
        <v>14347.0</v>
      </c>
      <c r="B2914" s="11" t="s">
        <v>2937</v>
      </c>
      <c r="C2914" s="12">
        <v>22976.0</v>
      </c>
      <c r="D2914" s="11" t="str">
        <f t="shared" si="1"/>
        <v> </v>
      </c>
      <c r="E2914" s="11" t="str">
        <f t="shared" si="2"/>
        <v> </v>
      </c>
    </row>
    <row r="2915" ht="15.75" customHeight="1">
      <c r="A2915" s="11">
        <v>14348.0</v>
      </c>
      <c r="B2915" s="11" t="s">
        <v>2938</v>
      </c>
      <c r="C2915" s="12">
        <v>21760.0</v>
      </c>
      <c r="D2915" s="11" t="str">
        <f t="shared" si="1"/>
        <v> </v>
      </c>
      <c r="E2915" s="11" t="str">
        <f t="shared" si="2"/>
        <v> </v>
      </c>
    </row>
    <row r="2916" ht="15.75" customHeight="1">
      <c r="A2916" s="11">
        <v>14349.0</v>
      </c>
      <c r="B2916" s="11" t="s">
        <v>2939</v>
      </c>
      <c r="C2916" s="12">
        <v>23878.0</v>
      </c>
      <c r="D2916" s="11" t="str">
        <f t="shared" si="1"/>
        <v> </v>
      </c>
      <c r="E2916" s="11" t="str">
        <f t="shared" si="2"/>
        <v> </v>
      </c>
    </row>
    <row r="2917" ht="15.75" customHeight="1">
      <c r="A2917" s="11">
        <v>14350.0</v>
      </c>
      <c r="B2917" s="11" t="s">
        <v>2940</v>
      </c>
      <c r="C2917" s="12">
        <v>16937.0</v>
      </c>
      <c r="D2917" s="11" t="str">
        <f t="shared" si="1"/>
        <v> </v>
      </c>
      <c r="E2917" s="11" t="str">
        <f t="shared" si="2"/>
        <v> </v>
      </c>
    </row>
    <row r="2918" ht="15.75" customHeight="1">
      <c r="A2918" s="11">
        <v>14351.0</v>
      </c>
      <c r="B2918" s="11" t="s">
        <v>2941</v>
      </c>
      <c r="C2918" s="12">
        <v>24419.0</v>
      </c>
      <c r="D2918" s="11" t="str">
        <f t="shared" si="1"/>
        <v> </v>
      </c>
      <c r="E2918" s="11" t="str">
        <f t="shared" si="2"/>
        <v> </v>
      </c>
    </row>
    <row r="2919" ht="15.75" customHeight="1">
      <c r="A2919" s="11">
        <v>14353.0</v>
      </c>
      <c r="B2919" s="11" t="s">
        <v>2942</v>
      </c>
      <c r="C2919" s="12">
        <v>20338.0</v>
      </c>
      <c r="D2919" s="11" t="str">
        <f t="shared" si="1"/>
        <v> </v>
      </c>
      <c r="E2919" s="11" t="str">
        <f t="shared" si="2"/>
        <v> </v>
      </c>
    </row>
    <row r="2920" ht="15.75" customHeight="1">
      <c r="A2920" s="11">
        <v>14354.0</v>
      </c>
      <c r="B2920" s="11" t="s">
        <v>2943</v>
      </c>
      <c r="C2920" s="12">
        <v>29877.0</v>
      </c>
      <c r="D2920" s="11" t="str">
        <f t="shared" si="1"/>
        <v> </v>
      </c>
      <c r="E2920" s="11" t="str">
        <f t="shared" si="2"/>
        <v> </v>
      </c>
    </row>
    <row r="2921" ht="15.75" customHeight="1">
      <c r="A2921" s="11">
        <v>14355.0</v>
      </c>
      <c r="B2921" s="11" t="s">
        <v>2944</v>
      </c>
      <c r="C2921" s="12">
        <v>19165.0</v>
      </c>
      <c r="D2921" s="11" t="str">
        <f t="shared" si="1"/>
        <v> </v>
      </c>
      <c r="E2921" s="11" t="str">
        <f t="shared" si="2"/>
        <v> </v>
      </c>
    </row>
    <row r="2922" ht="15.75" customHeight="1">
      <c r="A2922" s="11">
        <v>14356.0</v>
      </c>
      <c r="B2922" s="11" t="s">
        <v>2945</v>
      </c>
      <c r="C2922" s="12">
        <v>17942.0</v>
      </c>
      <c r="D2922" s="11" t="str">
        <f t="shared" si="1"/>
        <v> </v>
      </c>
      <c r="E2922" s="11" t="str">
        <f t="shared" si="2"/>
        <v> </v>
      </c>
    </row>
    <row r="2923" ht="15.75" customHeight="1">
      <c r="A2923" s="11">
        <v>14357.0</v>
      </c>
      <c r="B2923" s="11" t="s">
        <v>2946</v>
      </c>
      <c r="C2923" s="12">
        <v>15000.0</v>
      </c>
      <c r="D2923" s="11" t="str">
        <f t="shared" si="1"/>
        <v> </v>
      </c>
      <c r="E2923" s="11" t="str">
        <f t="shared" si="2"/>
        <v> </v>
      </c>
    </row>
    <row r="2924" ht="15.75" customHeight="1">
      <c r="A2924" s="11">
        <v>14358.0</v>
      </c>
      <c r="B2924" s="11" t="s">
        <v>2947</v>
      </c>
      <c r="C2924" s="12">
        <v>19725.0</v>
      </c>
      <c r="D2924" s="11" t="str">
        <f t="shared" si="1"/>
        <v> </v>
      </c>
      <c r="E2924" s="11" t="str">
        <f t="shared" si="2"/>
        <v> </v>
      </c>
    </row>
    <row r="2925" ht="15.75" customHeight="1">
      <c r="A2925" s="11">
        <v>14359.0</v>
      </c>
      <c r="B2925" s="11" t="s">
        <v>2948</v>
      </c>
      <c r="C2925" s="12">
        <v>22662.0</v>
      </c>
      <c r="D2925" s="11" t="str">
        <f t="shared" si="1"/>
        <v> </v>
      </c>
      <c r="E2925" s="11" t="str">
        <f t="shared" si="2"/>
        <v> </v>
      </c>
    </row>
    <row r="2926" ht="15.75" customHeight="1">
      <c r="A2926" s="11">
        <v>14360.0</v>
      </c>
      <c r="B2926" s="11" t="s">
        <v>2949</v>
      </c>
      <c r="C2926" s="12">
        <v>25785.0</v>
      </c>
      <c r="D2926" s="11" t="str">
        <f t="shared" si="1"/>
        <v> </v>
      </c>
      <c r="E2926" s="11" t="str">
        <f t="shared" si="2"/>
        <v> </v>
      </c>
    </row>
    <row r="2927" ht="15.75" customHeight="1">
      <c r="A2927" s="11">
        <v>14361.0</v>
      </c>
      <c r="B2927" s="11" t="s">
        <v>2950</v>
      </c>
      <c r="C2927" s="12">
        <v>10095.0</v>
      </c>
      <c r="D2927" s="11" t="str">
        <f t="shared" si="1"/>
        <v> </v>
      </c>
      <c r="E2927" s="11" t="str">
        <f t="shared" si="2"/>
        <v> </v>
      </c>
    </row>
    <row r="2928" ht="15.75" customHeight="1">
      <c r="A2928" s="11">
        <v>14362.0</v>
      </c>
      <c r="B2928" s="11" t="s">
        <v>2951</v>
      </c>
      <c r="C2928" s="12">
        <v>32801.0</v>
      </c>
      <c r="D2928" s="11" t="str">
        <f t="shared" si="1"/>
        <v> </v>
      </c>
      <c r="E2928" s="11" t="str">
        <f t="shared" si="2"/>
        <v> </v>
      </c>
    </row>
    <row r="2929" ht="15.75" customHeight="1">
      <c r="A2929" s="11">
        <v>14363.0</v>
      </c>
      <c r="B2929" s="11" t="s">
        <v>2952</v>
      </c>
      <c r="C2929" s="12">
        <v>27240.0</v>
      </c>
      <c r="D2929" s="11" t="str">
        <f t="shared" si="1"/>
        <v> </v>
      </c>
      <c r="E2929" s="11" t="str">
        <f t="shared" si="2"/>
        <v> </v>
      </c>
    </row>
    <row r="2930" ht="15.75" customHeight="1">
      <c r="A2930" s="11">
        <v>14364.0</v>
      </c>
      <c r="B2930" s="11" t="s">
        <v>2953</v>
      </c>
      <c r="C2930" s="12">
        <v>35414.0</v>
      </c>
      <c r="D2930" s="11" t="str">
        <f t="shared" si="1"/>
        <v> </v>
      </c>
      <c r="E2930" s="11" t="str">
        <f t="shared" si="2"/>
        <v> </v>
      </c>
    </row>
    <row r="2931" ht="15.75" customHeight="1">
      <c r="A2931" s="11">
        <v>14367.0</v>
      </c>
      <c r="B2931" s="11" t="s">
        <v>2954</v>
      </c>
      <c r="C2931" s="12">
        <v>30917.0</v>
      </c>
      <c r="D2931" s="11" t="str">
        <f t="shared" si="1"/>
        <v> </v>
      </c>
      <c r="E2931" s="11" t="str">
        <f t="shared" si="2"/>
        <v> </v>
      </c>
    </row>
    <row r="2932" ht="15.75" customHeight="1">
      <c r="A2932" s="11">
        <v>14368.0</v>
      </c>
      <c r="B2932" s="11" t="s">
        <v>2955</v>
      </c>
      <c r="C2932" s="12">
        <v>14180.0</v>
      </c>
      <c r="D2932" s="11" t="str">
        <f t="shared" si="1"/>
        <v> </v>
      </c>
      <c r="E2932" s="11" t="str">
        <f t="shared" si="2"/>
        <v> </v>
      </c>
    </row>
    <row r="2933" ht="15.75" customHeight="1">
      <c r="A2933" s="11">
        <v>14371.0</v>
      </c>
      <c r="B2933" s="11" t="s">
        <v>2956</v>
      </c>
      <c r="C2933" s="12">
        <v>33791.0</v>
      </c>
      <c r="D2933" s="11" t="str">
        <f t="shared" si="1"/>
        <v> </v>
      </c>
      <c r="E2933" s="11" t="str">
        <f t="shared" si="2"/>
        <v> </v>
      </c>
    </row>
    <row r="2934" ht="15.75" customHeight="1">
      <c r="A2934" s="11">
        <v>14372.0</v>
      </c>
      <c r="B2934" s="11" t="s">
        <v>2957</v>
      </c>
      <c r="C2934" s="12">
        <v>24866.0</v>
      </c>
      <c r="D2934" s="11" t="str">
        <f t="shared" si="1"/>
        <v> </v>
      </c>
      <c r="E2934" s="11" t="str">
        <f t="shared" si="2"/>
        <v> </v>
      </c>
    </row>
    <row r="2935" ht="15.75" customHeight="1">
      <c r="A2935" s="11">
        <v>14373.0</v>
      </c>
      <c r="B2935" s="11" t="s">
        <v>2958</v>
      </c>
      <c r="C2935" s="12">
        <v>28183.0</v>
      </c>
      <c r="D2935" s="11" t="str">
        <f t="shared" si="1"/>
        <v> </v>
      </c>
      <c r="E2935" s="11" t="str">
        <f t="shared" si="2"/>
        <v> </v>
      </c>
    </row>
    <row r="2936" ht="15.75" customHeight="1">
      <c r="A2936" s="11">
        <v>14374.0</v>
      </c>
      <c r="B2936" s="11" t="s">
        <v>2959</v>
      </c>
      <c r="C2936" s="12">
        <v>25846.0</v>
      </c>
      <c r="D2936" s="11" t="str">
        <f t="shared" si="1"/>
        <v> </v>
      </c>
      <c r="E2936" s="11" t="str">
        <f t="shared" si="2"/>
        <v> </v>
      </c>
    </row>
    <row r="2937" ht="15.75" customHeight="1">
      <c r="A2937" s="11">
        <v>14375.0</v>
      </c>
      <c r="B2937" s="11" t="s">
        <v>2960</v>
      </c>
      <c r="C2937" s="12">
        <v>13104.0</v>
      </c>
      <c r="D2937" s="11" t="str">
        <f t="shared" si="1"/>
        <v> </v>
      </c>
      <c r="E2937" s="11" t="str">
        <f t="shared" si="2"/>
        <v> </v>
      </c>
    </row>
    <row r="2938" ht="15.75" customHeight="1">
      <c r="A2938" s="11">
        <v>14376.0</v>
      </c>
      <c r="B2938" s="11" t="s">
        <v>2961</v>
      </c>
      <c r="C2938" s="12">
        <v>19032.0</v>
      </c>
      <c r="D2938" s="11" t="str">
        <f t="shared" si="1"/>
        <v> </v>
      </c>
      <c r="E2938" s="11" t="str">
        <f t="shared" si="2"/>
        <v> </v>
      </c>
    </row>
    <row r="2939" ht="15.75" customHeight="1">
      <c r="A2939" s="11">
        <v>14377.0</v>
      </c>
      <c r="B2939" s="11" t="s">
        <v>2962</v>
      </c>
      <c r="C2939" s="12">
        <v>26211.0</v>
      </c>
      <c r="D2939" s="11" t="str">
        <f t="shared" si="1"/>
        <v> </v>
      </c>
      <c r="E2939" s="11" t="str">
        <f t="shared" si="2"/>
        <v> </v>
      </c>
    </row>
    <row r="2940" ht="15.75" customHeight="1">
      <c r="A2940" s="11">
        <v>14379.0</v>
      </c>
      <c r="B2940" s="11" t="s">
        <v>2963</v>
      </c>
      <c r="C2940" s="12">
        <v>28485.0</v>
      </c>
      <c r="D2940" s="11" t="str">
        <f t="shared" si="1"/>
        <v> </v>
      </c>
      <c r="E2940" s="11" t="str">
        <f t="shared" si="2"/>
        <v> </v>
      </c>
    </row>
    <row r="2941" ht="15.75" customHeight="1">
      <c r="A2941" s="11">
        <v>14381.0</v>
      </c>
      <c r="B2941" s="11" t="s">
        <v>2964</v>
      </c>
      <c r="C2941" s="12">
        <v>16771.0</v>
      </c>
      <c r="D2941" s="11" t="str">
        <f t="shared" si="1"/>
        <v> </v>
      </c>
      <c r="E2941" s="11" t="str">
        <f t="shared" si="2"/>
        <v> </v>
      </c>
    </row>
    <row r="2942" ht="15.75" customHeight="1">
      <c r="A2942" s="11">
        <v>14383.0</v>
      </c>
      <c r="B2942" s="11" t="s">
        <v>2965</v>
      </c>
      <c r="C2942" s="12">
        <v>19460.0</v>
      </c>
      <c r="D2942" s="11" t="str">
        <f t="shared" si="1"/>
        <v> </v>
      </c>
      <c r="E2942" s="11" t="str">
        <f t="shared" si="2"/>
        <v> </v>
      </c>
    </row>
    <row r="2943" ht="15.75" customHeight="1">
      <c r="A2943" s="11">
        <v>14384.0</v>
      </c>
      <c r="B2943" s="11" t="s">
        <v>2966</v>
      </c>
      <c r="C2943" s="12">
        <v>27807.0</v>
      </c>
      <c r="D2943" s="11" t="str">
        <f t="shared" si="1"/>
        <v> </v>
      </c>
      <c r="E2943" s="11" t="str">
        <f t="shared" si="2"/>
        <v> </v>
      </c>
    </row>
    <row r="2944" ht="15.75" customHeight="1">
      <c r="A2944" s="11">
        <v>14385.0</v>
      </c>
      <c r="B2944" s="11" t="s">
        <v>2967</v>
      </c>
      <c r="C2944" s="12">
        <v>15808.0</v>
      </c>
      <c r="D2944" s="11" t="str">
        <f t="shared" si="1"/>
        <v> </v>
      </c>
      <c r="E2944" s="11" t="str">
        <f t="shared" si="2"/>
        <v> </v>
      </c>
    </row>
    <row r="2945" ht="15.75" customHeight="1">
      <c r="A2945" s="11">
        <v>14386.0</v>
      </c>
      <c r="B2945" s="11" t="s">
        <v>2968</v>
      </c>
      <c r="C2945" s="12">
        <v>19365.0</v>
      </c>
      <c r="D2945" s="11" t="str">
        <f t="shared" si="1"/>
        <v> </v>
      </c>
      <c r="E2945" s="11" t="str">
        <f t="shared" si="2"/>
        <v> </v>
      </c>
    </row>
    <row r="2946" ht="15.75" customHeight="1">
      <c r="A2946" s="11">
        <v>14387.0</v>
      </c>
      <c r="B2946" s="11" t="s">
        <v>2969</v>
      </c>
      <c r="C2946" s="12">
        <v>23397.0</v>
      </c>
      <c r="D2946" s="11" t="str">
        <f t="shared" si="1"/>
        <v> </v>
      </c>
      <c r="E2946" s="11" t="str">
        <f t="shared" si="2"/>
        <v> </v>
      </c>
    </row>
    <row r="2947" ht="15.75" customHeight="1">
      <c r="A2947" s="11">
        <v>14388.0</v>
      </c>
      <c r="B2947" s="11" t="s">
        <v>2970</v>
      </c>
      <c r="C2947" s="12">
        <v>20264.0</v>
      </c>
      <c r="D2947" s="11" t="str">
        <f t="shared" si="1"/>
        <v> </v>
      </c>
      <c r="E2947" s="11" t="str">
        <f t="shared" si="2"/>
        <v> </v>
      </c>
    </row>
    <row r="2948" ht="15.75" customHeight="1">
      <c r="A2948" s="11">
        <v>14390.0</v>
      </c>
      <c r="B2948" s="11" t="s">
        <v>2971</v>
      </c>
      <c r="C2948" s="12">
        <v>19605.0</v>
      </c>
      <c r="D2948" s="11" t="str">
        <f t="shared" si="1"/>
        <v> </v>
      </c>
      <c r="E2948" s="11" t="str">
        <f t="shared" si="2"/>
        <v> </v>
      </c>
    </row>
    <row r="2949" ht="15.75" customHeight="1">
      <c r="A2949" s="11">
        <v>14391.0</v>
      </c>
      <c r="B2949" s="11" t="s">
        <v>2972</v>
      </c>
      <c r="C2949" s="12">
        <v>30997.0</v>
      </c>
      <c r="D2949" s="11" t="str">
        <f t="shared" si="1"/>
        <v> </v>
      </c>
      <c r="E2949" s="11" t="str">
        <f t="shared" si="2"/>
        <v> </v>
      </c>
    </row>
    <row r="2950" ht="15.75" customHeight="1">
      <c r="A2950" s="11">
        <v>14392.0</v>
      </c>
      <c r="B2950" s="11" t="s">
        <v>2973</v>
      </c>
      <c r="C2950" s="12">
        <v>21549.0</v>
      </c>
      <c r="D2950" s="11" t="str">
        <f t="shared" si="1"/>
        <v> </v>
      </c>
      <c r="E2950" s="11" t="str">
        <f t="shared" si="2"/>
        <v> </v>
      </c>
    </row>
    <row r="2951" ht="15.75" customHeight="1">
      <c r="A2951" s="11">
        <v>14393.0</v>
      </c>
      <c r="B2951" s="11" t="s">
        <v>2974</v>
      </c>
      <c r="C2951" s="12">
        <v>14127.0</v>
      </c>
      <c r="D2951" s="11" t="str">
        <f t="shared" si="1"/>
        <v> </v>
      </c>
      <c r="E2951" s="11" t="str">
        <f t="shared" si="2"/>
        <v> </v>
      </c>
    </row>
    <row r="2952" ht="15.75" customHeight="1">
      <c r="A2952" s="11">
        <v>14395.0</v>
      </c>
      <c r="B2952" s="11" t="s">
        <v>2975</v>
      </c>
      <c r="C2952" s="12">
        <v>22705.0</v>
      </c>
      <c r="D2952" s="11" t="str">
        <f t="shared" si="1"/>
        <v> </v>
      </c>
      <c r="E2952" s="11" t="str">
        <f t="shared" si="2"/>
        <v> </v>
      </c>
    </row>
    <row r="2953" ht="15.75" customHeight="1">
      <c r="A2953" s="11">
        <v>14396.0</v>
      </c>
      <c r="B2953" s="11" t="s">
        <v>2976</v>
      </c>
      <c r="C2953" s="12">
        <v>16525.0</v>
      </c>
      <c r="D2953" s="11" t="str">
        <f t="shared" si="1"/>
        <v> </v>
      </c>
      <c r="E2953" s="11" t="str">
        <f t="shared" si="2"/>
        <v> </v>
      </c>
    </row>
    <row r="2954" ht="15.75" customHeight="1">
      <c r="A2954" s="11">
        <v>14398.0</v>
      </c>
      <c r="B2954" s="11" t="s">
        <v>2977</v>
      </c>
      <c r="C2954" s="12">
        <v>16079.0</v>
      </c>
      <c r="D2954" s="11" t="str">
        <f t="shared" si="1"/>
        <v> </v>
      </c>
      <c r="E2954" s="11" t="str">
        <f t="shared" si="2"/>
        <v> </v>
      </c>
    </row>
    <row r="2955" ht="15.75" customHeight="1">
      <c r="A2955" s="11">
        <v>14401.0</v>
      </c>
      <c r="B2955" s="11" t="s">
        <v>2978</v>
      </c>
      <c r="C2955" s="12">
        <v>12436.0</v>
      </c>
      <c r="D2955" s="11" t="str">
        <f t="shared" si="1"/>
        <v> </v>
      </c>
      <c r="E2955" s="11" t="str">
        <f t="shared" si="2"/>
        <v> </v>
      </c>
    </row>
    <row r="2956" ht="15.75" customHeight="1">
      <c r="A2956" s="11">
        <v>14402.0</v>
      </c>
      <c r="B2956" s="11" t="s">
        <v>2979</v>
      </c>
      <c r="C2956" s="12">
        <v>19473.0</v>
      </c>
      <c r="D2956" s="11" t="str">
        <f t="shared" si="1"/>
        <v> </v>
      </c>
      <c r="E2956" s="11" t="str">
        <f t="shared" si="2"/>
        <v> </v>
      </c>
    </row>
    <row r="2957" ht="15.75" customHeight="1">
      <c r="A2957" s="11">
        <v>14403.0</v>
      </c>
      <c r="B2957" s="11" t="s">
        <v>2980</v>
      </c>
      <c r="C2957" s="12">
        <v>22013.0</v>
      </c>
      <c r="D2957" s="11" t="str">
        <f t="shared" si="1"/>
        <v> </v>
      </c>
      <c r="E2957" s="11" t="str">
        <f t="shared" si="2"/>
        <v> </v>
      </c>
    </row>
    <row r="2958" ht="15.75" customHeight="1">
      <c r="A2958" s="11">
        <v>14404.0</v>
      </c>
      <c r="B2958" s="11" t="s">
        <v>2981</v>
      </c>
      <c r="C2958" s="12">
        <v>21878.0</v>
      </c>
      <c r="D2958" s="11" t="str">
        <f t="shared" si="1"/>
        <v> </v>
      </c>
      <c r="E2958" s="11" t="str">
        <f t="shared" si="2"/>
        <v> </v>
      </c>
    </row>
    <row r="2959" ht="15.75" customHeight="1">
      <c r="A2959" s="11">
        <v>14406.0</v>
      </c>
      <c r="B2959" s="11" t="s">
        <v>2982</v>
      </c>
      <c r="C2959" s="12">
        <v>28161.0</v>
      </c>
      <c r="D2959" s="11" t="str">
        <f t="shared" si="1"/>
        <v>Repeat</v>
      </c>
      <c r="E2959" s="11" t="str">
        <f t="shared" si="2"/>
        <v>Repeat</v>
      </c>
    </row>
    <row r="2960" ht="15.75" customHeight="1">
      <c r="A2960" s="11">
        <v>14407.0</v>
      </c>
      <c r="B2960" s="11" t="s">
        <v>2983</v>
      </c>
      <c r="C2960" s="12">
        <v>21917.0</v>
      </c>
      <c r="D2960" s="11" t="str">
        <f t="shared" si="1"/>
        <v> </v>
      </c>
      <c r="E2960" s="11" t="str">
        <f t="shared" si="2"/>
        <v> </v>
      </c>
    </row>
    <row r="2961" ht="15.75" customHeight="1">
      <c r="A2961" s="11">
        <v>14409.0</v>
      </c>
      <c r="B2961" s="11" t="s">
        <v>2984</v>
      </c>
      <c r="C2961" s="12">
        <v>15632.0</v>
      </c>
      <c r="D2961" s="11" t="str">
        <f t="shared" si="1"/>
        <v> </v>
      </c>
      <c r="E2961" s="11" t="str">
        <f t="shared" si="2"/>
        <v> </v>
      </c>
    </row>
    <row r="2962" ht="15.75" customHeight="1">
      <c r="A2962" s="11">
        <v>14410.0</v>
      </c>
      <c r="B2962" s="11" t="s">
        <v>2985</v>
      </c>
      <c r="C2962" s="12">
        <v>14388.0</v>
      </c>
      <c r="D2962" s="11" t="str">
        <f t="shared" si="1"/>
        <v> </v>
      </c>
      <c r="E2962" s="11" t="str">
        <f t="shared" si="2"/>
        <v> </v>
      </c>
    </row>
    <row r="2963" ht="15.75" customHeight="1">
      <c r="A2963" s="11">
        <v>14411.0</v>
      </c>
      <c r="B2963" s="11" t="s">
        <v>2986</v>
      </c>
      <c r="C2963" s="12">
        <v>20328.0</v>
      </c>
      <c r="D2963" s="11" t="str">
        <f t="shared" si="1"/>
        <v> </v>
      </c>
      <c r="E2963" s="11" t="str">
        <f t="shared" si="2"/>
        <v> </v>
      </c>
    </row>
    <row r="2964" ht="15.75" customHeight="1">
      <c r="A2964" s="11">
        <v>14413.0</v>
      </c>
      <c r="B2964" s="11" t="s">
        <v>2987</v>
      </c>
      <c r="C2964" s="12">
        <v>22653.0</v>
      </c>
      <c r="D2964" s="11" t="str">
        <f t="shared" si="1"/>
        <v> </v>
      </c>
      <c r="E2964" s="11" t="str">
        <f t="shared" si="2"/>
        <v> </v>
      </c>
    </row>
    <row r="2965" ht="15.75" customHeight="1">
      <c r="A2965" s="11">
        <v>14414.0</v>
      </c>
      <c r="B2965" s="11" t="s">
        <v>2988</v>
      </c>
      <c r="C2965" s="12">
        <v>20051.0</v>
      </c>
      <c r="D2965" s="11" t="str">
        <f t="shared" si="1"/>
        <v> </v>
      </c>
      <c r="E2965" s="11" t="str">
        <f t="shared" si="2"/>
        <v> </v>
      </c>
    </row>
    <row r="2966" ht="15.75" customHeight="1">
      <c r="A2966" s="11">
        <v>14415.0</v>
      </c>
      <c r="B2966" s="11" t="s">
        <v>2989</v>
      </c>
      <c r="C2966" s="12">
        <v>24214.0</v>
      </c>
      <c r="D2966" s="11" t="str">
        <f t="shared" si="1"/>
        <v> </v>
      </c>
      <c r="E2966" s="11" t="str">
        <f t="shared" si="2"/>
        <v> </v>
      </c>
    </row>
    <row r="2967" ht="15.75" customHeight="1">
      <c r="A2967" s="11">
        <v>14416.0</v>
      </c>
      <c r="B2967" s="11" t="s">
        <v>2990</v>
      </c>
      <c r="C2967" s="12">
        <v>26484.0</v>
      </c>
      <c r="D2967" s="11" t="str">
        <f t="shared" si="1"/>
        <v> </v>
      </c>
      <c r="E2967" s="11" t="str">
        <f t="shared" si="2"/>
        <v> </v>
      </c>
    </row>
    <row r="2968" ht="15.75" customHeight="1">
      <c r="A2968" s="11">
        <v>14417.0</v>
      </c>
      <c r="B2968" s="11" t="s">
        <v>2991</v>
      </c>
      <c r="C2968" s="12">
        <v>32314.0</v>
      </c>
      <c r="D2968" s="11" t="str">
        <f t="shared" si="1"/>
        <v> </v>
      </c>
      <c r="E2968" s="11" t="str">
        <f t="shared" si="2"/>
        <v> </v>
      </c>
    </row>
    <row r="2969" ht="15.75" customHeight="1">
      <c r="A2969" s="11">
        <v>14419.0</v>
      </c>
      <c r="B2969" s="11" t="s">
        <v>2992</v>
      </c>
      <c r="C2969" s="12">
        <v>19617.0</v>
      </c>
      <c r="D2969" s="11" t="str">
        <f t="shared" si="1"/>
        <v> </v>
      </c>
      <c r="E2969" s="11" t="str">
        <f t="shared" si="2"/>
        <v> </v>
      </c>
    </row>
    <row r="2970" ht="15.75" customHeight="1">
      <c r="A2970" s="11">
        <v>14420.0</v>
      </c>
      <c r="B2970" s="11" t="s">
        <v>2993</v>
      </c>
      <c r="C2970" s="12">
        <v>23277.0</v>
      </c>
      <c r="D2970" s="11" t="str">
        <f t="shared" si="1"/>
        <v> </v>
      </c>
      <c r="E2970" s="11" t="str">
        <f t="shared" si="2"/>
        <v> </v>
      </c>
    </row>
    <row r="2971" ht="15.75" customHeight="1">
      <c r="A2971" s="11">
        <v>14421.0</v>
      </c>
      <c r="B2971" s="11" t="s">
        <v>2994</v>
      </c>
      <c r="C2971" s="12">
        <v>26326.0</v>
      </c>
      <c r="D2971" s="11" t="str">
        <f t="shared" si="1"/>
        <v> </v>
      </c>
      <c r="E2971" s="11" t="str">
        <f t="shared" si="2"/>
        <v> </v>
      </c>
    </row>
    <row r="2972" ht="15.75" customHeight="1">
      <c r="A2972" s="11">
        <v>14422.0</v>
      </c>
      <c r="B2972" s="11" t="s">
        <v>2995</v>
      </c>
      <c r="C2972" s="12">
        <v>30841.0</v>
      </c>
      <c r="D2972" s="11" t="str">
        <f t="shared" si="1"/>
        <v> </v>
      </c>
      <c r="E2972" s="11" t="str">
        <f t="shared" si="2"/>
        <v> </v>
      </c>
    </row>
    <row r="2973" ht="15.75" customHeight="1">
      <c r="A2973" s="11">
        <v>14423.0</v>
      </c>
      <c r="B2973" s="11" t="s">
        <v>2996</v>
      </c>
      <c r="C2973" s="12">
        <v>19690.0</v>
      </c>
      <c r="D2973" s="11" t="str">
        <f t="shared" si="1"/>
        <v> </v>
      </c>
      <c r="E2973" s="11" t="str">
        <f t="shared" si="2"/>
        <v> </v>
      </c>
    </row>
    <row r="2974" ht="15.75" customHeight="1">
      <c r="A2974" s="11">
        <v>14424.0</v>
      </c>
      <c r="B2974" s="11" t="s">
        <v>2997</v>
      </c>
      <c r="C2974" s="12">
        <v>23030.0</v>
      </c>
      <c r="D2974" s="11" t="str">
        <f t="shared" si="1"/>
        <v> </v>
      </c>
      <c r="E2974" s="11" t="str">
        <f t="shared" si="2"/>
        <v> </v>
      </c>
    </row>
    <row r="2975" ht="15.75" customHeight="1">
      <c r="A2975" s="11">
        <v>14425.0</v>
      </c>
      <c r="B2975" s="11" t="s">
        <v>2998</v>
      </c>
      <c r="C2975" s="12">
        <v>33435.0</v>
      </c>
      <c r="D2975" s="11" t="str">
        <f t="shared" si="1"/>
        <v> </v>
      </c>
      <c r="E2975" s="11" t="str">
        <f t="shared" si="2"/>
        <v> </v>
      </c>
    </row>
    <row r="2976" ht="15.75" customHeight="1">
      <c r="A2976" s="11">
        <v>14427.0</v>
      </c>
      <c r="B2976" s="11" t="s">
        <v>2999</v>
      </c>
      <c r="C2976" s="12">
        <v>12094.0</v>
      </c>
      <c r="D2976" s="11" t="str">
        <f t="shared" si="1"/>
        <v> </v>
      </c>
      <c r="E2976" s="11" t="str">
        <f t="shared" si="2"/>
        <v> </v>
      </c>
    </row>
    <row r="2977" ht="15.75" customHeight="1">
      <c r="A2977" s="11">
        <v>14429.0</v>
      </c>
      <c r="B2977" s="11" t="s">
        <v>3000</v>
      </c>
      <c r="C2977" s="12">
        <v>31555.0</v>
      </c>
      <c r="D2977" s="11" t="str">
        <f t="shared" si="1"/>
        <v> </v>
      </c>
      <c r="E2977" s="11" t="str">
        <f t="shared" si="2"/>
        <v> </v>
      </c>
    </row>
    <row r="2978" ht="15.75" customHeight="1">
      <c r="A2978" s="11">
        <v>14433.0</v>
      </c>
      <c r="B2978" s="11" t="s">
        <v>3001</v>
      </c>
      <c r="C2978" s="12">
        <v>26535.0</v>
      </c>
      <c r="D2978" s="11" t="str">
        <f t="shared" si="1"/>
        <v> </v>
      </c>
      <c r="E2978" s="11" t="str">
        <f t="shared" si="2"/>
        <v> </v>
      </c>
    </row>
    <row r="2979" ht="15.75" customHeight="1">
      <c r="A2979" s="11">
        <v>14434.0</v>
      </c>
      <c r="B2979" s="11" t="s">
        <v>3002</v>
      </c>
      <c r="C2979" s="12">
        <v>22526.0</v>
      </c>
      <c r="D2979" s="11" t="str">
        <f t="shared" si="1"/>
        <v> </v>
      </c>
      <c r="E2979" s="11" t="str">
        <f t="shared" si="2"/>
        <v> </v>
      </c>
    </row>
    <row r="2980" ht="15.75" customHeight="1">
      <c r="A2980" s="11">
        <v>14436.0</v>
      </c>
      <c r="B2980" s="11" t="s">
        <v>3003</v>
      </c>
      <c r="C2980" s="12">
        <v>20101.0</v>
      </c>
      <c r="D2980" s="11" t="str">
        <f t="shared" si="1"/>
        <v> </v>
      </c>
      <c r="E2980" s="11" t="str">
        <f t="shared" si="2"/>
        <v> </v>
      </c>
    </row>
    <row r="2981" ht="15.75" customHeight="1">
      <c r="A2981" s="11">
        <v>14438.0</v>
      </c>
      <c r="B2981" s="11" t="s">
        <v>3004</v>
      </c>
      <c r="C2981" s="12">
        <v>31526.0</v>
      </c>
      <c r="D2981" s="11" t="str">
        <f t="shared" si="1"/>
        <v> </v>
      </c>
      <c r="E2981" s="11" t="str">
        <f t="shared" si="2"/>
        <v> </v>
      </c>
    </row>
    <row r="2982" ht="15.75" customHeight="1">
      <c r="A2982" s="11">
        <v>14442.0</v>
      </c>
      <c r="B2982" s="11" t="s">
        <v>3005</v>
      </c>
      <c r="C2982" s="12">
        <v>36358.0</v>
      </c>
      <c r="D2982" s="11" t="str">
        <f t="shared" si="1"/>
        <v> </v>
      </c>
      <c r="E2982" s="11" t="str">
        <f t="shared" si="2"/>
        <v> </v>
      </c>
    </row>
    <row r="2983" ht="15.75" customHeight="1">
      <c r="A2983" s="11">
        <v>14443.0</v>
      </c>
      <c r="B2983" s="11" t="s">
        <v>3006</v>
      </c>
      <c r="C2983" s="12">
        <v>20672.0</v>
      </c>
      <c r="D2983" s="11" t="str">
        <f t="shared" si="1"/>
        <v> </v>
      </c>
      <c r="E2983" s="11" t="str">
        <f t="shared" si="2"/>
        <v> </v>
      </c>
    </row>
    <row r="2984" ht="15.75" customHeight="1">
      <c r="A2984" s="11">
        <v>14444.0</v>
      </c>
      <c r="B2984" s="11" t="s">
        <v>3007</v>
      </c>
      <c r="C2984" s="12">
        <v>10845.0</v>
      </c>
      <c r="D2984" s="11" t="str">
        <f t="shared" si="1"/>
        <v> </v>
      </c>
      <c r="E2984" s="11" t="str">
        <f t="shared" si="2"/>
        <v> </v>
      </c>
    </row>
    <row r="2985" ht="15.75" customHeight="1">
      <c r="A2985" s="11">
        <v>14445.0</v>
      </c>
      <c r="B2985" s="11" t="s">
        <v>3008</v>
      </c>
      <c r="C2985" s="12">
        <v>36474.0</v>
      </c>
      <c r="D2985" s="11" t="str">
        <f t="shared" si="1"/>
        <v> </v>
      </c>
      <c r="E2985" s="11" t="str">
        <f t="shared" si="2"/>
        <v> </v>
      </c>
    </row>
    <row r="2986" ht="15.75" customHeight="1">
      <c r="A2986" s="11">
        <v>14447.0</v>
      </c>
      <c r="B2986" s="11" t="s">
        <v>3009</v>
      </c>
      <c r="C2986" s="12">
        <v>20541.0</v>
      </c>
      <c r="D2986" s="11" t="str">
        <f t="shared" si="1"/>
        <v> </v>
      </c>
      <c r="E2986" s="11" t="str">
        <f t="shared" si="2"/>
        <v> </v>
      </c>
    </row>
    <row r="2987" ht="15.75" customHeight="1">
      <c r="A2987" s="11">
        <v>14450.0</v>
      </c>
      <c r="B2987" s="11" t="s">
        <v>3010</v>
      </c>
      <c r="C2987" s="12">
        <v>19010.0</v>
      </c>
      <c r="D2987" s="11" t="str">
        <f t="shared" si="1"/>
        <v> </v>
      </c>
      <c r="E2987" s="11" t="str">
        <f t="shared" si="2"/>
        <v> </v>
      </c>
    </row>
    <row r="2988" ht="15.75" customHeight="1">
      <c r="A2988" s="11">
        <v>14451.0</v>
      </c>
      <c r="B2988" s="11" t="s">
        <v>3011</v>
      </c>
      <c r="C2988" s="12">
        <v>20706.0</v>
      </c>
      <c r="D2988" s="11" t="str">
        <f t="shared" si="1"/>
        <v> </v>
      </c>
      <c r="E2988" s="11" t="str">
        <f t="shared" si="2"/>
        <v> </v>
      </c>
    </row>
    <row r="2989" ht="15.75" customHeight="1">
      <c r="A2989" s="11">
        <v>14452.0</v>
      </c>
      <c r="B2989" s="11" t="s">
        <v>3012</v>
      </c>
      <c r="C2989" s="12">
        <v>33356.0</v>
      </c>
      <c r="D2989" s="11" t="str">
        <f t="shared" si="1"/>
        <v> </v>
      </c>
      <c r="E2989" s="11" t="str">
        <f t="shared" si="2"/>
        <v> </v>
      </c>
    </row>
    <row r="2990" ht="15.75" customHeight="1">
      <c r="A2990" s="11">
        <v>14453.0</v>
      </c>
      <c r="B2990" s="11" t="s">
        <v>3013</v>
      </c>
      <c r="C2990" s="12">
        <v>19690.0</v>
      </c>
      <c r="D2990" s="11" t="str">
        <f t="shared" si="1"/>
        <v> </v>
      </c>
      <c r="E2990" s="11" t="str">
        <f t="shared" si="2"/>
        <v> </v>
      </c>
    </row>
    <row r="2991" ht="15.75" customHeight="1">
      <c r="A2991" s="11">
        <v>14454.0</v>
      </c>
      <c r="B2991" s="11" t="s">
        <v>3014</v>
      </c>
      <c r="C2991" s="12">
        <v>20458.0</v>
      </c>
      <c r="D2991" s="11" t="str">
        <f t="shared" si="1"/>
        <v> </v>
      </c>
      <c r="E2991" s="11" t="str">
        <f t="shared" si="2"/>
        <v> </v>
      </c>
    </row>
    <row r="2992" ht="15.75" customHeight="1">
      <c r="A2992" s="11">
        <v>14455.0</v>
      </c>
      <c r="B2992" s="11" t="s">
        <v>3015</v>
      </c>
      <c r="C2992" s="12">
        <v>24528.0</v>
      </c>
      <c r="D2992" s="11" t="str">
        <f t="shared" si="1"/>
        <v> </v>
      </c>
      <c r="E2992" s="11" t="str">
        <f t="shared" si="2"/>
        <v> </v>
      </c>
    </row>
    <row r="2993" ht="15.75" customHeight="1">
      <c r="A2993" s="11">
        <v>14457.0</v>
      </c>
      <c r="B2993" s="11" t="s">
        <v>3016</v>
      </c>
      <c r="C2993" s="12">
        <v>16279.0</v>
      </c>
      <c r="D2993" s="11" t="str">
        <f t="shared" si="1"/>
        <v> </v>
      </c>
      <c r="E2993" s="11" t="str">
        <f t="shared" si="2"/>
        <v> </v>
      </c>
    </row>
    <row r="2994" ht="15.75" customHeight="1">
      <c r="A2994" s="11">
        <v>14461.0</v>
      </c>
      <c r="B2994" s="11" t="s">
        <v>3017</v>
      </c>
      <c r="C2994" s="12">
        <v>20114.0</v>
      </c>
      <c r="D2994" s="11" t="str">
        <f t="shared" si="1"/>
        <v> </v>
      </c>
      <c r="E2994" s="11" t="str">
        <f t="shared" si="2"/>
        <v> </v>
      </c>
    </row>
    <row r="2995" ht="15.75" customHeight="1">
      <c r="A2995" s="11">
        <v>14462.0</v>
      </c>
      <c r="B2995" s="11" t="s">
        <v>3018</v>
      </c>
      <c r="C2995" s="12">
        <v>26281.0</v>
      </c>
      <c r="D2995" s="11" t="str">
        <f t="shared" si="1"/>
        <v> </v>
      </c>
      <c r="E2995" s="11" t="str">
        <f t="shared" si="2"/>
        <v> </v>
      </c>
    </row>
    <row r="2996" ht="15.75" customHeight="1">
      <c r="A2996" s="11">
        <v>14463.0</v>
      </c>
      <c r="B2996" s="11" t="s">
        <v>3019</v>
      </c>
      <c r="C2996" s="12">
        <v>31037.0</v>
      </c>
      <c r="D2996" s="11" t="str">
        <f t="shared" si="1"/>
        <v> </v>
      </c>
      <c r="E2996" s="11" t="str">
        <f t="shared" si="2"/>
        <v> </v>
      </c>
    </row>
    <row r="2997" ht="15.75" customHeight="1">
      <c r="A2997" s="11">
        <v>14464.0</v>
      </c>
      <c r="B2997" s="11" t="s">
        <v>3020</v>
      </c>
      <c r="C2997" s="12">
        <v>26486.0</v>
      </c>
      <c r="D2997" s="11" t="str">
        <f t="shared" si="1"/>
        <v> </v>
      </c>
      <c r="E2997" s="11" t="str">
        <f t="shared" si="2"/>
        <v> </v>
      </c>
    </row>
    <row r="2998" ht="15.75" customHeight="1">
      <c r="A2998" s="11">
        <v>14465.0</v>
      </c>
      <c r="B2998" s="11" t="s">
        <v>3021</v>
      </c>
      <c r="C2998" s="12">
        <v>18173.0</v>
      </c>
      <c r="D2998" s="11" t="str">
        <f t="shared" si="1"/>
        <v> </v>
      </c>
      <c r="E2998" s="11" t="str">
        <f t="shared" si="2"/>
        <v> </v>
      </c>
    </row>
    <row r="2999" ht="15.75" customHeight="1">
      <c r="A2999" s="11">
        <v>14466.0</v>
      </c>
      <c r="B2999" s="11" t="s">
        <v>3022</v>
      </c>
      <c r="C2999" s="12">
        <v>15805.0</v>
      </c>
      <c r="D2999" s="11" t="str">
        <f t="shared" si="1"/>
        <v> </v>
      </c>
      <c r="E2999" s="11" t="str">
        <f t="shared" si="2"/>
        <v> </v>
      </c>
    </row>
    <row r="3000" ht="15.75" customHeight="1">
      <c r="A3000" s="11">
        <v>14467.0</v>
      </c>
      <c r="B3000" s="11" t="s">
        <v>3023</v>
      </c>
      <c r="C3000" s="12">
        <v>24809.0</v>
      </c>
      <c r="D3000" s="11" t="str">
        <f t="shared" si="1"/>
        <v> </v>
      </c>
      <c r="E3000" s="11" t="str">
        <f t="shared" si="2"/>
        <v> </v>
      </c>
    </row>
    <row r="3001" ht="15.75" customHeight="1">
      <c r="A3001" s="11">
        <v>14468.0</v>
      </c>
      <c r="B3001" s="11" t="s">
        <v>3024</v>
      </c>
      <c r="C3001" s="12">
        <v>23939.0</v>
      </c>
      <c r="D3001" s="11" t="str">
        <f t="shared" si="1"/>
        <v> </v>
      </c>
      <c r="E3001" s="11" t="str">
        <f t="shared" si="2"/>
        <v> </v>
      </c>
    </row>
    <row r="3002" ht="15.75" customHeight="1">
      <c r="A3002" s="11">
        <v>14469.0</v>
      </c>
      <c r="B3002" s="11" t="s">
        <v>3025</v>
      </c>
      <c r="C3002" s="12">
        <v>13712.0</v>
      </c>
      <c r="D3002" s="11" t="str">
        <f t="shared" si="1"/>
        <v> </v>
      </c>
      <c r="E3002" s="11" t="str">
        <f t="shared" si="2"/>
        <v> </v>
      </c>
    </row>
    <row r="3003" ht="15.75" customHeight="1">
      <c r="A3003" s="11">
        <v>14471.0</v>
      </c>
      <c r="B3003" s="11" t="s">
        <v>3026</v>
      </c>
      <c r="C3003" s="12">
        <v>22550.0</v>
      </c>
      <c r="D3003" s="11" t="str">
        <f t="shared" si="1"/>
        <v> </v>
      </c>
      <c r="E3003" s="11" t="str">
        <f t="shared" si="2"/>
        <v> </v>
      </c>
    </row>
    <row r="3004" ht="15.75" customHeight="1">
      <c r="A3004" s="11">
        <v>14472.0</v>
      </c>
      <c r="B3004" s="11" t="s">
        <v>3027</v>
      </c>
      <c r="C3004" s="12">
        <v>36208.0</v>
      </c>
      <c r="D3004" s="11" t="str">
        <f t="shared" si="1"/>
        <v> </v>
      </c>
      <c r="E3004" s="11" t="str">
        <f t="shared" si="2"/>
        <v> </v>
      </c>
    </row>
    <row r="3005" ht="15.75" customHeight="1">
      <c r="A3005" s="11">
        <v>14473.0</v>
      </c>
      <c r="B3005" s="11" t="s">
        <v>3028</v>
      </c>
      <c r="C3005" s="12">
        <v>24541.0</v>
      </c>
      <c r="D3005" s="11" t="str">
        <f t="shared" si="1"/>
        <v> </v>
      </c>
      <c r="E3005" s="11" t="str">
        <f t="shared" si="2"/>
        <v> </v>
      </c>
    </row>
    <row r="3006" ht="15.75" customHeight="1">
      <c r="A3006" s="11">
        <v>14474.0</v>
      </c>
      <c r="B3006" s="11" t="s">
        <v>3029</v>
      </c>
      <c r="C3006" s="12">
        <v>29775.0</v>
      </c>
      <c r="D3006" s="11" t="str">
        <f t="shared" si="1"/>
        <v> </v>
      </c>
      <c r="E3006" s="11" t="str">
        <f t="shared" si="2"/>
        <v> </v>
      </c>
    </row>
    <row r="3007" ht="15.75" customHeight="1">
      <c r="A3007" s="11">
        <v>14475.0</v>
      </c>
      <c r="B3007" s="11" t="s">
        <v>3030</v>
      </c>
      <c r="C3007" s="12">
        <v>33557.0</v>
      </c>
      <c r="D3007" s="11" t="str">
        <f t="shared" si="1"/>
        <v> </v>
      </c>
      <c r="E3007" s="11" t="str">
        <f t="shared" si="2"/>
        <v> </v>
      </c>
    </row>
    <row r="3008" ht="15.75" customHeight="1">
      <c r="A3008" s="11">
        <v>14476.0</v>
      </c>
      <c r="B3008" s="11" t="s">
        <v>3031</v>
      </c>
      <c r="C3008" s="12">
        <v>29663.0</v>
      </c>
      <c r="D3008" s="11" t="str">
        <f t="shared" si="1"/>
        <v> </v>
      </c>
      <c r="E3008" s="11" t="str">
        <f t="shared" si="2"/>
        <v> </v>
      </c>
    </row>
    <row r="3009" ht="15.75" customHeight="1">
      <c r="A3009" s="11">
        <v>14477.0</v>
      </c>
      <c r="B3009" s="11" t="s">
        <v>3032</v>
      </c>
      <c r="C3009" s="12">
        <v>26501.0</v>
      </c>
      <c r="D3009" s="11" t="str">
        <f t="shared" si="1"/>
        <v> </v>
      </c>
      <c r="E3009" s="11" t="str">
        <f t="shared" si="2"/>
        <v> </v>
      </c>
    </row>
    <row r="3010" ht="15.75" customHeight="1">
      <c r="A3010" s="11">
        <v>14480.0</v>
      </c>
      <c r="B3010" s="11" t="s">
        <v>3033</v>
      </c>
      <c r="C3010" s="12">
        <v>28109.0</v>
      </c>
      <c r="D3010" s="11" t="str">
        <f t="shared" si="1"/>
        <v> </v>
      </c>
      <c r="E3010" s="11" t="str">
        <f t="shared" si="2"/>
        <v> </v>
      </c>
    </row>
    <row r="3011" ht="15.75" customHeight="1">
      <c r="A3011" s="11">
        <v>14481.0</v>
      </c>
      <c r="B3011" s="11" t="s">
        <v>3034</v>
      </c>
      <c r="C3011" s="12">
        <v>25440.0</v>
      </c>
      <c r="D3011" s="11" t="str">
        <f t="shared" si="1"/>
        <v> </v>
      </c>
      <c r="E3011" s="11" t="str">
        <f t="shared" si="2"/>
        <v> </v>
      </c>
    </row>
    <row r="3012" ht="15.75" customHeight="1">
      <c r="A3012" s="11">
        <v>14482.0</v>
      </c>
      <c r="B3012" s="11" t="s">
        <v>3035</v>
      </c>
      <c r="C3012" s="12">
        <v>22304.0</v>
      </c>
      <c r="D3012" s="11" t="str">
        <f t="shared" si="1"/>
        <v> </v>
      </c>
      <c r="E3012" s="11" t="str">
        <f t="shared" si="2"/>
        <v> </v>
      </c>
    </row>
    <row r="3013" ht="15.75" customHeight="1">
      <c r="A3013" s="11">
        <v>14483.0</v>
      </c>
      <c r="B3013" s="11" t="s">
        <v>3036</v>
      </c>
      <c r="C3013" s="12">
        <v>22579.0</v>
      </c>
      <c r="D3013" s="11" t="str">
        <f t="shared" si="1"/>
        <v> </v>
      </c>
      <c r="E3013" s="11" t="str">
        <f t="shared" si="2"/>
        <v> </v>
      </c>
    </row>
    <row r="3014" ht="15.75" customHeight="1">
      <c r="A3014" s="11">
        <v>14484.0</v>
      </c>
      <c r="B3014" s="11" t="s">
        <v>3037</v>
      </c>
      <c r="C3014" s="12">
        <v>16476.0</v>
      </c>
      <c r="D3014" s="11" t="str">
        <f t="shared" si="1"/>
        <v> </v>
      </c>
      <c r="E3014" s="11" t="str">
        <f t="shared" si="2"/>
        <v> </v>
      </c>
    </row>
    <row r="3015" ht="15.75" customHeight="1">
      <c r="A3015" s="11">
        <v>14485.0</v>
      </c>
      <c r="B3015" s="11" t="s">
        <v>3038</v>
      </c>
      <c r="C3015" s="12">
        <v>17670.0</v>
      </c>
      <c r="D3015" s="11" t="str">
        <f t="shared" si="1"/>
        <v> </v>
      </c>
      <c r="E3015" s="11" t="str">
        <f t="shared" si="2"/>
        <v> </v>
      </c>
    </row>
    <row r="3016" ht="15.75" customHeight="1">
      <c r="A3016" s="11">
        <v>14486.0</v>
      </c>
      <c r="B3016" s="11" t="s">
        <v>3039</v>
      </c>
      <c r="C3016" s="12">
        <v>31297.0</v>
      </c>
      <c r="D3016" s="11" t="str">
        <f t="shared" si="1"/>
        <v> </v>
      </c>
      <c r="E3016" s="11" t="str">
        <f t="shared" si="2"/>
        <v> </v>
      </c>
    </row>
    <row r="3017" ht="15.75" customHeight="1">
      <c r="A3017" s="11">
        <v>14487.0</v>
      </c>
      <c r="B3017" s="11" t="s">
        <v>3040</v>
      </c>
      <c r="C3017" s="12">
        <v>36382.0</v>
      </c>
      <c r="D3017" s="11" t="str">
        <f t="shared" si="1"/>
        <v> </v>
      </c>
      <c r="E3017" s="11" t="str">
        <f t="shared" si="2"/>
        <v> </v>
      </c>
    </row>
    <row r="3018" ht="15.75" customHeight="1">
      <c r="A3018" s="11">
        <v>14488.0</v>
      </c>
      <c r="B3018" s="11" t="s">
        <v>3041</v>
      </c>
      <c r="C3018" s="12">
        <v>26664.0</v>
      </c>
      <c r="D3018" s="11" t="str">
        <f t="shared" si="1"/>
        <v> </v>
      </c>
      <c r="E3018" s="11" t="str">
        <f t="shared" si="2"/>
        <v> </v>
      </c>
    </row>
    <row r="3019" ht="15.75" customHeight="1">
      <c r="A3019" s="11">
        <v>14489.0</v>
      </c>
      <c r="B3019" s="11" t="s">
        <v>3042</v>
      </c>
      <c r="C3019" s="12">
        <v>26451.0</v>
      </c>
      <c r="D3019" s="11" t="str">
        <f t="shared" si="1"/>
        <v> </v>
      </c>
      <c r="E3019" s="11" t="str">
        <f t="shared" si="2"/>
        <v> </v>
      </c>
    </row>
    <row r="3020" ht="15.75" customHeight="1">
      <c r="A3020" s="11">
        <v>14490.0</v>
      </c>
      <c r="B3020" s="11" t="s">
        <v>3043</v>
      </c>
      <c r="C3020" s="12">
        <v>23548.0</v>
      </c>
      <c r="D3020" s="11" t="str">
        <f t="shared" si="1"/>
        <v> </v>
      </c>
      <c r="E3020" s="11" t="str">
        <f t="shared" si="2"/>
        <v> </v>
      </c>
    </row>
    <row r="3021" ht="15.75" customHeight="1">
      <c r="A3021" s="11">
        <v>14491.0</v>
      </c>
      <c r="B3021" s="11" t="s">
        <v>3044</v>
      </c>
      <c r="C3021" s="12">
        <v>18037.0</v>
      </c>
      <c r="D3021" s="11" t="str">
        <f t="shared" si="1"/>
        <v> </v>
      </c>
      <c r="E3021" s="11" t="str">
        <f t="shared" si="2"/>
        <v> </v>
      </c>
    </row>
    <row r="3022" ht="15.75" customHeight="1">
      <c r="A3022" s="11">
        <v>14492.0</v>
      </c>
      <c r="B3022" s="11" t="s">
        <v>3045</v>
      </c>
      <c r="C3022" s="12">
        <v>19593.0</v>
      </c>
      <c r="D3022" s="11" t="str">
        <f t="shared" si="1"/>
        <v> </v>
      </c>
      <c r="E3022" s="11" t="str">
        <f t="shared" si="2"/>
        <v> </v>
      </c>
    </row>
    <row r="3023" ht="15.75" customHeight="1">
      <c r="A3023" s="11">
        <v>14493.0</v>
      </c>
      <c r="B3023" s="11" t="s">
        <v>3046</v>
      </c>
      <c r="C3023" s="12">
        <v>26700.0</v>
      </c>
      <c r="D3023" s="11" t="str">
        <f t="shared" si="1"/>
        <v> </v>
      </c>
      <c r="E3023" s="11" t="str">
        <f t="shared" si="2"/>
        <v> </v>
      </c>
    </row>
    <row r="3024" ht="15.75" customHeight="1">
      <c r="A3024" s="11">
        <v>14494.0</v>
      </c>
      <c r="B3024" s="11" t="s">
        <v>3047</v>
      </c>
      <c r="C3024" s="12">
        <v>27463.0</v>
      </c>
      <c r="D3024" s="11" t="str">
        <f t="shared" si="1"/>
        <v> </v>
      </c>
      <c r="E3024" s="11" t="str">
        <f t="shared" si="2"/>
        <v> </v>
      </c>
    </row>
    <row r="3025" ht="15.75" customHeight="1">
      <c r="A3025" s="11">
        <v>14495.0</v>
      </c>
      <c r="B3025" s="11" t="s">
        <v>3048</v>
      </c>
      <c r="C3025" s="12">
        <v>25870.0</v>
      </c>
      <c r="D3025" s="11" t="str">
        <f t="shared" si="1"/>
        <v> </v>
      </c>
      <c r="E3025" s="11" t="str">
        <f t="shared" si="2"/>
        <v> </v>
      </c>
    </row>
    <row r="3026" ht="15.75" customHeight="1">
      <c r="A3026" s="11">
        <v>14496.0</v>
      </c>
      <c r="B3026" s="11" t="s">
        <v>3049</v>
      </c>
      <c r="C3026" s="12">
        <v>18498.0</v>
      </c>
      <c r="D3026" s="11" t="str">
        <f t="shared" si="1"/>
        <v>Repeat</v>
      </c>
      <c r="E3026" s="11" t="str">
        <f t="shared" si="2"/>
        <v> </v>
      </c>
    </row>
    <row r="3027" ht="15.75" customHeight="1">
      <c r="A3027" s="11">
        <v>14497.0</v>
      </c>
      <c r="B3027" s="11" t="s">
        <v>3050</v>
      </c>
      <c r="C3027" s="12">
        <v>31087.0</v>
      </c>
      <c r="D3027" s="11" t="str">
        <f t="shared" si="1"/>
        <v> </v>
      </c>
      <c r="E3027" s="11" t="str">
        <f t="shared" si="2"/>
        <v> </v>
      </c>
    </row>
    <row r="3028" ht="15.75" customHeight="1">
      <c r="A3028" s="11">
        <v>14498.0</v>
      </c>
      <c r="B3028" s="11" t="s">
        <v>3051</v>
      </c>
      <c r="C3028" s="12">
        <v>27586.0</v>
      </c>
      <c r="D3028" s="11" t="str">
        <f t="shared" si="1"/>
        <v> </v>
      </c>
      <c r="E3028" s="11" t="str">
        <f t="shared" si="2"/>
        <v> </v>
      </c>
    </row>
    <row r="3029" ht="15.75" customHeight="1">
      <c r="A3029" s="11">
        <v>14500.0</v>
      </c>
      <c r="B3029" s="11" t="s">
        <v>3052</v>
      </c>
      <c r="C3029" s="12">
        <v>18346.0</v>
      </c>
      <c r="D3029" s="11" t="str">
        <f t="shared" si="1"/>
        <v> </v>
      </c>
      <c r="E3029" s="11" t="str">
        <f t="shared" si="2"/>
        <v> </v>
      </c>
    </row>
    <row r="3030" ht="15.75" customHeight="1">
      <c r="A3030" s="11">
        <v>14502.0</v>
      </c>
      <c r="B3030" s="11" t="s">
        <v>3053</v>
      </c>
      <c r="C3030" s="12">
        <v>26323.0</v>
      </c>
      <c r="D3030" s="11" t="str">
        <f t="shared" si="1"/>
        <v> </v>
      </c>
      <c r="E3030" s="11" t="str">
        <f t="shared" si="2"/>
        <v> </v>
      </c>
    </row>
    <row r="3031" ht="15.75" customHeight="1">
      <c r="A3031" s="11">
        <v>14503.0</v>
      </c>
      <c r="B3031" s="11" t="s">
        <v>3054</v>
      </c>
      <c r="C3031" s="12">
        <v>22835.0</v>
      </c>
      <c r="D3031" s="11" t="str">
        <f t="shared" si="1"/>
        <v> </v>
      </c>
      <c r="E3031" s="11" t="str">
        <f t="shared" si="2"/>
        <v> </v>
      </c>
    </row>
    <row r="3032" ht="15.75" customHeight="1">
      <c r="A3032" s="11">
        <v>14504.0</v>
      </c>
      <c r="B3032" s="11" t="s">
        <v>3055</v>
      </c>
      <c r="C3032" s="12">
        <v>16968.0</v>
      </c>
      <c r="D3032" s="11" t="str">
        <f t="shared" si="1"/>
        <v> </v>
      </c>
      <c r="E3032" s="11" t="str">
        <f t="shared" si="2"/>
        <v> </v>
      </c>
    </row>
    <row r="3033" ht="15.75" customHeight="1">
      <c r="A3033" s="11">
        <v>14505.0</v>
      </c>
      <c r="B3033" s="11" t="s">
        <v>3056</v>
      </c>
      <c r="C3033" s="12">
        <v>20392.0</v>
      </c>
      <c r="D3033" s="11" t="str">
        <f t="shared" si="1"/>
        <v> </v>
      </c>
      <c r="E3033" s="11" t="str">
        <f t="shared" si="2"/>
        <v> </v>
      </c>
    </row>
    <row r="3034" ht="15.75" customHeight="1">
      <c r="A3034" s="11">
        <v>14506.0</v>
      </c>
      <c r="B3034" s="11" t="s">
        <v>3057</v>
      </c>
      <c r="C3034" s="12">
        <v>29785.0</v>
      </c>
      <c r="D3034" s="11" t="str">
        <f t="shared" si="1"/>
        <v> </v>
      </c>
      <c r="E3034" s="11" t="str">
        <f t="shared" si="2"/>
        <v> </v>
      </c>
    </row>
    <row r="3035" ht="15.75" customHeight="1">
      <c r="A3035" s="11">
        <v>14507.0</v>
      </c>
      <c r="B3035" s="11" t="s">
        <v>3058</v>
      </c>
      <c r="C3035" s="12">
        <v>19850.0</v>
      </c>
      <c r="D3035" s="11" t="str">
        <f t="shared" si="1"/>
        <v> </v>
      </c>
      <c r="E3035" s="11" t="str">
        <f t="shared" si="2"/>
        <v> </v>
      </c>
    </row>
    <row r="3036" ht="15.75" customHeight="1">
      <c r="A3036" s="11">
        <v>14508.0</v>
      </c>
      <c r="B3036" s="11" t="s">
        <v>3059</v>
      </c>
      <c r="C3036" s="12">
        <v>32070.0</v>
      </c>
      <c r="D3036" s="11" t="str">
        <f t="shared" si="1"/>
        <v> </v>
      </c>
      <c r="E3036" s="11" t="str">
        <f t="shared" si="2"/>
        <v> </v>
      </c>
    </row>
    <row r="3037" ht="15.75" customHeight="1">
      <c r="A3037" s="11">
        <v>14510.0</v>
      </c>
      <c r="B3037" s="11" t="s">
        <v>3060</v>
      </c>
      <c r="C3037" s="12">
        <v>17174.0</v>
      </c>
      <c r="D3037" s="11" t="str">
        <f t="shared" si="1"/>
        <v> </v>
      </c>
      <c r="E3037" s="11" t="str">
        <f t="shared" si="2"/>
        <v> </v>
      </c>
    </row>
    <row r="3038" ht="15.75" customHeight="1">
      <c r="A3038" s="11">
        <v>14512.0</v>
      </c>
      <c r="B3038" s="11" t="s">
        <v>3061</v>
      </c>
      <c r="C3038" s="12">
        <v>21945.0</v>
      </c>
      <c r="D3038" s="11" t="str">
        <f t="shared" si="1"/>
        <v> </v>
      </c>
      <c r="E3038" s="11" t="str">
        <f t="shared" si="2"/>
        <v> </v>
      </c>
    </row>
    <row r="3039" ht="15.75" customHeight="1">
      <c r="A3039" s="11">
        <v>14513.0</v>
      </c>
      <c r="B3039" s="11" t="s">
        <v>3062</v>
      </c>
      <c r="C3039" s="12">
        <v>18101.0</v>
      </c>
      <c r="D3039" s="11" t="str">
        <f t="shared" si="1"/>
        <v>Repeat</v>
      </c>
      <c r="E3039" s="11" t="str">
        <f t="shared" si="2"/>
        <v> </v>
      </c>
    </row>
    <row r="3040" ht="15.75" customHeight="1">
      <c r="A3040" s="11">
        <v>14514.0</v>
      </c>
      <c r="B3040" s="11" t="s">
        <v>3063</v>
      </c>
      <c r="C3040" s="12">
        <v>27568.0</v>
      </c>
      <c r="D3040" s="11" t="str">
        <f t="shared" si="1"/>
        <v> </v>
      </c>
      <c r="E3040" s="11" t="str">
        <f t="shared" si="2"/>
        <v> </v>
      </c>
    </row>
    <row r="3041" ht="15.75" customHeight="1">
      <c r="A3041" s="11">
        <v>14515.0</v>
      </c>
      <c r="B3041" s="11" t="s">
        <v>3064</v>
      </c>
      <c r="C3041" s="12">
        <v>19509.0</v>
      </c>
      <c r="D3041" s="11" t="str">
        <f t="shared" si="1"/>
        <v> </v>
      </c>
      <c r="E3041" s="11" t="str">
        <f t="shared" si="2"/>
        <v> </v>
      </c>
    </row>
    <row r="3042" ht="15.75" customHeight="1">
      <c r="A3042" s="11">
        <v>14516.0</v>
      </c>
      <c r="B3042" s="11" t="s">
        <v>3065</v>
      </c>
      <c r="C3042" s="12">
        <v>24011.0</v>
      </c>
      <c r="D3042" s="11" t="str">
        <f t="shared" si="1"/>
        <v> </v>
      </c>
      <c r="E3042" s="11" t="str">
        <f t="shared" si="2"/>
        <v> </v>
      </c>
    </row>
    <row r="3043" ht="15.75" customHeight="1">
      <c r="A3043" s="11">
        <v>14517.0</v>
      </c>
      <c r="B3043" s="11" t="s">
        <v>3066</v>
      </c>
      <c r="C3043" s="12">
        <v>26286.0</v>
      </c>
      <c r="D3043" s="11" t="str">
        <f t="shared" si="1"/>
        <v> </v>
      </c>
      <c r="E3043" s="11" t="str">
        <f t="shared" si="2"/>
        <v> </v>
      </c>
    </row>
    <row r="3044" ht="15.75" customHeight="1">
      <c r="A3044" s="11">
        <v>14518.0</v>
      </c>
      <c r="B3044" s="11" t="s">
        <v>3067</v>
      </c>
      <c r="C3044" s="12">
        <v>14623.0</v>
      </c>
      <c r="D3044" s="11" t="str">
        <f t="shared" si="1"/>
        <v> </v>
      </c>
      <c r="E3044" s="11" t="str">
        <f t="shared" si="2"/>
        <v> </v>
      </c>
    </row>
    <row r="3045" ht="15.75" customHeight="1">
      <c r="A3045" s="11">
        <v>14519.0</v>
      </c>
      <c r="B3045" s="11" t="s">
        <v>3068</v>
      </c>
      <c r="C3045" s="12">
        <v>16864.0</v>
      </c>
      <c r="D3045" s="11" t="str">
        <f t="shared" si="1"/>
        <v> </v>
      </c>
      <c r="E3045" s="11" t="str">
        <f t="shared" si="2"/>
        <v> </v>
      </c>
    </row>
    <row r="3046" ht="15.75" customHeight="1">
      <c r="A3046" s="11">
        <v>14520.0</v>
      </c>
      <c r="B3046" s="11" t="s">
        <v>3069</v>
      </c>
      <c r="C3046" s="12">
        <v>28140.0</v>
      </c>
      <c r="D3046" s="11" t="str">
        <f t="shared" si="1"/>
        <v> </v>
      </c>
      <c r="E3046" s="11" t="str">
        <f t="shared" si="2"/>
        <v> </v>
      </c>
    </row>
    <row r="3047" ht="15.75" customHeight="1">
      <c r="A3047" s="11">
        <v>14521.0</v>
      </c>
      <c r="B3047" s="11" t="s">
        <v>3070</v>
      </c>
      <c r="C3047" s="12">
        <v>30337.0</v>
      </c>
      <c r="D3047" s="11" t="str">
        <f t="shared" si="1"/>
        <v>Repeat</v>
      </c>
      <c r="E3047" s="11" t="str">
        <f t="shared" si="2"/>
        <v> </v>
      </c>
    </row>
    <row r="3048" ht="15.75" customHeight="1">
      <c r="A3048" s="11">
        <v>14522.0</v>
      </c>
      <c r="B3048" s="11" t="s">
        <v>3071</v>
      </c>
      <c r="C3048" s="12">
        <v>23626.0</v>
      </c>
      <c r="D3048" s="11" t="str">
        <f t="shared" si="1"/>
        <v> </v>
      </c>
      <c r="E3048" s="11" t="str">
        <f t="shared" si="2"/>
        <v> </v>
      </c>
    </row>
    <row r="3049" ht="15.75" customHeight="1">
      <c r="A3049" s="11">
        <v>14524.0</v>
      </c>
      <c r="B3049" s="11" t="s">
        <v>3072</v>
      </c>
      <c r="C3049" s="12">
        <v>36551.0</v>
      </c>
      <c r="D3049" s="11" t="str">
        <f t="shared" si="1"/>
        <v>Repeat</v>
      </c>
      <c r="E3049" s="11" t="str">
        <f t="shared" si="2"/>
        <v> </v>
      </c>
    </row>
    <row r="3050" ht="15.75" customHeight="1">
      <c r="A3050" s="11">
        <v>14525.0</v>
      </c>
      <c r="B3050" s="11" t="s">
        <v>3073</v>
      </c>
      <c r="C3050" s="12">
        <v>36109.0</v>
      </c>
      <c r="D3050" s="11" t="str">
        <f t="shared" si="1"/>
        <v> </v>
      </c>
      <c r="E3050" s="11" t="str">
        <f t="shared" si="2"/>
        <v> </v>
      </c>
    </row>
    <row r="3051" ht="15.75" customHeight="1">
      <c r="A3051" s="11">
        <v>14526.0</v>
      </c>
      <c r="B3051" s="11" t="s">
        <v>3074</v>
      </c>
      <c r="C3051" s="12">
        <v>18643.0</v>
      </c>
      <c r="D3051" s="11" t="str">
        <f t="shared" si="1"/>
        <v> </v>
      </c>
      <c r="E3051" s="11" t="str">
        <f t="shared" si="2"/>
        <v> </v>
      </c>
    </row>
    <row r="3052" ht="15.75" customHeight="1">
      <c r="A3052" s="11">
        <v>14527.0</v>
      </c>
      <c r="B3052" s="11" t="s">
        <v>3075</v>
      </c>
      <c r="C3052" s="12">
        <v>19043.0</v>
      </c>
      <c r="D3052" s="11" t="str">
        <f t="shared" si="1"/>
        <v> </v>
      </c>
      <c r="E3052" s="11" t="str">
        <f t="shared" si="2"/>
        <v> </v>
      </c>
    </row>
    <row r="3053" ht="15.75" customHeight="1">
      <c r="A3053" s="11">
        <v>14528.0</v>
      </c>
      <c r="B3053" s="11" t="s">
        <v>3076</v>
      </c>
      <c r="C3053" s="12">
        <v>16899.0</v>
      </c>
      <c r="D3053" s="11" t="str">
        <f t="shared" si="1"/>
        <v> </v>
      </c>
      <c r="E3053" s="11" t="str">
        <f t="shared" si="2"/>
        <v> </v>
      </c>
    </row>
    <row r="3054" ht="15.75" customHeight="1">
      <c r="A3054" s="11">
        <v>14529.0</v>
      </c>
      <c r="B3054" s="11" t="s">
        <v>3077</v>
      </c>
      <c r="C3054" s="12">
        <v>22114.0</v>
      </c>
      <c r="D3054" s="11" t="str">
        <f t="shared" si="1"/>
        <v>Repeat</v>
      </c>
      <c r="E3054" s="11" t="str">
        <f t="shared" si="2"/>
        <v> </v>
      </c>
    </row>
    <row r="3055" ht="15.75" customHeight="1">
      <c r="A3055" s="11">
        <v>14530.0</v>
      </c>
      <c r="B3055" s="11" t="s">
        <v>3078</v>
      </c>
      <c r="C3055" s="12">
        <v>23943.0</v>
      </c>
      <c r="D3055" s="11" t="str">
        <f t="shared" si="1"/>
        <v> </v>
      </c>
      <c r="E3055" s="11" t="str">
        <f t="shared" si="2"/>
        <v> </v>
      </c>
    </row>
    <row r="3056" ht="15.75" customHeight="1">
      <c r="A3056" s="11">
        <v>14531.0</v>
      </c>
      <c r="B3056" s="11" t="s">
        <v>3079</v>
      </c>
      <c r="C3056" s="12">
        <v>25524.0</v>
      </c>
      <c r="D3056" s="11" t="str">
        <f t="shared" si="1"/>
        <v> </v>
      </c>
      <c r="E3056" s="11" t="str">
        <f t="shared" si="2"/>
        <v> </v>
      </c>
    </row>
    <row r="3057" ht="15.75" customHeight="1">
      <c r="A3057" s="11">
        <v>14532.0</v>
      </c>
      <c r="B3057" s="11" t="s">
        <v>3080</v>
      </c>
      <c r="C3057" s="12">
        <v>25680.0</v>
      </c>
      <c r="D3057" s="11" t="str">
        <f t="shared" si="1"/>
        <v> </v>
      </c>
      <c r="E3057" s="11" t="str">
        <f t="shared" si="2"/>
        <v> </v>
      </c>
    </row>
    <row r="3058" ht="15.75" customHeight="1">
      <c r="A3058" s="11">
        <v>14533.0</v>
      </c>
      <c r="B3058" s="11" t="s">
        <v>3081</v>
      </c>
      <c r="C3058" s="12">
        <v>20046.0</v>
      </c>
      <c r="D3058" s="11" t="str">
        <f t="shared" si="1"/>
        <v> </v>
      </c>
      <c r="E3058" s="11" t="str">
        <f t="shared" si="2"/>
        <v> </v>
      </c>
    </row>
    <row r="3059" ht="15.75" customHeight="1">
      <c r="A3059" s="11">
        <v>14534.0</v>
      </c>
      <c r="B3059" s="11" t="s">
        <v>3082</v>
      </c>
      <c r="C3059" s="12">
        <v>19924.0</v>
      </c>
      <c r="D3059" s="11" t="str">
        <f t="shared" si="1"/>
        <v> </v>
      </c>
      <c r="E3059" s="11" t="str">
        <f t="shared" si="2"/>
        <v> </v>
      </c>
    </row>
    <row r="3060" ht="15.75" customHeight="1">
      <c r="A3060" s="11">
        <v>14535.0</v>
      </c>
      <c r="B3060" s="11" t="s">
        <v>3083</v>
      </c>
      <c r="C3060" s="12">
        <v>21423.0</v>
      </c>
      <c r="D3060" s="11" t="str">
        <f t="shared" si="1"/>
        <v> </v>
      </c>
      <c r="E3060" s="11" t="str">
        <f t="shared" si="2"/>
        <v> </v>
      </c>
    </row>
    <row r="3061" ht="15.75" customHeight="1">
      <c r="A3061" s="11">
        <v>14536.0</v>
      </c>
      <c r="B3061" s="11" t="s">
        <v>3084</v>
      </c>
      <c r="C3061" s="12">
        <v>20359.0</v>
      </c>
      <c r="D3061" s="11" t="str">
        <f t="shared" si="1"/>
        <v> </v>
      </c>
      <c r="E3061" s="11" t="str">
        <f t="shared" si="2"/>
        <v> </v>
      </c>
    </row>
    <row r="3062" ht="15.75" customHeight="1">
      <c r="A3062" s="11">
        <v>14537.0</v>
      </c>
      <c r="B3062" s="11" t="s">
        <v>3085</v>
      </c>
      <c r="C3062" s="12">
        <v>17732.0</v>
      </c>
      <c r="D3062" s="11" t="str">
        <f t="shared" si="1"/>
        <v> </v>
      </c>
      <c r="E3062" s="11" t="str">
        <f t="shared" si="2"/>
        <v> </v>
      </c>
    </row>
    <row r="3063" ht="15.75" customHeight="1">
      <c r="A3063" s="11">
        <v>14540.0</v>
      </c>
      <c r="B3063" s="11" t="s">
        <v>3086</v>
      </c>
      <c r="C3063" s="12">
        <v>19059.0</v>
      </c>
      <c r="D3063" s="11" t="str">
        <f t="shared" si="1"/>
        <v> </v>
      </c>
      <c r="E3063" s="11" t="str">
        <f t="shared" si="2"/>
        <v> </v>
      </c>
    </row>
    <row r="3064" ht="15.75" customHeight="1">
      <c r="A3064" s="11">
        <v>14541.0</v>
      </c>
      <c r="B3064" s="11" t="s">
        <v>3087</v>
      </c>
      <c r="C3064" s="12">
        <v>26244.0</v>
      </c>
      <c r="D3064" s="11" t="str">
        <f t="shared" si="1"/>
        <v> </v>
      </c>
      <c r="E3064" s="11" t="str">
        <f t="shared" si="2"/>
        <v> </v>
      </c>
    </row>
    <row r="3065" ht="15.75" customHeight="1">
      <c r="A3065" s="11">
        <v>14542.0</v>
      </c>
      <c r="B3065" s="11" t="s">
        <v>3088</v>
      </c>
      <c r="C3065" s="12">
        <v>23682.0</v>
      </c>
      <c r="D3065" s="11" t="str">
        <f t="shared" si="1"/>
        <v> </v>
      </c>
      <c r="E3065" s="11" t="str">
        <f t="shared" si="2"/>
        <v> </v>
      </c>
    </row>
    <row r="3066" ht="15.75" customHeight="1">
      <c r="A3066" s="11">
        <v>14543.0</v>
      </c>
      <c r="B3066" s="11" t="s">
        <v>3089</v>
      </c>
      <c r="C3066" s="12">
        <v>21625.0</v>
      </c>
      <c r="D3066" s="11" t="str">
        <f t="shared" si="1"/>
        <v> </v>
      </c>
      <c r="E3066" s="11" t="str">
        <f t="shared" si="2"/>
        <v> </v>
      </c>
    </row>
    <row r="3067" ht="15.75" customHeight="1">
      <c r="A3067" s="11">
        <v>14544.0</v>
      </c>
      <c r="B3067" s="11" t="s">
        <v>3090</v>
      </c>
      <c r="C3067" s="12">
        <v>10722.0</v>
      </c>
      <c r="D3067" s="11" t="str">
        <f t="shared" si="1"/>
        <v> </v>
      </c>
      <c r="E3067" s="11" t="str">
        <f t="shared" si="2"/>
        <v> </v>
      </c>
    </row>
    <row r="3068" ht="15.75" customHeight="1">
      <c r="A3068" s="11">
        <v>14545.0</v>
      </c>
      <c r="B3068" s="11" t="s">
        <v>3091</v>
      </c>
      <c r="C3068" s="12">
        <v>22468.0</v>
      </c>
      <c r="D3068" s="11" t="str">
        <f t="shared" si="1"/>
        <v> </v>
      </c>
      <c r="E3068" s="11" t="str">
        <f t="shared" si="2"/>
        <v> </v>
      </c>
    </row>
    <row r="3069" ht="15.75" customHeight="1">
      <c r="A3069" s="11">
        <v>14546.0</v>
      </c>
      <c r="B3069" s="11" t="s">
        <v>3092</v>
      </c>
      <c r="C3069" s="12">
        <v>11689.0</v>
      </c>
      <c r="D3069" s="11" t="str">
        <f t="shared" si="1"/>
        <v> </v>
      </c>
      <c r="E3069" s="11" t="str">
        <f t="shared" si="2"/>
        <v> </v>
      </c>
    </row>
    <row r="3070" ht="15.75" customHeight="1">
      <c r="A3070" s="11">
        <v>14547.0</v>
      </c>
      <c r="B3070" s="11" t="s">
        <v>3093</v>
      </c>
      <c r="C3070" s="12">
        <v>22867.0</v>
      </c>
      <c r="D3070" s="11" t="str">
        <f t="shared" si="1"/>
        <v> </v>
      </c>
      <c r="E3070" s="11" t="str">
        <f t="shared" si="2"/>
        <v> </v>
      </c>
    </row>
    <row r="3071" ht="15.75" customHeight="1">
      <c r="A3071" s="11">
        <v>14548.0</v>
      </c>
      <c r="B3071" s="11" t="s">
        <v>3094</v>
      </c>
      <c r="C3071" s="12">
        <v>28399.0</v>
      </c>
      <c r="D3071" s="11" t="str">
        <f t="shared" si="1"/>
        <v> </v>
      </c>
      <c r="E3071" s="11" t="str">
        <f t="shared" si="2"/>
        <v> </v>
      </c>
    </row>
    <row r="3072" ht="15.75" customHeight="1">
      <c r="A3072" s="11">
        <v>14549.0</v>
      </c>
      <c r="B3072" s="11" t="s">
        <v>3095</v>
      </c>
      <c r="C3072" s="12">
        <v>22279.0</v>
      </c>
      <c r="D3072" s="11" t="str">
        <f t="shared" si="1"/>
        <v> </v>
      </c>
      <c r="E3072" s="11" t="str">
        <f t="shared" si="2"/>
        <v> </v>
      </c>
    </row>
    <row r="3073" ht="15.75" customHeight="1">
      <c r="A3073" s="11">
        <v>14550.0</v>
      </c>
      <c r="B3073" s="11" t="s">
        <v>3096</v>
      </c>
      <c r="C3073" s="12">
        <v>23451.0</v>
      </c>
      <c r="D3073" s="11" t="str">
        <f t="shared" si="1"/>
        <v> </v>
      </c>
      <c r="E3073" s="11" t="str">
        <f t="shared" si="2"/>
        <v> </v>
      </c>
    </row>
    <row r="3074" ht="15.75" customHeight="1">
      <c r="A3074" s="11">
        <v>14551.0</v>
      </c>
      <c r="B3074" s="11" t="s">
        <v>3097</v>
      </c>
      <c r="C3074" s="12">
        <v>32976.0</v>
      </c>
      <c r="D3074" s="11" t="str">
        <f t="shared" si="1"/>
        <v> </v>
      </c>
      <c r="E3074" s="11" t="str">
        <f t="shared" si="2"/>
        <v> </v>
      </c>
    </row>
    <row r="3075" ht="15.75" customHeight="1">
      <c r="A3075" s="11">
        <v>14552.0</v>
      </c>
      <c r="B3075" s="11" t="s">
        <v>3098</v>
      </c>
      <c r="C3075" s="12">
        <v>19137.0</v>
      </c>
      <c r="D3075" s="11" t="str">
        <f t="shared" si="1"/>
        <v> </v>
      </c>
      <c r="E3075" s="11" t="str">
        <f t="shared" si="2"/>
        <v> </v>
      </c>
    </row>
    <row r="3076" ht="15.75" customHeight="1">
      <c r="A3076" s="11">
        <v>14554.0</v>
      </c>
      <c r="B3076" s="11" t="s">
        <v>3099</v>
      </c>
      <c r="C3076" s="12">
        <v>22158.0</v>
      </c>
      <c r="D3076" s="11" t="str">
        <f t="shared" si="1"/>
        <v> </v>
      </c>
      <c r="E3076" s="11" t="str">
        <f t="shared" si="2"/>
        <v> </v>
      </c>
    </row>
    <row r="3077" ht="15.75" customHeight="1">
      <c r="A3077" s="11">
        <v>14555.0</v>
      </c>
      <c r="B3077" s="11" t="s">
        <v>3100</v>
      </c>
      <c r="C3077" s="12">
        <v>19516.0</v>
      </c>
      <c r="D3077" s="11" t="str">
        <f t="shared" si="1"/>
        <v> </v>
      </c>
      <c r="E3077" s="11" t="str">
        <f t="shared" si="2"/>
        <v> </v>
      </c>
    </row>
    <row r="3078" ht="15.75" customHeight="1">
      <c r="A3078" s="11">
        <v>14556.0</v>
      </c>
      <c r="B3078" s="11" t="s">
        <v>3101</v>
      </c>
      <c r="C3078" s="12">
        <v>22632.0</v>
      </c>
      <c r="D3078" s="11" t="str">
        <f t="shared" si="1"/>
        <v> </v>
      </c>
      <c r="E3078" s="11" t="str">
        <f t="shared" si="2"/>
        <v> </v>
      </c>
    </row>
    <row r="3079" ht="15.75" customHeight="1">
      <c r="A3079" s="11">
        <v>14557.0</v>
      </c>
      <c r="B3079" s="11" t="s">
        <v>3102</v>
      </c>
      <c r="C3079" s="12">
        <v>23974.0</v>
      </c>
      <c r="D3079" s="11" t="str">
        <f t="shared" si="1"/>
        <v> </v>
      </c>
      <c r="E3079" s="11" t="str">
        <f t="shared" si="2"/>
        <v> </v>
      </c>
    </row>
    <row r="3080" ht="15.75" customHeight="1">
      <c r="A3080" s="11">
        <v>14559.0</v>
      </c>
      <c r="B3080" s="11" t="s">
        <v>3103</v>
      </c>
      <c r="C3080" s="12">
        <v>27017.0</v>
      </c>
      <c r="D3080" s="11" t="str">
        <f t="shared" si="1"/>
        <v> </v>
      </c>
      <c r="E3080" s="11" t="str">
        <f t="shared" si="2"/>
        <v> </v>
      </c>
    </row>
    <row r="3081" ht="15.75" customHeight="1">
      <c r="A3081" s="11">
        <v>14560.0</v>
      </c>
      <c r="B3081" s="11" t="s">
        <v>3104</v>
      </c>
      <c r="C3081" s="12">
        <v>26016.0</v>
      </c>
      <c r="D3081" s="11" t="str">
        <f t="shared" si="1"/>
        <v> </v>
      </c>
      <c r="E3081" s="11" t="str">
        <f t="shared" si="2"/>
        <v> </v>
      </c>
    </row>
    <row r="3082" ht="15.75" customHeight="1">
      <c r="A3082" s="11">
        <v>14561.0</v>
      </c>
      <c r="B3082" s="11" t="s">
        <v>3105</v>
      </c>
      <c r="C3082" s="12">
        <v>20438.0</v>
      </c>
      <c r="D3082" s="11" t="str">
        <f t="shared" si="1"/>
        <v> </v>
      </c>
      <c r="E3082" s="11" t="str">
        <f t="shared" si="2"/>
        <v> </v>
      </c>
    </row>
    <row r="3083" ht="15.75" customHeight="1">
      <c r="A3083" s="11">
        <v>14562.0</v>
      </c>
      <c r="B3083" s="11" t="s">
        <v>3106</v>
      </c>
      <c r="C3083" s="12">
        <v>25049.0</v>
      </c>
      <c r="D3083" s="11" t="str">
        <f t="shared" si="1"/>
        <v> </v>
      </c>
      <c r="E3083" s="11" t="str">
        <f t="shared" si="2"/>
        <v> </v>
      </c>
    </row>
    <row r="3084" ht="15.75" customHeight="1">
      <c r="A3084" s="11">
        <v>14563.0</v>
      </c>
      <c r="B3084" s="11" t="s">
        <v>3107</v>
      </c>
      <c r="C3084" s="12">
        <v>16771.0</v>
      </c>
      <c r="D3084" s="11" t="str">
        <f t="shared" si="1"/>
        <v> </v>
      </c>
      <c r="E3084" s="11" t="str">
        <f t="shared" si="2"/>
        <v> </v>
      </c>
    </row>
    <row r="3085" ht="15.75" customHeight="1">
      <c r="A3085" s="11">
        <v>14564.0</v>
      </c>
      <c r="B3085" s="11" t="s">
        <v>3108</v>
      </c>
      <c r="C3085" s="12">
        <v>30782.0</v>
      </c>
      <c r="D3085" s="11" t="str">
        <f t="shared" si="1"/>
        <v> </v>
      </c>
      <c r="E3085" s="11" t="str">
        <f t="shared" si="2"/>
        <v> </v>
      </c>
    </row>
    <row r="3086" ht="15.75" customHeight="1">
      <c r="A3086" s="11">
        <v>14566.0</v>
      </c>
      <c r="B3086" s="11" t="s">
        <v>3109</v>
      </c>
      <c r="C3086" s="12">
        <v>19783.0</v>
      </c>
      <c r="D3086" s="11" t="str">
        <f t="shared" si="1"/>
        <v> </v>
      </c>
      <c r="E3086" s="11" t="str">
        <f t="shared" si="2"/>
        <v> </v>
      </c>
    </row>
    <row r="3087" ht="15.75" customHeight="1">
      <c r="A3087" s="11">
        <v>14567.0</v>
      </c>
      <c r="B3087" s="11" t="s">
        <v>3110</v>
      </c>
      <c r="C3087" s="12">
        <v>18576.0</v>
      </c>
      <c r="D3087" s="11" t="str">
        <f t="shared" si="1"/>
        <v> </v>
      </c>
      <c r="E3087" s="11" t="str">
        <f t="shared" si="2"/>
        <v> </v>
      </c>
    </row>
    <row r="3088" ht="15.75" customHeight="1">
      <c r="A3088" s="11">
        <v>14568.0</v>
      </c>
      <c r="B3088" s="11" t="s">
        <v>3111</v>
      </c>
      <c r="C3088" s="12">
        <v>31317.0</v>
      </c>
      <c r="D3088" s="11" t="str">
        <f t="shared" si="1"/>
        <v> </v>
      </c>
      <c r="E3088" s="11" t="str">
        <f t="shared" si="2"/>
        <v> </v>
      </c>
    </row>
    <row r="3089" ht="15.75" customHeight="1">
      <c r="A3089" s="11">
        <v>14569.0</v>
      </c>
      <c r="B3089" s="11" t="s">
        <v>3112</v>
      </c>
      <c r="C3089" s="12">
        <v>25195.0</v>
      </c>
      <c r="D3089" s="11" t="str">
        <f t="shared" si="1"/>
        <v> </v>
      </c>
      <c r="E3089" s="11" t="str">
        <f t="shared" si="2"/>
        <v> </v>
      </c>
    </row>
    <row r="3090" ht="15.75" customHeight="1">
      <c r="A3090" s="11">
        <v>14570.0</v>
      </c>
      <c r="B3090" s="11" t="s">
        <v>3113</v>
      </c>
      <c r="C3090" s="12">
        <v>28539.0</v>
      </c>
      <c r="D3090" s="11" t="str">
        <f t="shared" si="1"/>
        <v> </v>
      </c>
      <c r="E3090" s="11" t="str">
        <f t="shared" si="2"/>
        <v> </v>
      </c>
    </row>
    <row r="3091" ht="15.75" customHeight="1">
      <c r="A3091" s="11">
        <v>14571.0</v>
      </c>
      <c r="B3091" s="11" t="s">
        <v>3114</v>
      </c>
      <c r="C3091" s="12">
        <v>25774.0</v>
      </c>
      <c r="D3091" s="11" t="str">
        <f t="shared" si="1"/>
        <v>Repeat</v>
      </c>
      <c r="E3091" s="11" t="str">
        <f t="shared" si="2"/>
        <v> </v>
      </c>
    </row>
    <row r="3092" ht="15.75" customHeight="1">
      <c r="A3092" s="11">
        <v>14572.0</v>
      </c>
      <c r="B3092" s="11" t="s">
        <v>3115</v>
      </c>
      <c r="C3092" s="12">
        <v>15472.0</v>
      </c>
      <c r="D3092" s="11" t="str">
        <f t="shared" si="1"/>
        <v> </v>
      </c>
      <c r="E3092" s="11" t="str">
        <f t="shared" si="2"/>
        <v> </v>
      </c>
    </row>
    <row r="3093" ht="15.75" customHeight="1">
      <c r="A3093" s="11">
        <v>14573.0</v>
      </c>
      <c r="B3093" s="11" t="s">
        <v>3116</v>
      </c>
      <c r="C3093" s="12">
        <v>15424.0</v>
      </c>
      <c r="D3093" s="11" t="str">
        <f t="shared" si="1"/>
        <v> </v>
      </c>
      <c r="E3093" s="11" t="str">
        <f t="shared" si="2"/>
        <v> </v>
      </c>
    </row>
    <row r="3094" ht="15.75" customHeight="1">
      <c r="A3094" s="11">
        <v>14574.0</v>
      </c>
      <c r="B3094" s="11" t="s">
        <v>3117</v>
      </c>
      <c r="C3094" s="12">
        <v>25692.0</v>
      </c>
      <c r="D3094" s="11" t="str">
        <f t="shared" si="1"/>
        <v> </v>
      </c>
      <c r="E3094" s="11" t="str">
        <f t="shared" si="2"/>
        <v> </v>
      </c>
    </row>
    <row r="3095" ht="15.75" customHeight="1">
      <c r="A3095" s="11">
        <v>14575.0</v>
      </c>
      <c r="B3095" s="11" t="s">
        <v>3118</v>
      </c>
      <c r="C3095" s="12">
        <v>32220.0</v>
      </c>
      <c r="D3095" s="11" t="str">
        <f t="shared" si="1"/>
        <v> </v>
      </c>
      <c r="E3095" s="11" t="str">
        <f t="shared" si="2"/>
        <v> </v>
      </c>
    </row>
    <row r="3096" ht="15.75" customHeight="1">
      <c r="A3096" s="11">
        <v>14576.0</v>
      </c>
      <c r="B3096" s="11" t="s">
        <v>3119</v>
      </c>
      <c r="C3096" s="12">
        <v>26944.0</v>
      </c>
      <c r="D3096" s="11" t="str">
        <f t="shared" si="1"/>
        <v> </v>
      </c>
      <c r="E3096" s="11" t="str">
        <f t="shared" si="2"/>
        <v> </v>
      </c>
    </row>
    <row r="3097" ht="15.75" customHeight="1">
      <c r="A3097" s="11">
        <v>14578.0</v>
      </c>
      <c r="B3097" s="11" t="s">
        <v>3120</v>
      </c>
      <c r="C3097" s="12">
        <v>17697.0</v>
      </c>
      <c r="D3097" s="11" t="str">
        <f t="shared" si="1"/>
        <v> </v>
      </c>
      <c r="E3097" s="11" t="str">
        <f t="shared" si="2"/>
        <v> </v>
      </c>
    </row>
    <row r="3098" ht="15.75" customHeight="1">
      <c r="A3098" s="11">
        <v>14580.0</v>
      </c>
      <c r="B3098" s="11" t="s">
        <v>3121</v>
      </c>
      <c r="C3098" s="12">
        <v>17407.0</v>
      </c>
      <c r="D3098" s="11" t="str">
        <f t="shared" si="1"/>
        <v> </v>
      </c>
      <c r="E3098" s="11" t="str">
        <f t="shared" si="2"/>
        <v> </v>
      </c>
    </row>
    <row r="3099" ht="15.75" customHeight="1">
      <c r="A3099" s="11">
        <v>14581.0</v>
      </c>
      <c r="B3099" s="11" t="s">
        <v>3122</v>
      </c>
      <c r="C3099" s="12">
        <v>21223.0</v>
      </c>
      <c r="D3099" s="11" t="str">
        <f t="shared" si="1"/>
        <v>Repeat</v>
      </c>
      <c r="E3099" s="11" t="str">
        <f t="shared" si="2"/>
        <v> </v>
      </c>
    </row>
    <row r="3100" ht="15.75" customHeight="1">
      <c r="A3100" s="11">
        <v>14582.0</v>
      </c>
      <c r="B3100" s="11" t="s">
        <v>3123</v>
      </c>
      <c r="C3100" s="12">
        <v>30084.0</v>
      </c>
      <c r="D3100" s="11" t="str">
        <f t="shared" si="1"/>
        <v> </v>
      </c>
      <c r="E3100" s="11" t="str">
        <f t="shared" si="2"/>
        <v> </v>
      </c>
    </row>
    <row r="3101" ht="15.75" customHeight="1">
      <c r="A3101" s="11">
        <v>14584.0</v>
      </c>
      <c r="B3101" s="11" t="s">
        <v>3124</v>
      </c>
      <c r="C3101" s="12">
        <v>18073.0</v>
      </c>
      <c r="D3101" s="11" t="str">
        <f t="shared" si="1"/>
        <v> </v>
      </c>
      <c r="E3101" s="11" t="str">
        <f t="shared" si="2"/>
        <v> </v>
      </c>
    </row>
    <row r="3102" ht="15.75" customHeight="1">
      <c r="A3102" s="11">
        <v>14585.0</v>
      </c>
      <c r="B3102" s="11" t="s">
        <v>3125</v>
      </c>
      <c r="C3102" s="12">
        <v>26705.0</v>
      </c>
      <c r="D3102" s="11" t="str">
        <f t="shared" si="1"/>
        <v> </v>
      </c>
      <c r="E3102" s="11" t="str">
        <f t="shared" si="2"/>
        <v> </v>
      </c>
    </row>
    <row r="3103" ht="15.75" customHeight="1">
      <c r="A3103" s="11">
        <v>14586.0</v>
      </c>
      <c r="B3103" s="11" t="s">
        <v>3126</v>
      </c>
      <c r="C3103" s="12">
        <v>21510.0</v>
      </c>
      <c r="D3103" s="11" t="str">
        <f t="shared" si="1"/>
        <v> </v>
      </c>
      <c r="E3103" s="11" t="str">
        <f t="shared" si="2"/>
        <v> </v>
      </c>
    </row>
    <row r="3104" ht="15.75" customHeight="1">
      <c r="A3104" s="11">
        <v>14587.0</v>
      </c>
      <c r="B3104" s="11" t="s">
        <v>3127</v>
      </c>
      <c r="C3104" s="12">
        <v>22546.0</v>
      </c>
      <c r="D3104" s="11" t="str">
        <f t="shared" si="1"/>
        <v> </v>
      </c>
      <c r="E3104" s="11" t="str">
        <f t="shared" si="2"/>
        <v> </v>
      </c>
    </row>
    <row r="3105" ht="15.75" customHeight="1">
      <c r="A3105" s="11">
        <v>14588.0</v>
      </c>
      <c r="B3105" s="11" t="s">
        <v>3128</v>
      </c>
      <c r="C3105" s="12">
        <v>24734.0</v>
      </c>
      <c r="D3105" s="11" t="str">
        <f t="shared" si="1"/>
        <v> </v>
      </c>
      <c r="E3105" s="11" t="str">
        <f t="shared" si="2"/>
        <v> </v>
      </c>
    </row>
    <row r="3106" ht="15.75" customHeight="1">
      <c r="A3106" s="11">
        <v>14589.0</v>
      </c>
      <c r="B3106" s="11" t="s">
        <v>3129</v>
      </c>
      <c r="C3106" s="12">
        <v>24291.0</v>
      </c>
      <c r="D3106" s="11" t="str">
        <f t="shared" si="1"/>
        <v> </v>
      </c>
      <c r="E3106" s="11" t="str">
        <f t="shared" si="2"/>
        <v> </v>
      </c>
    </row>
    <row r="3107" ht="15.75" customHeight="1">
      <c r="A3107" s="11">
        <v>14590.0</v>
      </c>
      <c r="B3107" s="11" t="s">
        <v>3130</v>
      </c>
      <c r="C3107" s="12">
        <v>36375.0</v>
      </c>
      <c r="D3107" s="11" t="str">
        <f t="shared" si="1"/>
        <v> </v>
      </c>
      <c r="E3107" s="11" t="str">
        <f t="shared" si="2"/>
        <v> </v>
      </c>
    </row>
    <row r="3108" ht="15.75" customHeight="1">
      <c r="A3108" s="11">
        <v>14591.0</v>
      </c>
      <c r="B3108" s="11" t="s">
        <v>3131</v>
      </c>
      <c r="C3108" s="12">
        <v>30665.0</v>
      </c>
      <c r="D3108" s="11" t="str">
        <f t="shared" si="1"/>
        <v> </v>
      </c>
      <c r="E3108" s="11" t="str">
        <f t="shared" si="2"/>
        <v> </v>
      </c>
    </row>
    <row r="3109" ht="15.75" customHeight="1">
      <c r="A3109" s="11">
        <v>14592.0</v>
      </c>
      <c r="B3109" s="11" t="s">
        <v>3132</v>
      </c>
      <c r="C3109" s="12">
        <v>21204.0</v>
      </c>
      <c r="D3109" s="11" t="str">
        <f t="shared" si="1"/>
        <v> </v>
      </c>
      <c r="E3109" s="11" t="str">
        <f t="shared" si="2"/>
        <v> </v>
      </c>
    </row>
    <row r="3110" ht="15.75" customHeight="1">
      <c r="A3110" s="11">
        <v>14594.0</v>
      </c>
      <c r="B3110" s="11" t="s">
        <v>3133</v>
      </c>
      <c r="C3110" s="12">
        <v>29339.0</v>
      </c>
      <c r="D3110" s="11" t="str">
        <f t="shared" si="1"/>
        <v> </v>
      </c>
      <c r="E3110" s="11" t="str">
        <f t="shared" si="2"/>
        <v> </v>
      </c>
    </row>
    <row r="3111" ht="15.75" customHeight="1">
      <c r="A3111" s="11">
        <v>14595.0</v>
      </c>
      <c r="B3111" s="11" t="s">
        <v>3134</v>
      </c>
      <c r="C3111" s="12">
        <v>13584.0</v>
      </c>
      <c r="D3111" s="11" t="str">
        <f t="shared" si="1"/>
        <v> </v>
      </c>
      <c r="E3111" s="11" t="str">
        <f t="shared" si="2"/>
        <v> </v>
      </c>
    </row>
    <row r="3112" ht="15.75" customHeight="1">
      <c r="A3112" s="11">
        <v>14597.0</v>
      </c>
      <c r="B3112" s="11" t="s">
        <v>3135</v>
      </c>
      <c r="C3112" s="12">
        <v>26810.0</v>
      </c>
      <c r="D3112" s="11" t="str">
        <f t="shared" si="1"/>
        <v> </v>
      </c>
      <c r="E3112" s="11" t="str">
        <f t="shared" si="2"/>
        <v> </v>
      </c>
    </row>
    <row r="3113" ht="15.75" customHeight="1">
      <c r="A3113" s="11">
        <v>14598.0</v>
      </c>
      <c r="B3113" s="11" t="s">
        <v>3136</v>
      </c>
      <c r="C3113" s="12">
        <v>21165.0</v>
      </c>
      <c r="D3113" s="11" t="str">
        <f t="shared" si="1"/>
        <v> </v>
      </c>
      <c r="E3113" s="11" t="str">
        <f t="shared" si="2"/>
        <v> </v>
      </c>
    </row>
    <row r="3114" ht="15.75" customHeight="1">
      <c r="A3114" s="11">
        <v>14600.0</v>
      </c>
      <c r="B3114" s="11" t="s">
        <v>3137</v>
      </c>
      <c r="C3114" s="12">
        <v>18872.0</v>
      </c>
      <c r="D3114" s="11" t="str">
        <f t="shared" si="1"/>
        <v>Repeat</v>
      </c>
      <c r="E3114" s="11" t="str">
        <f t="shared" si="2"/>
        <v> </v>
      </c>
    </row>
    <row r="3115" ht="15.75" customHeight="1">
      <c r="A3115" s="11">
        <v>14601.0</v>
      </c>
      <c r="B3115" s="11" t="s">
        <v>3138</v>
      </c>
      <c r="C3115" s="12">
        <v>21465.0</v>
      </c>
      <c r="D3115" s="11" t="str">
        <f t="shared" si="1"/>
        <v>Repeat</v>
      </c>
      <c r="E3115" s="11" t="str">
        <f t="shared" si="2"/>
        <v> </v>
      </c>
    </row>
    <row r="3116" ht="15.75" customHeight="1">
      <c r="A3116" s="11">
        <v>14602.0</v>
      </c>
      <c r="B3116" s="11" t="s">
        <v>3139</v>
      </c>
      <c r="C3116" s="12">
        <v>24599.0</v>
      </c>
      <c r="D3116" s="11" t="str">
        <f t="shared" si="1"/>
        <v> </v>
      </c>
      <c r="E3116" s="11" t="str">
        <f t="shared" si="2"/>
        <v> </v>
      </c>
    </row>
    <row r="3117" ht="15.75" customHeight="1">
      <c r="A3117" s="11">
        <v>14603.0</v>
      </c>
      <c r="B3117" s="11" t="s">
        <v>3140</v>
      </c>
      <c r="C3117" s="12">
        <v>15892.0</v>
      </c>
      <c r="D3117" s="11" t="str">
        <f t="shared" si="1"/>
        <v> </v>
      </c>
      <c r="E3117" s="11" t="str">
        <f t="shared" si="2"/>
        <v> </v>
      </c>
    </row>
    <row r="3118" ht="15.75" customHeight="1">
      <c r="A3118" s="11">
        <v>14604.0</v>
      </c>
      <c r="B3118" s="11" t="s">
        <v>3141</v>
      </c>
      <c r="C3118" s="12">
        <v>32668.0</v>
      </c>
      <c r="D3118" s="11" t="str">
        <f t="shared" si="1"/>
        <v> </v>
      </c>
      <c r="E3118" s="11" t="str">
        <f t="shared" si="2"/>
        <v> </v>
      </c>
    </row>
    <row r="3119" ht="15.75" customHeight="1">
      <c r="A3119" s="11">
        <v>14606.0</v>
      </c>
      <c r="B3119" s="11" t="s">
        <v>3142</v>
      </c>
      <c r="C3119" s="12">
        <v>36306.0</v>
      </c>
      <c r="D3119" s="11" t="str">
        <f t="shared" si="1"/>
        <v> </v>
      </c>
      <c r="E3119" s="11" t="str">
        <f t="shared" si="2"/>
        <v> </v>
      </c>
    </row>
    <row r="3120" ht="15.75" customHeight="1">
      <c r="A3120" s="11">
        <v>14607.0</v>
      </c>
      <c r="B3120" s="11" t="s">
        <v>3143</v>
      </c>
      <c r="C3120" s="12">
        <v>35936.0</v>
      </c>
      <c r="D3120" s="11" t="str">
        <f t="shared" si="1"/>
        <v> </v>
      </c>
      <c r="E3120" s="11" t="str">
        <f t="shared" si="2"/>
        <v> </v>
      </c>
    </row>
    <row r="3121" ht="15.75" customHeight="1">
      <c r="A3121" s="11">
        <v>14608.0</v>
      </c>
      <c r="B3121" s="11" t="s">
        <v>3144</v>
      </c>
      <c r="C3121" s="12">
        <v>31891.0</v>
      </c>
      <c r="D3121" s="11" t="str">
        <f t="shared" si="1"/>
        <v> </v>
      </c>
      <c r="E3121" s="11" t="str">
        <f t="shared" si="2"/>
        <v> </v>
      </c>
    </row>
    <row r="3122" ht="15.75" customHeight="1">
      <c r="A3122" s="11">
        <v>14609.0</v>
      </c>
      <c r="B3122" s="11" t="s">
        <v>3145</v>
      </c>
      <c r="C3122" s="12">
        <v>35075.0</v>
      </c>
      <c r="D3122" s="11" t="str">
        <f t="shared" si="1"/>
        <v> </v>
      </c>
      <c r="E3122" s="11" t="str">
        <f t="shared" si="2"/>
        <v> </v>
      </c>
    </row>
    <row r="3123" ht="15.75" customHeight="1">
      <c r="A3123" s="11">
        <v>14610.0</v>
      </c>
      <c r="B3123" s="11" t="s">
        <v>3146</v>
      </c>
      <c r="C3123" s="12">
        <v>25077.0</v>
      </c>
      <c r="D3123" s="11" t="str">
        <f t="shared" si="1"/>
        <v> </v>
      </c>
      <c r="E3123" s="11" t="str">
        <f t="shared" si="2"/>
        <v> </v>
      </c>
    </row>
    <row r="3124" ht="15.75" customHeight="1">
      <c r="A3124" s="11">
        <v>14611.0</v>
      </c>
      <c r="B3124" s="11" t="s">
        <v>3147</v>
      </c>
      <c r="C3124" s="12">
        <v>24831.0</v>
      </c>
      <c r="D3124" s="11" t="str">
        <f t="shared" si="1"/>
        <v> </v>
      </c>
      <c r="E3124" s="11" t="str">
        <f t="shared" si="2"/>
        <v> </v>
      </c>
    </row>
    <row r="3125" ht="15.75" customHeight="1">
      <c r="A3125" s="11">
        <v>14612.0</v>
      </c>
      <c r="B3125" s="11" t="s">
        <v>3148</v>
      </c>
      <c r="C3125" s="12">
        <v>15554.0</v>
      </c>
      <c r="D3125" s="11" t="str">
        <f t="shared" si="1"/>
        <v> </v>
      </c>
      <c r="E3125" s="11" t="str">
        <f t="shared" si="2"/>
        <v> </v>
      </c>
    </row>
    <row r="3126" ht="15.75" customHeight="1">
      <c r="A3126" s="11">
        <v>14613.0</v>
      </c>
      <c r="B3126" s="11" t="s">
        <v>3149</v>
      </c>
      <c r="C3126" s="12">
        <v>32621.0</v>
      </c>
      <c r="D3126" s="11" t="str">
        <f t="shared" si="1"/>
        <v> </v>
      </c>
      <c r="E3126" s="11" t="str">
        <f t="shared" si="2"/>
        <v> </v>
      </c>
    </row>
    <row r="3127" ht="15.75" customHeight="1">
      <c r="A3127" s="11">
        <v>14615.0</v>
      </c>
      <c r="B3127" s="11" t="s">
        <v>3150</v>
      </c>
      <c r="C3127" s="12">
        <v>18580.0</v>
      </c>
      <c r="D3127" s="11" t="str">
        <f t="shared" si="1"/>
        <v> </v>
      </c>
      <c r="E3127" s="11" t="str">
        <f t="shared" si="2"/>
        <v> </v>
      </c>
    </row>
    <row r="3128" ht="15.75" customHeight="1">
      <c r="A3128" s="11">
        <v>14617.0</v>
      </c>
      <c r="B3128" s="11" t="s">
        <v>3151</v>
      </c>
      <c r="C3128" s="12">
        <v>17695.0</v>
      </c>
      <c r="D3128" s="11" t="str">
        <f t="shared" si="1"/>
        <v> </v>
      </c>
      <c r="E3128" s="11" t="str">
        <f t="shared" si="2"/>
        <v> </v>
      </c>
    </row>
    <row r="3129" ht="15.75" customHeight="1">
      <c r="A3129" s="11">
        <v>14618.0</v>
      </c>
      <c r="B3129" s="11" t="s">
        <v>3152</v>
      </c>
      <c r="C3129" s="12">
        <v>34941.0</v>
      </c>
      <c r="D3129" s="11" t="str">
        <f t="shared" si="1"/>
        <v> </v>
      </c>
      <c r="E3129" s="11" t="str">
        <f t="shared" si="2"/>
        <v> </v>
      </c>
    </row>
    <row r="3130" ht="15.75" customHeight="1">
      <c r="A3130" s="11">
        <v>14619.0</v>
      </c>
      <c r="B3130" s="11" t="s">
        <v>3153</v>
      </c>
      <c r="C3130" s="12">
        <v>27658.0</v>
      </c>
      <c r="D3130" s="11" t="str">
        <f t="shared" si="1"/>
        <v> </v>
      </c>
      <c r="E3130" s="11" t="str">
        <f t="shared" si="2"/>
        <v> </v>
      </c>
    </row>
    <row r="3131" ht="15.75" customHeight="1">
      <c r="A3131" s="11">
        <v>14620.0</v>
      </c>
      <c r="B3131" s="11" t="s">
        <v>3154</v>
      </c>
      <c r="C3131" s="12">
        <v>15059.0</v>
      </c>
      <c r="D3131" s="11" t="str">
        <f t="shared" si="1"/>
        <v> </v>
      </c>
      <c r="E3131" s="11" t="str">
        <f t="shared" si="2"/>
        <v> </v>
      </c>
    </row>
    <row r="3132" ht="15.75" customHeight="1">
      <c r="A3132" s="11">
        <v>14621.0</v>
      </c>
      <c r="B3132" s="11" t="s">
        <v>3155</v>
      </c>
      <c r="C3132" s="12">
        <v>27034.0</v>
      </c>
      <c r="D3132" s="11" t="str">
        <f t="shared" si="1"/>
        <v> </v>
      </c>
      <c r="E3132" s="11" t="str">
        <f t="shared" si="2"/>
        <v> </v>
      </c>
    </row>
    <row r="3133" ht="15.75" customHeight="1">
      <c r="A3133" s="11">
        <v>14622.0</v>
      </c>
      <c r="B3133" s="11" t="s">
        <v>3156</v>
      </c>
      <c r="C3133" s="12">
        <v>36734.0</v>
      </c>
      <c r="D3133" s="11" t="str">
        <f t="shared" si="1"/>
        <v> </v>
      </c>
      <c r="E3133" s="11" t="str">
        <f t="shared" si="2"/>
        <v> </v>
      </c>
    </row>
    <row r="3134" ht="15.75" customHeight="1">
      <c r="A3134" s="11">
        <v>14623.0</v>
      </c>
      <c r="B3134" s="11" t="s">
        <v>3157</v>
      </c>
      <c r="C3134" s="12">
        <v>31659.0</v>
      </c>
      <c r="D3134" s="11" t="str">
        <f t="shared" si="1"/>
        <v> </v>
      </c>
      <c r="E3134" s="11" t="str">
        <f t="shared" si="2"/>
        <v> </v>
      </c>
    </row>
    <row r="3135" ht="15.75" customHeight="1">
      <c r="A3135" s="11">
        <v>14624.0</v>
      </c>
      <c r="B3135" s="11" t="s">
        <v>3158</v>
      </c>
      <c r="C3135" s="12">
        <v>15745.0</v>
      </c>
      <c r="D3135" s="11" t="str">
        <f t="shared" si="1"/>
        <v> </v>
      </c>
      <c r="E3135" s="11" t="str">
        <f t="shared" si="2"/>
        <v> </v>
      </c>
    </row>
    <row r="3136" ht="15.75" customHeight="1">
      <c r="A3136" s="11">
        <v>14625.0</v>
      </c>
      <c r="B3136" s="11" t="s">
        <v>3159</v>
      </c>
      <c r="C3136" s="12">
        <v>34939.0</v>
      </c>
      <c r="D3136" s="11" t="str">
        <f t="shared" si="1"/>
        <v> </v>
      </c>
      <c r="E3136" s="11" t="str">
        <f t="shared" si="2"/>
        <v> </v>
      </c>
    </row>
    <row r="3137" ht="15.75" customHeight="1">
      <c r="A3137" s="11">
        <v>14626.0</v>
      </c>
      <c r="B3137" s="11" t="s">
        <v>3160</v>
      </c>
      <c r="C3137" s="12">
        <v>36073.0</v>
      </c>
      <c r="D3137" s="11" t="str">
        <f t="shared" si="1"/>
        <v> </v>
      </c>
      <c r="E3137" s="11" t="str">
        <f t="shared" si="2"/>
        <v> </v>
      </c>
    </row>
    <row r="3138" ht="15.75" customHeight="1">
      <c r="A3138" s="11">
        <v>14627.0</v>
      </c>
      <c r="B3138" s="11" t="s">
        <v>3161</v>
      </c>
      <c r="C3138" s="12">
        <v>35108.0</v>
      </c>
      <c r="D3138" s="11" t="str">
        <f t="shared" si="1"/>
        <v> </v>
      </c>
      <c r="E3138" s="11" t="str">
        <f t="shared" si="2"/>
        <v> </v>
      </c>
    </row>
    <row r="3139" ht="15.75" customHeight="1">
      <c r="A3139" s="11">
        <v>14628.0</v>
      </c>
      <c r="B3139" s="11" t="s">
        <v>3162</v>
      </c>
      <c r="C3139" s="12">
        <v>19571.0</v>
      </c>
      <c r="D3139" s="11" t="str">
        <f t="shared" si="1"/>
        <v> </v>
      </c>
      <c r="E3139" s="11" t="str">
        <f t="shared" si="2"/>
        <v> </v>
      </c>
    </row>
    <row r="3140" ht="15.75" customHeight="1">
      <c r="A3140" s="11">
        <v>14629.0</v>
      </c>
      <c r="B3140" s="11" t="s">
        <v>3163</v>
      </c>
      <c r="C3140" s="12">
        <v>29613.0</v>
      </c>
      <c r="D3140" s="11" t="str">
        <f t="shared" si="1"/>
        <v> </v>
      </c>
      <c r="E3140" s="11" t="str">
        <f t="shared" si="2"/>
        <v> </v>
      </c>
    </row>
    <row r="3141" ht="15.75" customHeight="1">
      <c r="A3141" s="11">
        <v>14630.0</v>
      </c>
      <c r="B3141" s="11" t="s">
        <v>3164</v>
      </c>
      <c r="C3141" s="12">
        <v>23052.0</v>
      </c>
      <c r="D3141" s="11" t="str">
        <f t="shared" si="1"/>
        <v> </v>
      </c>
      <c r="E3141" s="11" t="str">
        <f t="shared" si="2"/>
        <v> </v>
      </c>
    </row>
    <row r="3142" ht="15.75" customHeight="1">
      <c r="A3142" s="11">
        <v>14631.0</v>
      </c>
      <c r="B3142" s="11" t="s">
        <v>3165</v>
      </c>
      <c r="C3142" s="12">
        <v>21550.0</v>
      </c>
      <c r="D3142" s="11" t="str">
        <f t="shared" si="1"/>
        <v>Repeat</v>
      </c>
      <c r="E3142" s="11" t="str">
        <f t="shared" si="2"/>
        <v> </v>
      </c>
    </row>
    <row r="3143" ht="15.75" customHeight="1">
      <c r="A3143" s="11">
        <v>14632.0</v>
      </c>
      <c r="B3143" s="11" t="s">
        <v>3166</v>
      </c>
      <c r="C3143" s="12">
        <v>18269.0</v>
      </c>
      <c r="D3143" s="11" t="str">
        <f t="shared" si="1"/>
        <v> </v>
      </c>
      <c r="E3143" s="11" t="str">
        <f t="shared" si="2"/>
        <v> </v>
      </c>
    </row>
    <row r="3144" ht="15.75" customHeight="1">
      <c r="A3144" s="11">
        <v>14633.0</v>
      </c>
      <c r="B3144" s="11" t="s">
        <v>3167</v>
      </c>
      <c r="C3144" s="12">
        <v>18304.0</v>
      </c>
      <c r="D3144" s="11" t="str">
        <f t="shared" si="1"/>
        <v> </v>
      </c>
      <c r="E3144" s="11" t="str">
        <f t="shared" si="2"/>
        <v> </v>
      </c>
    </row>
    <row r="3145" ht="15.75" customHeight="1">
      <c r="A3145" s="11">
        <v>14634.0</v>
      </c>
      <c r="B3145" s="11" t="s">
        <v>3168</v>
      </c>
      <c r="C3145" s="12">
        <v>12188.0</v>
      </c>
      <c r="D3145" s="11" t="str">
        <f t="shared" si="1"/>
        <v> </v>
      </c>
      <c r="E3145" s="11" t="str">
        <f t="shared" si="2"/>
        <v> </v>
      </c>
    </row>
    <row r="3146" ht="15.75" customHeight="1">
      <c r="A3146" s="11">
        <v>14635.0</v>
      </c>
      <c r="B3146" s="11" t="s">
        <v>3169</v>
      </c>
      <c r="C3146" s="12">
        <v>19450.0</v>
      </c>
      <c r="D3146" s="11" t="str">
        <f t="shared" si="1"/>
        <v> </v>
      </c>
      <c r="E3146" s="11" t="str">
        <f t="shared" si="2"/>
        <v> </v>
      </c>
    </row>
    <row r="3147" ht="15.75" customHeight="1">
      <c r="A3147" s="11">
        <v>14637.0</v>
      </c>
      <c r="B3147" s="11" t="s">
        <v>3170</v>
      </c>
      <c r="C3147" s="12">
        <v>18447.0</v>
      </c>
      <c r="D3147" s="11" t="str">
        <f t="shared" si="1"/>
        <v> </v>
      </c>
      <c r="E3147" s="11" t="str">
        <f t="shared" si="2"/>
        <v> </v>
      </c>
    </row>
    <row r="3148" ht="15.75" customHeight="1">
      <c r="A3148" s="11">
        <v>14639.0</v>
      </c>
      <c r="B3148" s="11" t="s">
        <v>3171</v>
      </c>
      <c r="C3148" s="12">
        <v>12754.0</v>
      </c>
      <c r="D3148" s="11" t="str">
        <f t="shared" si="1"/>
        <v> </v>
      </c>
      <c r="E3148" s="11" t="str">
        <f t="shared" si="2"/>
        <v> </v>
      </c>
    </row>
    <row r="3149" ht="15.75" customHeight="1">
      <c r="A3149" s="11">
        <v>14640.0</v>
      </c>
      <c r="B3149" s="11" t="s">
        <v>3172</v>
      </c>
      <c r="C3149" s="12">
        <v>24268.0</v>
      </c>
      <c r="D3149" s="11" t="str">
        <f t="shared" si="1"/>
        <v> </v>
      </c>
      <c r="E3149" s="11" t="str">
        <f t="shared" si="2"/>
        <v> </v>
      </c>
    </row>
    <row r="3150" ht="15.75" customHeight="1">
      <c r="A3150" s="11">
        <v>14641.0</v>
      </c>
      <c r="B3150" s="11" t="s">
        <v>3173</v>
      </c>
      <c r="C3150" s="12">
        <v>15652.0</v>
      </c>
      <c r="D3150" s="11" t="str">
        <f t="shared" si="1"/>
        <v> </v>
      </c>
      <c r="E3150" s="11" t="str">
        <f t="shared" si="2"/>
        <v> </v>
      </c>
    </row>
    <row r="3151" ht="15.75" customHeight="1">
      <c r="A3151" s="11">
        <v>14642.0</v>
      </c>
      <c r="B3151" s="11" t="s">
        <v>3174</v>
      </c>
      <c r="C3151" s="12">
        <v>26339.0</v>
      </c>
      <c r="D3151" s="11" t="str">
        <f t="shared" si="1"/>
        <v> </v>
      </c>
      <c r="E3151" s="11" t="str">
        <f t="shared" si="2"/>
        <v> </v>
      </c>
    </row>
    <row r="3152" ht="15.75" customHeight="1">
      <c r="A3152" s="11">
        <v>14643.0</v>
      </c>
      <c r="B3152" s="11" t="s">
        <v>3175</v>
      </c>
      <c r="C3152" s="12">
        <v>23890.0</v>
      </c>
      <c r="D3152" s="11" t="str">
        <f t="shared" si="1"/>
        <v> </v>
      </c>
      <c r="E3152" s="11" t="str">
        <f t="shared" si="2"/>
        <v> </v>
      </c>
    </row>
    <row r="3153" ht="15.75" customHeight="1">
      <c r="A3153" s="11">
        <v>14644.0</v>
      </c>
      <c r="B3153" s="11" t="s">
        <v>3176</v>
      </c>
      <c r="C3153" s="12">
        <v>25849.0</v>
      </c>
      <c r="D3153" s="11" t="str">
        <f t="shared" si="1"/>
        <v> </v>
      </c>
      <c r="E3153" s="11" t="str">
        <f t="shared" si="2"/>
        <v> </v>
      </c>
    </row>
    <row r="3154" ht="15.75" customHeight="1">
      <c r="A3154" s="11">
        <v>14645.0</v>
      </c>
      <c r="B3154" s="11" t="s">
        <v>3177</v>
      </c>
      <c r="C3154" s="12">
        <v>35832.0</v>
      </c>
      <c r="D3154" s="11" t="str">
        <f t="shared" si="1"/>
        <v> </v>
      </c>
      <c r="E3154" s="11" t="str">
        <f t="shared" si="2"/>
        <v> </v>
      </c>
    </row>
    <row r="3155" ht="15.75" customHeight="1">
      <c r="A3155" s="11">
        <v>14646.0</v>
      </c>
      <c r="B3155" s="11" t="s">
        <v>3178</v>
      </c>
      <c r="C3155" s="12">
        <v>30179.0</v>
      </c>
      <c r="D3155" s="11" t="str">
        <f t="shared" si="1"/>
        <v> </v>
      </c>
      <c r="E3155" s="11" t="str">
        <f t="shared" si="2"/>
        <v> </v>
      </c>
    </row>
    <row r="3156" ht="15.75" customHeight="1">
      <c r="A3156" s="11">
        <v>14647.0</v>
      </c>
      <c r="B3156" s="11" t="s">
        <v>3179</v>
      </c>
      <c r="C3156" s="12">
        <v>33280.0</v>
      </c>
      <c r="D3156" s="11" t="str">
        <f t="shared" si="1"/>
        <v> </v>
      </c>
      <c r="E3156" s="11" t="str">
        <f t="shared" si="2"/>
        <v> </v>
      </c>
    </row>
    <row r="3157" ht="15.75" customHeight="1">
      <c r="A3157" s="11">
        <v>14649.0</v>
      </c>
      <c r="B3157" s="11" t="s">
        <v>3180</v>
      </c>
      <c r="C3157" s="12">
        <v>17046.0</v>
      </c>
      <c r="D3157" s="11" t="str">
        <f t="shared" si="1"/>
        <v> </v>
      </c>
      <c r="E3157" s="11" t="str">
        <f t="shared" si="2"/>
        <v> </v>
      </c>
    </row>
    <row r="3158" ht="15.75" customHeight="1">
      <c r="A3158" s="11">
        <v>14651.0</v>
      </c>
      <c r="B3158" s="11" t="s">
        <v>3181</v>
      </c>
      <c r="C3158" s="12">
        <v>33354.0</v>
      </c>
      <c r="D3158" s="11" t="str">
        <f t="shared" si="1"/>
        <v> </v>
      </c>
      <c r="E3158" s="11" t="str">
        <f t="shared" si="2"/>
        <v> </v>
      </c>
    </row>
    <row r="3159" ht="15.75" customHeight="1">
      <c r="A3159" s="11">
        <v>14653.0</v>
      </c>
      <c r="B3159" s="11" t="s">
        <v>3182</v>
      </c>
      <c r="C3159" s="12">
        <v>15110.0</v>
      </c>
      <c r="D3159" s="11" t="str">
        <f t="shared" si="1"/>
        <v> </v>
      </c>
      <c r="E3159" s="11" t="str">
        <f t="shared" si="2"/>
        <v> </v>
      </c>
    </row>
    <row r="3160" ht="15.75" customHeight="1">
      <c r="A3160" s="11">
        <v>14655.0</v>
      </c>
      <c r="B3160" s="11" t="s">
        <v>3183</v>
      </c>
      <c r="C3160" s="12">
        <v>27656.0</v>
      </c>
      <c r="D3160" s="11" t="str">
        <f t="shared" si="1"/>
        <v> </v>
      </c>
      <c r="E3160" s="11" t="str">
        <f t="shared" si="2"/>
        <v> </v>
      </c>
    </row>
    <row r="3161" ht="15.75" customHeight="1">
      <c r="A3161" s="11">
        <v>14656.0</v>
      </c>
      <c r="B3161" s="11" t="s">
        <v>3184</v>
      </c>
      <c r="C3161" s="12">
        <v>31611.0</v>
      </c>
      <c r="D3161" s="11" t="str">
        <f t="shared" si="1"/>
        <v> </v>
      </c>
      <c r="E3161" s="11" t="str">
        <f t="shared" si="2"/>
        <v> </v>
      </c>
    </row>
    <row r="3162" ht="15.75" customHeight="1">
      <c r="A3162" s="11">
        <v>14657.0</v>
      </c>
      <c r="B3162" s="11" t="s">
        <v>3185</v>
      </c>
      <c r="C3162" s="12">
        <v>15262.0</v>
      </c>
      <c r="D3162" s="11" t="str">
        <f t="shared" si="1"/>
        <v> </v>
      </c>
      <c r="E3162" s="11" t="str">
        <f t="shared" si="2"/>
        <v> </v>
      </c>
    </row>
    <row r="3163" ht="15.75" customHeight="1">
      <c r="A3163" s="11">
        <v>14658.0</v>
      </c>
      <c r="B3163" s="11" t="s">
        <v>3186</v>
      </c>
      <c r="C3163" s="12">
        <v>18222.0</v>
      </c>
      <c r="D3163" s="11" t="str">
        <f t="shared" si="1"/>
        <v> </v>
      </c>
      <c r="E3163" s="11" t="str">
        <f t="shared" si="2"/>
        <v> </v>
      </c>
    </row>
    <row r="3164" ht="15.75" customHeight="1">
      <c r="A3164" s="11">
        <v>14659.0</v>
      </c>
      <c r="B3164" s="11" t="s">
        <v>3187</v>
      </c>
      <c r="C3164" s="12">
        <v>23213.0</v>
      </c>
      <c r="D3164" s="11" t="str">
        <f t="shared" si="1"/>
        <v> </v>
      </c>
      <c r="E3164" s="11" t="str">
        <f t="shared" si="2"/>
        <v> </v>
      </c>
    </row>
    <row r="3165" ht="15.75" customHeight="1">
      <c r="A3165" s="11">
        <v>14660.0</v>
      </c>
      <c r="B3165" s="11" t="s">
        <v>3188</v>
      </c>
      <c r="C3165" s="12">
        <v>32046.0</v>
      </c>
      <c r="D3165" s="11" t="str">
        <f t="shared" si="1"/>
        <v> </v>
      </c>
      <c r="E3165" s="11" t="str">
        <f t="shared" si="2"/>
        <v> </v>
      </c>
    </row>
    <row r="3166" ht="15.75" customHeight="1">
      <c r="A3166" s="11">
        <v>14661.0</v>
      </c>
      <c r="B3166" s="11" t="s">
        <v>3189</v>
      </c>
      <c r="C3166" s="12">
        <v>34475.0</v>
      </c>
      <c r="D3166" s="11" t="str">
        <f t="shared" si="1"/>
        <v> </v>
      </c>
      <c r="E3166" s="11" t="str">
        <f t="shared" si="2"/>
        <v> </v>
      </c>
    </row>
    <row r="3167" ht="15.75" customHeight="1">
      <c r="A3167" s="11">
        <v>14662.0</v>
      </c>
      <c r="B3167" s="11" t="s">
        <v>3190</v>
      </c>
      <c r="C3167" s="12">
        <v>35392.0</v>
      </c>
      <c r="D3167" s="11" t="str">
        <f t="shared" si="1"/>
        <v> </v>
      </c>
      <c r="E3167" s="11" t="str">
        <f t="shared" si="2"/>
        <v> </v>
      </c>
    </row>
    <row r="3168" ht="15.75" customHeight="1">
      <c r="A3168" s="11">
        <v>14663.0</v>
      </c>
      <c r="B3168" s="11" t="s">
        <v>3191</v>
      </c>
      <c r="C3168" s="12">
        <v>22578.0</v>
      </c>
      <c r="D3168" s="11" t="str">
        <f t="shared" si="1"/>
        <v> </v>
      </c>
      <c r="E3168" s="11" t="str">
        <f t="shared" si="2"/>
        <v> </v>
      </c>
    </row>
    <row r="3169" ht="15.75" customHeight="1">
      <c r="A3169" s="11">
        <v>14664.0</v>
      </c>
      <c r="B3169" s="11" t="s">
        <v>3192</v>
      </c>
      <c r="C3169" s="12">
        <v>20060.0</v>
      </c>
      <c r="D3169" s="11" t="str">
        <f t="shared" si="1"/>
        <v> </v>
      </c>
      <c r="E3169" s="11" t="str">
        <f t="shared" si="2"/>
        <v> </v>
      </c>
    </row>
    <row r="3170" ht="15.75" customHeight="1">
      <c r="A3170" s="11">
        <v>14665.0</v>
      </c>
      <c r="B3170" s="11" t="s">
        <v>3193</v>
      </c>
      <c r="C3170" s="12">
        <v>17943.0</v>
      </c>
      <c r="D3170" s="11" t="str">
        <f t="shared" si="1"/>
        <v> </v>
      </c>
      <c r="E3170" s="11" t="str">
        <f t="shared" si="2"/>
        <v> </v>
      </c>
    </row>
    <row r="3171" ht="15.75" customHeight="1">
      <c r="A3171" s="11">
        <v>14666.0</v>
      </c>
      <c r="B3171" s="11" t="s">
        <v>3194</v>
      </c>
      <c r="C3171" s="12">
        <v>12836.0</v>
      </c>
      <c r="D3171" s="11" t="str">
        <f t="shared" si="1"/>
        <v> </v>
      </c>
      <c r="E3171" s="11" t="str">
        <f t="shared" si="2"/>
        <v> </v>
      </c>
    </row>
    <row r="3172" ht="15.75" customHeight="1">
      <c r="A3172" s="11">
        <v>14667.0</v>
      </c>
      <c r="B3172" s="11" t="s">
        <v>3195</v>
      </c>
      <c r="C3172" s="12">
        <v>20289.0</v>
      </c>
      <c r="D3172" s="11" t="str">
        <f t="shared" si="1"/>
        <v> </v>
      </c>
      <c r="E3172" s="11" t="str">
        <f t="shared" si="2"/>
        <v> </v>
      </c>
    </row>
    <row r="3173" ht="15.75" customHeight="1">
      <c r="A3173" s="11">
        <v>14668.0</v>
      </c>
      <c r="B3173" s="11" t="s">
        <v>3196</v>
      </c>
      <c r="C3173" s="12">
        <v>23488.0</v>
      </c>
      <c r="D3173" s="11" t="str">
        <f t="shared" si="1"/>
        <v> </v>
      </c>
      <c r="E3173" s="11" t="str">
        <f t="shared" si="2"/>
        <v> </v>
      </c>
    </row>
    <row r="3174" ht="15.75" customHeight="1">
      <c r="A3174" s="11">
        <v>14669.0</v>
      </c>
      <c r="B3174" s="11" t="s">
        <v>3197</v>
      </c>
      <c r="C3174" s="12">
        <v>14682.0</v>
      </c>
      <c r="D3174" s="11" t="str">
        <f t="shared" si="1"/>
        <v> </v>
      </c>
      <c r="E3174" s="11" t="str">
        <f t="shared" si="2"/>
        <v> </v>
      </c>
    </row>
    <row r="3175" ht="15.75" customHeight="1">
      <c r="A3175" s="11">
        <v>14670.0</v>
      </c>
      <c r="B3175" s="11" t="s">
        <v>3198</v>
      </c>
      <c r="C3175" s="12">
        <v>25721.0</v>
      </c>
      <c r="D3175" s="11" t="str">
        <f t="shared" si="1"/>
        <v> </v>
      </c>
      <c r="E3175" s="11" t="str">
        <f t="shared" si="2"/>
        <v> </v>
      </c>
    </row>
    <row r="3176" ht="15.75" customHeight="1">
      <c r="A3176" s="11">
        <v>14671.0</v>
      </c>
      <c r="B3176" s="11" t="s">
        <v>3199</v>
      </c>
      <c r="C3176" s="12">
        <v>33472.0</v>
      </c>
      <c r="D3176" s="11" t="str">
        <f t="shared" si="1"/>
        <v> </v>
      </c>
      <c r="E3176" s="11" t="str">
        <f t="shared" si="2"/>
        <v> </v>
      </c>
    </row>
    <row r="3177" ht="15.75" customHeight="1">
      <c r="A3177" s="11">
        <v>14675.0</v>
      </c>
      <c r="B3177" s="11" t="s">
        <v>3200</v>
      </c>
      <c r="C3177" s="12">
        <v>25689.0</v>
      </c>
      <c r="D3177" s="11" t="str">
        <f t="shared" si="1"/>
        <v> </v>
      </c>
      <c r="E3177" s="11" t="str">
        <f t="shared" si="2"/>
        <v> </v>
      </c>
    </row>
    <row r="3178" ht="15.75" customHeight="1">
      <c r="A3178" s="11">
        <v>14676.0</v>
      </c>
      <c r="B3178" s="11" t="s">
        <v>3201</v>
      </c>
      <c r="C3178" s="12">
        <v>36063.0</v>
      </c>
      <c r="D3178" s="11" t="str">
        <f t="shared" si="1"/>
        <v> </v>
      </c>
      <c r="E3178" s="11" t="str">
        <f t="shared" si="2"/>
        <v> </v>
      </c>
    </row>
    <row r="3179" ht="15.75" customHeight="1">
      <c r="A3179" s="11">
        <v>14677.0</v>
      </c>
      <c r="B3179" s="11" t="s">
        <v>3202</v>
      </c>
      <c r="C3179" s="12">
        <v>11746.0</v>
      </c>
      <c r="D3179" s="11" t="str">
        <f t="shared" si="1"/>
        <v> </v>
      </c>
      <c r="E3179" s="11" t="str">
        <f t="shared" si="2"/>
        <v> </v>
      </c>
    </row>
    <row r="3180" ht="15.75" customHeight="1">
      <c r="A3180" s="11">
        <v>14678.0</v>
      </c>
      <c r="B3180" s="11" t="s">
        <v>3203</v>
      </c>
      <c r="C3180" s="12">
        <v>18513.0</v>
      </c>
      <c r="D3180" s="11" t="str">
        <f t="shared" si="1"/>
        <v> </v>
      </c>
      <c r="E3180" s="11" t="str">
        <f t="shared" si="2"/>
        <v> </v>
      </c>
    </row>
    <row r="3181" ht="15.75" customHeight="1">
      <c r="A3181" s="11">
        <v>14679.0</v>
      </c>
      <c r="B3181" s="11" t="s">
        <v>3204</v>
      </c>
      <c r="C3181" s="12">
        <v>18488.0</v>
      </c>
      <c r="D3181" s="11" t="str">
        <f t="shared" si="1"/>
        <v> </v>
      </c>
      <c r="E3181" s="11" t="str">
        <f t="shared" si="2"/>
        <v> </v>
      </c>
    </row>
    <row r="3182" ht="15.75" customHeight="1">
      <c r="A3182" s="11">
        <v>14681.0</v>
      </c>
      <c r="B3182" s="11" t="s">
        <v>3205</v>
      </c>
      <c r="C3182" s="12">
        <v>24825.0</v>
      </c>
      <c r="D3182" s="11" t="str">
        <f t="shared" si="1"/>
        <v> </v>
      </c>
      <c r="E3182" s="11" t="str">
        <f t="shared" si="2"/>
        <v> </v>
      </c>
    </row>
    <row r="3183" ht="15.75" customHeight="1">
      <c r="A3183" s="11">
        <v>14682.0</v>
      </c>
      <c r="B3183" s="11" t="s">
        <v>3206</v>
      </c>
      <c r="C3183" s="12">
        <v>33997.0</v>
      </c>
      <c r="D3183" s="11" t="str">
        <f t="shared" si="1"/>
        <v> </v>
      </c>
      <c r="E3183" s="11" t="str">
        <f t="shared" si="2"/>
        <v> </v>
      </c>
    </row>
    <row r="3184" ht="15.75" customHeight="1">
      <c r="A3184" s="11">
        <v>14683.0</v>
      </c>
      <c r="B3184" s="11" t="s">
        <v>3207</v>
      </c>
      <c r="C3184" s="12">
        <v>18722.0</v>
      </c>
      <c r="D3184" s="11" t="str">
        <f t="shared" si="1"/>
        <v> </v>
      </c>
      <c r="E3184" s="11" t="str">
        <f t="shared" si="2"/>
        <v> </v>
      </c>
    </row>
    <row r="3185" ht="15.75" customHeight="1">
      <c r="A3185" s="11">
        <v>14685.0</v>
      </c>
      <c r="B3185" s="11" t="s">
        <v>3208</v>
      </c>
      <c r="C3185" s="12">
        <v>18112.0</v>
      </c>
      <c r="D3185" s="11" t="str">
        <f t="shared" si="1"/>
        <v> </v>
      </c>
      <c r="E3185" s="11" t="str">
        <f t="shared" si="2"/>
        <v> </v>
      </c>
    </row>
    <row r="3186" ht="15.75" customHeight="1">
      <c r="A3186" s="11">
        <v>14686.0</v>
      </c>
      <c r="B3186" s="11" t="s">
        <v>3209</v>
      </c>
      <c r="C3186" s="12">
        <v>18635.0</v>
      </c>
      <c r="D3186" s="11" t="str">
        <f t="shared" si="1"/>
        <v> </v>
      </c>
      <c r="E3186" s="11" t="str">
        <f t="shared" si="2"/>
        <v> </v>
      </c>
    </row>
    <row r="3187" ht="15.75" customHeight="1">
      <c r="A3187" s="11">
        <v>14687.0</v>
      </c>
      <c r="B3187" s="11" t="s">
        <v>3210</v>
      </c>
      <c r="C3187" s="12">
        <v>15334.0</v>
      </c>
      <c r="D3187" s="11" t="str">
        <f t="shared" si="1"/>
        <v> </v>
      </c>
      <c r="E3187" s="11" t="str">
        <f t="shared" si="2"/>
        <v> </v>
      </c>
    </row>
    <row r="3188" ht="15.75" customHeight="1">
      <c r="A3188" s="11">
        <v>14688.0</v>
      </c>
      <c r="B3188" s="11" t="s">
        <v>3211</v>
      </c>
      <c r="C3188" s="12">
        <v>31136.0</v>
      </c>
      <c r="D3188" s="11" t="str">
        <f t="shared" si="1"/>
        <v> </v>
      </c>
      <c r="E3188" s="11" t="str">
        <f t="shared" si="2"/>
        <v> </v>
      </c>
    </row>
    <row r="3189" ht="15.75" customHeight="1">
      <c r="A3189" s="11">
        <v>14689.0</v>
      </c>
      <c r="B3189" s="11" t="s">
        <v>3212</v>
      </c>
      <c r="C3189" s="12">
        <v>19801.0</v>
      </c>
      <c r="D3189" s="11" t="str">
        <f t="shared" si="1"/>
        <v> </v>
      </c>
      <c r="E3189" s="11" t="str">
        <f t="shared" si="2"/>
        <v> </v>
      </c>
    </row>
    <row r="3190" ht="15.75" customHeight="1">
      <c r="A3190" s="11">
        <v>14690.0</v>
      </c>
      <c r="B3190" s="11" t="s">
        <v>3213</v>
      </c>
      <c r="C3190" s="12">
        <v>23183.0</v>
      </c>
      <c r="D3190" s="11" t="str">
        <f t="shared" si="1"/>
        <v> </v>
      </c>
      <c r="E3190" s="11" t="str">
        <f t="shared" si="2"/>
        <v> </v>
      </c>
    </row>
    <row r="3191" ht="15.75" customHeight="1">
      <c r="A3191" s="11">
        <v>14691.0</v>
      </c>
      <c r="B3191" s="11" t="s">
        <v>3214</v>
      </c>
      <c r="C3191" s="12">
        <v>18045.0</v>
      </c>
      <c r="D3191" s="11" t="str">
        <f t="shared" si="1"/>
        <v> </v>
      </c>
      <c r="E3191" s="11" t="str">
        <f t="shared" si="2"/>
        <v> </v>
      </c>
    </row>
    <row r="3192" ht="15.75" customHeight="1">
      <c r="A3192" s="11">
        <v>14692.0</v>
      </c>
      <c r="B3192" s="11" t="s">
        <v>3215</v>
      </c>
      <c r="C3192" s="12">
        <v>30488.0</v>
      </c>
      <c r="D3192" s="11" t="str">
        <f t="shared" si="1"/>
        <v> </v>
      </c>
      <c r="E3192" s="11" t="str">
        <f t="shared" si="2"/>
        <v> </v>
      </c>
    </row>
    <row r="3193" ht="15.75" customHeight="1">
      <c r="A3193" s="11">
        <v>14694.0</v>
      </c>
      <c r="B3193" s="11" t="s">
        <v>3216</v>
      </c>
      <c r="C3193" s="12">
        <v>26697.0</v>
      </c>
      <c r="D3193" s="11" t="str">
        <f t="shared" si="1"/>
        <v> </v>
      </c>
      <c r="E3193" s="11" t="str">
        <f t="shared" si="2"/>
        <v> </v>
      </c>
    </row>
    <row r="3194" ht="15.75" customHeight="1">
      <c r="A3194" s="11">
        <v>14695.0</v>
      </c>
      <c r="B3194" s="11" t="s">
        <v>3217</v>
      </c>
      <c r="C3194" s="12">
        <v>20258.0</v>
      </c>
      <c r="D3194" s="11" t="str">
        <f t="shared" si="1"/>
        <v> </v>
      </c>
      <c r="E3194" s="11" t="str">
        <f t="shared" si="2"/>
        <v> </v>
      </c>
    </row>
    <row r="3195" ht="15.75" customHeight="1">
      <c r="A3195" s="11">
        <v>14696.0</v>
      </c>
      <c r="B3195" s="11" t="s">
        <v>3218</v>
      </c>
      <c r="C3195" s="12">
        <v>21874.0</v>
      </c>
      <c r="D3195" s="11" t="str">
        <f t="shared" si="1"/>
        <v> </v>
      </c>
      <c r="E3195" s="11" t="str">
        <f t="shared" si="2"/>
        <v> </v>
      </c>
    </row>
    <row r="3196" ht="15.75" customHeight="1">
      <c r="A3196" s="11">
        <v>14697.0</v>
      </c>
      <c r="B3196" s="11" t="s">
        <v>3219</v>
      </c>
      <c r="C3196" s="12">
        <v>20361.0</v>
      </c>
      <c r="D3196" s="11" t="str">
        <f t="shared" si="1"/>
        <v> </v>
      </c>
      <c r="E3196" s="11" t="str">
        <f t="shared" si="2"/>
        <v> </v>
      </c>
    </row>
    <row r="3197" ht="15.75" customHeight="1">
      <c r="A3197" s="11">
        <v>14698.0</v>
      </c>
      <c r="B3197" s="11" t="s">
        <v>3220</v>
      </c>
      <c r="C3197" s="12">
        <v>25292.0</v>
      </c>
      <c r="D3197" s="11" t="str">
        <f t="shared" si="1"/>
        <v> </v>
      </c>
      <c r="E3197" s="11" t="str">
        <f t="shared" si="2"/>
        <v> </v>
      </c>
    </row>
    <row r="3198" ht="15.75" customHeight="1">
      <c r="A3198" s="11">
        <v>14700.0</v>
      </c>
      <c r="B3198" s="11" t="s">
        <v>3221</v>
      </c>
      <c r="C3198" s="12">
        <v>32080.0</v>
      </c>
      <c r="D3198" s="11" t="str">
        <f t="shared" si="1"/>
        <v> </v>
      </c>
      <c r="E3198" s="11" t="str">
        <f t="shared" si="2"/>
        <v> </v>
      </c>
    </row>
    <row r="3199" ht="15.75" customHeight="1">
      <c r="A3199" s="11">
        <v>14701.0</v>
      </c>
      <c r="B3199" s="11" t="s">
        <v>3222</v>
      </c>
      <c r="C3199" s="12">
        <v>27308.0</v>
      </c>
      <c r="D3199" s="11" t="str">
        <f t="shared" si="1"/>
        <v> </v>
      </c>
      <c r="E3199" s="11" t="str">
        <f t="shared" si="2"/>
        <v> </v>
      </c>
    </row>
    <row r="3200" ht="15.75" customHeight="1">
      <c r="A3200" s="11">
        <v>14702.0</v>
      </c>
      <c r="B3200" s="11" t="s">
        <v>3223</v>
      </c>
      <c r="C3200" s="12">
        <v>19745.0</v>
      </c>
      <c r="D3200" s="11" t="str">
        <f t="shared" si="1"/>
        <v> </v>
      </c>
      <c r="E3200" s="11" t="str">
        <f t="shared" si="2"/>
        <v> </v>
      </c>
    </row>
    <row r="3201" ht="15.75" customHeight="1">
      <c r="A3201" s="11">
        <v>14703.0</v>
      </c>
      <c r="B3201" s="11" t="s">
        <v>3224</v>
      </c>
      <c r="C3201" s="12">
        <v>29092.0</v>
      </c>
      <c r="D3201" s="11" t="str">
        <f t="shared" si="1"/>
        <v> </v>
      </c>
      <c r="E3201" s="11" t="str">
        <f t="shared" si="2"/>
        <v> </v>
      </c>
    </row>
    <row r="3202" ht="15.75" customHeight="1">
      <c r="A3202" s="11">
        <v>14705.0</v>
      </c>
      <c r="B3202" s="11" t="s">
        <v>3225</v>
      </c>
      <c r="C3202" s="12">
        <v>31140.0</v>
      </c>
      <c r="D3202" s="11" t="str">
        <f t="shared" si="1"/>
        <v> </v>
      </c>
      <c r="E3202" s="11" t="str">
        <f t="shared" si="2"/>
        <v> </v>
      </c>
    </row>
    <row r="3203" ht="15.75" customHeight="1">
      <c r="A3203" s="11">
        <v>14706.0</v>
      </c>
      <c r="B3203" s="11" t="s">
        <v>3226</v>
      </c>
      <c r="C3203" s="12">
        <v>33782.0</v>
      </c>
      <c r="D3203" s="11" t="str">
        <f t="shared" si="1"/>
        <v> </v>
      </c>
      <c r="E3203" s="11" t="str">
        <f t="shared" si="2"/>
        <v> </v>
      </c>
    </row>
    <row r="3204" ht="15.75" customHeight="1">
      <c r="A3204" s="11">
        <v>14707.0</v>
      </c>
      <c r="B3204" s="11" t="s">
        <v>3227</v>
      </c>
      <c r="C3204" s="12">
        <v>19785.0</v>
      </c>
      <c r="D3204" s="11" t="str">
        <f t="shared" si="1"/>
        <v>Repeat</v>
      </c>
      <c r="E3204" s="11" t="str">
        <f t="shared" si="2"/>
        <v> </v>
      </c>
    </row>
    <row r="3205" ht="15.75" customHeight="1">
      <c r="A3205" s="11">
        <v>14708.0</v>
      </c>
      <c r="B3205" s="11" t="s">
        <v>3228</v>
      </c>
      <c r="C3205" s="12">
        <v>22732.0</v>
      </c>
      <c r="D3205" s="11" t="str">
        <f t="shared" si="1"/>
        <v> </v>
      </c>
      <c r="E3205" s="11" t="str">
        <f t="shared" si="2"/>
        <v> </v>
      </c>
    </row>
    <row r="3206" ht="15.75" customHeight="1">
      <c r="A3206" s="11">
        <v>14709.0</v>
      </c>
      <c r="B3206" s="11" t="s">
        <v>3229</v>
      </c>
      <c r="C3206" s="12">
        <v>15476.0</v>
      </c>
      <c r="D3206" s="11" t="str">
        <f t="shared" si="1"/>
        <v> </v>
      </c>
      <c r="E3206" s="11" t="str">
        <f t="shared" si="2"/>
        <v> </v>
      </c>
    </row>
    <row r="3207" ht="15.75" customHeight="1">
      <c r="A3207" s="11">
        <v>14710.0</v>
      </c>
      <c r="B3207" s="11" t="s">
        <v>3230</v>
      </c>
      <c r="C3207" s="12">
        <v>17797.0</v>
      </c>
      <c r="D3207" s="11" t="str">
        <f t="shared" si="1"/>
        <v> </v>
      </c>
      <c r="E3207" s="11" t="str">
        <f t="shared" si="2"/>
        <v> </v>
      </c>
    </row>
    <row r="3208" ht="15.75" customHeight="1">
      <c r="A3208" s="11">
        <v>14711.0</v>
      </c>
      <c r="B3208" s="11" t="s">
        <v>3231</v>
      </c>
      <c r="C3208" s="12">
        <v>33505.0</v>
      </c>
      <c r="D3208" s="11" t="str">
        <f t="shared" si="1"/>
        <v> </v>
      </c>
      <c r="E3208" s="11" t="str">
        <f t="shared" si="2"/>
        <v> </v>
      </c>
    </row>
    <row r="3209" ht="15.75" customHeight="1">
      <c r="A3209" s="11">
        <v>14712.0</v>
      </c>
      <c r="B3209" s="11" t="s">
        <v>3232</v>
      </c>
      <c r="C3209" s="12">
        <v>12767.0</v>
      </c>
      <c r="D3209" s="11" t="str">
        <f t="shared" si="1"/>
        <v> </v>
      </c>
      <c r="E3209" s="11" t="str">
        <f t="shared" si="2"/>
        <v> </v>
      </c>
    </row>
    <row r="3210" ht="15.75" customHeight="1">
      <c r="A3210" s="11">
        <v>14713.0</v>
      </c>
      <c r="B3210" s="11" t="s">
        <v>3233</v>
      </c>
      <c r="C3210" s="12">
        <v>17115.0</v>
      </c>
      <c r="D3210" s="11" t="str">
        <f t="shared" si="1"/>
        <v> </v>
      </c>
      <c r="E3210" s="11" t="str">
        <f t="shared" si="2"/>
        <v> </v>
      </c>
    </row>
    <row r="3211" ht="15.75" customHeight="1">
      <c r="A3211" s="11">
        <v>14714.0</v>
      </c>
      <c r="B3211" s="11" t="s">
        <v>3234</v>
      </c>
      <c r="C3211" s="12">
        <v>22910.0</v>
      </c>
      <c r="D3211" s="11" t="str">
        <f t="shared" si="1"/>
        <v> </v>
      </c>
      <c r="E3211" s="11" t="str">
        <f t="shared" si="2"/>
        <v> </v>
      </c>
    </row>
    <row r="3212" ht="15.75" customHeight="1">
      <c r="A3212" s="11">
        <v>14715.0</v>
      </c>
      <c r="B3212" s="11" t="s">
        <v>3235</v>
      </c>
      <c r="C3212" s="12">
        <v>13388.0</v>
      </c>
      <c r="D3212" s="11" t="str">
        <f t="shared" si="1"/>
        <v> </v>
      </c>
      <c r="E3212" s="11" t="str">
        <f t="shared" si="2"/>
        <v> </v>
      </c>
    </row>
    <row r="3213" ht="15.75" customHeight="1">
      <c r="A3213" s="11">
        <v>14716.0</v>
      </c>
      <c r="B3213" s="11" t="s">
        <v>3236</v>
      </c>
      <c r="C3213" s="12">
        <v>22562.0</v>
      </c>
      <c r="D3213" s="11" t="str">
        <f t="shared" si="1"/>
        <v> </v>
      </c>
      <c r="E3213" s="11" t="str">
        <f t="shared" si="2"/>
        <v> </v>
      </c>
    </row>
    <row r="3214" ht="15.75" customHeight="1">
      <c r="A3214" s="11">
        <v>14717.0</v>
      </c>
      <c r="B3214" s="11" t="s">
        <v>3237</v>
      </c>
      <c r="C3214" s="12">
        <v>18987.0</v>
      </c>
      <c r="D3214" s="11" t="str">
        <f t="shared" si="1"/>
        <v> </v>
      </c>
      <c r="E3214" s="11" t="str">
        <f t="shared" si="2"/>
        <v> </v>
      </c>
    </row>
    <row r="3215" ht="15.75" customHeight="1">
      <c r="A3215" s="11">
        <v>14718.0</v>
      </c>
      <c r="B3215" s="11" t="s">
        <v>3238</v>
      </c>
      <c r="C3215" s="12">
        <v>19516.0</v>
      </c>
      <c r="D3215" s="11" t="str">
        <f t="shared" si="1"/>
        <v> </v>
      </c>
      <c r="E3215" s="11" t="str">
        <f t="shared" si="2"/>
        <v> </v>
      </c>
    </row>
    <row r="3216" ht="15.75" customHeight="1">
      <c r="A3216" s="11">
        <v>14719.0</v>
      </c>
      <c r="B3216" s="11" t="s">
        <v>3239</v>
      </c>
      <c r="C3216" s="12">
        <v>20628.0</v>
      </c>
      <c r="D3216" s="11" t="str">
        <f t="shared" si="1"/>
        <v> </v>
      </c>
      <c r="E3216" s="11" t="str">
        <f t="shared" si="2"/>
        <v> </v>
      </c>
    </row>
    <row r="3217" ht="15.75" customHeight="1">
      <c r="A3217" s="11">
        <v>14720.0</v>
      </c>
      <c r="B3217" s="11" t="s">
        <v>3240</v>
      </c>
      <c r="C3217" s="12">
        <v>26359.0</v>
      </c>
      <c r="D3217" s="11" t="str">
        <f t="shared" si="1"/>
        <v> </v>
      </c>
      <c r="E3217" s="11" t="str">
        <f t="shared" si="2"/>
        <v> </v>
      </c>
    </row>
    <row r="3218" ht="15.75" customHeight="1">
      <c r="A3218" s="11">
        <v>14721.0</v>
      </c>
      <c r="B3218" s="11" t="s">
        <v>3241</v>
      </c>
      <c r="C3218" s="12">
        <v>33610.0</v>
      </c>
      <c r="D3218" s="11" t="str">
        <f t="shared" si="1"/>
        <v> </v>
      </c>
      <c r="E3218" s="11" t="str">
        <f t="shared" si="2"/>
        <v> </v>
      </c>
    </row>
    <row r="3219" ht="15.75" customHeight="1">
      <c r="A3219" s="11">
        <v>14722.0</v>
      </c>
      <c r="B3219" s="11" t="s">
        <v>3242</v>
      </c>
      <c r="C3219" s="12">
        <v>23713.0</v>
      </c>
      <c r="D3219" s="11" t="str">
        <f t="shared" si="1"/>
        <v> </v>
      </c>
      <c r="E3219" s="11" t="str">
        <f t="shared" si="2"/>
        <v> </v>
      </c>
    </row>
    <row r="3220" ht="15.75" customHeight="1">
      <c r="A3220" s="11">
        <v>14723.0</v>
      </c>
      <c r="B3220" s="11" t="s">
        <v>3243</v>
      </c>
      <c r="C3220" s="12">
        <v>19447.0</v>
      </c>
      <c r="D3220" s="11" t="str">
        <f t="shared" si="1"/>
        <v> </v>
      </c>
      <c r="E3220" s="11" t="str">
        <f t="shared" si="2"/>
        <v> </v>
      </c>
    </row>
    <row r="3221" ht="15.75" customHeight="1">
      <c r="A3221" s="11">
        <v>14724.0</v>
      </c>
      <c r="B3221" s="11" t="s">
        <v>3244</v>
      </c>
      <c r="C3221" s="12">
        <v>26728.0</v>
      </c>
      <c r="D3221" s="11" t="str">
        <f t="shared" si="1"/>
        <v> </v>
      </c>
      <c r="E3221" s="11" t="str">
        <f t="shared" si="2"/>
        <v> </v>
      </c>
    </row>
    <row r="3222" ht="15.75" customHeight="1">
      <c r="A3222" s="11">
        <v>14725.0</v>
      </c>
      <c r="B3222" s="11" t="s">
        <v>3245</v>
      </c>
      <c r="C3222" s="12">
        <v>24665.0</v>
      </c>
      <c r="D3222" s="11" t="str">
        <f t="shared" si="1"/>
        <v> </v>
      </c>
      <c r="E3222" s="11" t="str">
        <f t="shared" si="2"/>
        <v> </v>
      </c>
    </row>
    <row r="3223" ht="15.75" customHeight="1">
      <c r="A3223" s="11">
        <v>14726.0</v>
      </c>
      <c r="B3223" s="11" t="s">
        <v>3246</v>
      </c>
      <c r="C3223" s="12">
        <v>12703.0</v>
      </c>
      <c r="D3223" s="11" t="str">
        <f t="shared" si="1"/>
        <v> </v>
      </c>
      <c r="E3223" s="11" t="str">
        <f t="shared" si="2"/>
        <v> </v>
      </c>
    </row>
    <row r="3224" ht="15.75" customHeight="1">
      <c r="A3224" s="11">
        <v>14727.0</v>
      </c>
      <c r="B3224" s="11" t="s">
        <v>3247</v>
      </c>
      <c r="C3224" s="12">
        <v>16939.0</v>
      </c>
      <c r="D3224" s="11" t="str">
        <f t="shared" si="1"/>
        <v> </v>
      </c>
      <c r="E3224" s="11" t="str">
        <f t="shared" si="2"/>
        <v> </v>
      </c>
    </row>
    <row r="3225" ht="15.75" customHeight="1">
      <c r="A3225" s="11">
        <v>14728.0</v>
      </c>
      <c r="B3225" s="11" t="s">
        <v>3248</v>
      </c>
      <c r="C3225" s="12">
        <v>13682.0</v>
      </c>
      <c r="D3225" s="11" t="str">
        <f t="shared" si="1"/>
        <v> </v>
      </c>
      <c r="E3225" s="11" t="str">
        <f t="shared" si="2"/>
        <v> </v>
      </c>
    </row>
    <row r="3226" ht="15.75" customHeight="1">
      <c r="A3226" s="11">
        <v>14729.0</v>
      </c>
      <c r="B3226" s="11" t="s">
        <v>3249</v>
      </c>
      <c r="C3226" s="12">
        <v>30461.0</v>
      </c>
      <c r="D3226" s="11" t="str">
        <f t="shared" si="1"/>
        <v> </v>
      </c>
      <c r="E3226" s="11" t="str">
        <f t="shared" si="2"/>
        <v> </v>
      </c>
    </row>
    <row r="3227" ht="15.75" customHeight="1">
      <c r="A3227" s="11">
        <v>14730.0</v>
      </c>
      <c r="B3227" s="11" t="s">
        <v>3250</v>
      </c>
      <c r="C3227" s="12">
        <v>33254.0</v>
      </c>
      <c r="D3227" s="11" t="str">
        <f t="shared" si="1"/>
        <v> </v>
      </c>
      <c r="E3227" s="11" t="str">
        <f t="shared" si="2"/>
        <v> </v>
      </c>
    </row>
    <row r="3228" ht="15.75" customHeight="1">
      <c r="A3228" s="11">
        <v>14731.0</v>
      </c>
      <c r="B3228" s="11" t="s">
        <v>3251</v>
      </c>
      <c r="C3228" s="12">
        <v>23151.0</v>
      </c>
      <c r="D3228" s="11" t="str">
        <f t="shared" si="1"/>
        <v> </v>
      </c>
      <c r="E3228" s="11" t="str">
        <f t="shared" si="2"/>
        <v> </v>
      </c>
    </row>
    <row r="3229" ht="15.75" customHeight="1">
      <c r="A3229" s="11">
        <v>14734.0</v>
      </c>
      <c r="B3229" s="11" t="s">
        <v>3252</v>
      </c>
      <c r="C3229" s="12">
        <v>18667.0</v>
      </c>
      <c r="D3229" s="11" t="str">
        <f t="shared" si="1"/>
        <v> </v>
      </c>
      <c r="E3229" s="11" t="str">
        <f t="shared" si="2"/>
        <v> </v>
      </c>
    </row>
    <row r="3230" ht="15.75" customHeight="1">
      <c r="A3230" s="11">
        <v>14735.0</v>
      </c>
      <c r="B3230" s="11" t="s">
        <v>3253</v>
      </c>
      <c r="C3230" s="12">
        <v>27710.0</v>
      </c>
      <c r="D3230" s="11" t="str">
        <f t="shared" si="1"/>
        <v> </v>
      </c>
      <c r="E3230" s="11" t="str">
        <f t="shared" si="2"/>
        <v> </v>
      </c>
    </row>
    <row r="3231" ht="15.75" customHeight="1">
      <c r="A3231" s="11">
        <v>14736.0</v>
      </c>
      <c r="B3231" s="11" t="s">
        <v>3254</v>
      </c>
      <c r="C3231" s="12">
        <v>35192.0</v>
      </c>
      <c r="D3231" s="11" t="str">
        <f t="shared" si="1"/>
        <v> </v>
      </c>
      <c r="E3231" s="11" t="str">
        <f t="shared" si="2"/>
        <v> </v>
      </c>
    </row>
    <row r="3232" ht="15.75" customHeight="1">
      <c r="A3232" s="11">
        <v>14737.0</v>
      </c>
      <c r="B3232" s="11" t="s">
        <v>3255</v>
      </c>
      <c r="C3232" s="12">
        <v>30844.0</v>
      </c>
      <c r="D3232" s="11" t="str">
        <f t="shared" si="1"/>
        <v> </v>
      </c>
      <c r="E3232" s="11" t="str">
        <f t="shared" si="2"/>
        <v> </v>
      </c>
    </row>
    <row r="3233" ht="15.75" customHeight="1">
      <c r="A3233" s="11">
        <v>14738.0</v>
      </c>
      <c r="B3233" s="11" t="s">
        <v>3256</v>
      </c>
      <c r="C3233" s="12">
        <v>23696.0</v>
      </c>
      <c r="D3233" s="11" t="str">
        <f t="shared" si="1"/>
        <v> </v>
      </c>
      <c r="E3233" s="11" t="str">
        <f t="shared" si="2"/>
        <v> </v>
      </c>
    </row>
    <row r="3234" ht="15.75" customHeight="1">
      <c r="A3234" s="11">
        <v>14739.0</v>
      </c>
      <c r="B3234" s="11" t="s">
        <v>3257</v>
      </c>
      <c r="C3234" s="12">
        <v>27562.0</v>
      </c>
      <c r="D3234" s="11" t="str">
        <f t="shared" si="1"/>
        <v> </v>
      </c>
      <c r="E3234" s="11" t="str">
        <f t="shared" si="2"/>
        <v> </v>
      </c>
    </row>
    <row r="3235" ht="15.75" customHeight="1">
      <c r="A3235" s="11">
        <v>14740.0</v>
      </c>
      <c r="B3235" s="11" t="s">
        <v>3258</v>
      </c>
      <c r="C3235" s="12">
        <v>20046.0</v>
      </c>
      <c r="D3235" s="11" t="str">
        <f t="shared" si="1"/>
        <v> </v>
      </c>
      <c r="E3235" s="11" t="str">
        <f t="shared" si="2"/>
        <v> </v>
      </c>
    </row>
    <row r="3236" ht="15.75" customHeight="1">
      <c r="A3236" s="11">
        <v>14741.0</v>
      </c>
      <c r="B3236" s="11" t="s">
        <v>3259</v>
      </c>
      <c r="C3236" s="12">
        <v>26965.0</v>
      </c>
      <c r="D3236" s="11" t="str">
        <f t="shared" si="1"/>
        <v> </v>
      </c>
      <c r="E3236" s="11" t="str">
        <f t="shared" si="2"/>
        <v> </v>
      </c>
    </row>
    <row r="3237" ht="15.75" customHeight="1">
      <c r="A3237" s="11">
        <v>14742.0</v>
      </c>
      <c r="B3237" s="11" t="s">
        <v>3260</v>
      </c>
      <c r="C3237" s="12">
        <v>19050.0</v>
      </c>
      <c r="D3237" s="11" t="str">
        <f t="shared" si="1"/>
        <v> </v>
      </c>
      <c r="E3237" s="11" t="str">
        <f t="shared" si="2"/>
        <v> </v>
      </c>
    </row>
    <row r="3238" ht="15.75" customHeight="1">
      <c r="A3238" s="11">
        <v>14743.0</v>
      </c>
      <c r="B3238" s="11" t="s">
        <v>3261</v>
      </c>
      <c r="C3238" s="12">
        <v>29200.0</v>
      </c>
      <c r="D3238" s="11" t="str">
        <f t="shared" si="1"/>
        <v> </v>
      </c>
      <c r="E3238" s="11" t="str">
        <f t="shared" si="2"/>
        <v> </v>
      </c>
    </row>
    <row r="3239" ht="15.75" customHeight="1">
      <c r="A3239" s="11">
        <v>14744.0</v>
      </c>
      <c r="B3239" s="11" t="s">
        <v>3262</v>
      </c>
      <c r="C3239" s="12">
        <v>23909.0</v>
      </c>
      <c r="D3239" s="11" t="str">
        <f t="shared" si="1"/>
        <v> </v>
      </c>
      <c r="E3239" s="11" t="str">
        <f t="shared" si="2"/>
        <v> </v>
      </c>
    </row>
    <row r="3240" ht="15.75" customHeight="1">
      <c r="A3240" s="11">
        <v>14745.0</v>
      </c>
      <c r="B3240" s="11" t="s">
        <v>3263</v>
      </c>
      <c r="C3240" s="12">
        <v>25301.0</v>
      </c>
      <c r="D3240" s="11" t="str">
        <f t="shared" si="1"/>
        <v> </v>
      </c>
      <c r="E3240" s="11" t="str">
        <f t="shared" si="2"/>
        <v> </v>
      </c>
    </row>
    <row r="3241" ht="15.75" customHeight="1">
      <c r="A3241" s="11">
        <v>14746.0</v>
      </c>
      <c r="B3241" s="11" t="s">
        <v>3264</v>
      </c>
      <c r="C3241" s="12">
        <v>13193.0</v>
      </c>
      <c r="D3241" s="11" t="str">
        <f t="shared" si="1"/>
        <v> </v>
      </c>
      <c r="E3241" s="11" t="str">
        <f t="shared" si="2"/>
        <v> </v>
      </c>
    </row>
    <row r="3242" ht="15.75" customHeight="1">
      <c r="A3242" s="11">
        <v>14747.0</v>
      </c>
      <c r="B3242" s="11" t="s">
        <v>3265</v>
      </c>
      <c r="C3242" s="12">
        <v>22430.0</v>
      </c>
      <c r="D3242" s="11" t="str">
        <f t="shared" si="1"/>
        <v> </v>
      </c>
      <c r="E3242" s="11" t="str">
        <f t="shared" si="2"/>
        <v> </v>
      </c>
    </row>
    <row r="3243" ht="15.75" customHeight="1">
      <c r="A3243" s="11">
        <v>14751.0</v>
      </c>
      <c r="B3243" s="11" t="s">
        <v>3266</v>
      </c>
      <c r="C3243" s="12">
        <v>19187.0</v>
      </c>
      <c r="D3243" s="11" t="str">
        <f t="shared" si="1"/>
        <v> </v>
      </c>
      <c r="E3243" s="11" t="str">
        <f t="shared" si="2"/>
        <v> </v>
      </c>
    </row>
    <row r="3244" ht="15.75" customHeight="1">
      <c r="A3244" s="11">
        <v>14752.0</v>
      </c>
      <c r="B3244" s="11" t="s">
        <v>3267</v>
      </c>
      <c r="C3244" s="12">
        <v>32861.0</v>
      </c>
      <c r="D3244" s="11" t="str">
        <f t="shared" si="1"/>
        <v> </v>
      </c>
      <c r="E3244" s="11" t="str">
        <f t="shared" si="2"/>
        <v> </v>
      </c>
    </row>
    <row r="3245" ht="15.75" customHeight="1">
      <c r="A3245" s="11">
        <v>14753.0</v>
      </c>
      <c r="B3245" s="11" t="s">
        <v>3268</v>
      </c>
      <c r="C3245" s="12">
        <v>27070.0</v>
      </c>
      <c r="D3245" s="11" t="str">
        <f t="shared" si="1"/>
        <v> </v>
      </c>
      <c r="E3245" s="11" t="str">
        <f t="shared" si="2"/>
        <v> </v>
      </c>
    </row>
    <row r="3246" ht="15.75" customHeight="1">
      <c r="A3246" s="11">
        <v>14754.0</v>
      </c>
      <c r="B3246" s="11" t="s">
        <v>3269</v>
      </c>
      <c r="C3246" s="12">
        <v>16528.0</v>
      </c>
      <c r="D3246" s="11" t="str">
        <f t="shared" si="1"/>
        <v> </v>
      </c>
      <c r="E3246" s="11" t="str">
        <f t="shared" si="2"/>
        <v> </v>
      </c>
    </row>
    <row r="3247" ht="15.75" customHeight="1">
      <c r="A3247" s="11">
        <v>14755.0</v>
      </c>
      <c r="B3247" s="11" t="s">
        <v>3270</v>
      </c>
      <c r="C3247" s="12">
        <v>23780.0</v>
      </c>
      <c r="D3247" s="11" t="str">
        <f t="shared" si="1"/>
        <v> </v>
      </c>
      <c r="E3247" s="11" t="str">
        <f t="shared" si="2"/>
        <v> </v>
      </c>
    </row>
    <row r="3248" ht="15.75" customHeight="1">
      <c r="A3248" s="11">
        <v>14756.0</v>
      </c>
      <c r="B3248" s="11" t="s">
        <v>3271</v>
      </c>
      <c r="C3248" s="12">
        <v>22966.0</v>
      </c>
      <c r="D3248" s="11" t="str">
        <f t="shared" si="1"/>
        <v> </v>
      </c>
      <c r="E3248" s="11" t="str">
        <f t="shared" si="2"/>
        <v> </v>
      </c>
    </row>
    <row r="3249" ht="15.75" customHeight="1">
      <c r="A3249" s="11">
        <v>14757.0</v>
      </c>
      <c r="B3249" s="11" t="s">
        <v>3272</v>
      </c>
      <c r="C3249" s="12">
        <v>14870.0</v>
      </c>
      <c r="D3249" s="11" t="str">
        <f t="shared" si="1"/>
        <v> </v>
      </c>
      <c r="E3249" s="11" t="str">
        <f t="shared" si="2"/>
        <v> </v>
      </c>
    </row>
    <row r="3250" ht="15.75" customHeight="1">
      <c r="A3250" s="11">
        <v>14759.0</v>
      </c>
      <c r="B3250" s="11" t="s">
        <v>3273</v>
      </c>
      <c r="C3250" s="12">
        <v>23552.0</v>
      </c>
      <c r="D3250" s="11" t="str">
        <f t="shared" si="1"/>
        <v> </v>
      </c>
      <c r="E3250" s="11" t="str">
        <f t="shared" si="2"/>
        <v> </v>
      </c>
    </row>
    <row r="3251" ht="15.75" customHeight="1">
      <c r="A3251" s="11">
        <v>14760.0</v>
      </c>
      <c r="B3251" s="11" t="s">
        <v>3274</v>
      </c>
      <c r="C3251" s="12">
        <v>19356.0</v>
      </c>
      <c r="D3251" s="11" t="str">
        <f t="shared" si="1"/>
        <v> </v>
      </c>
      <c r="E3251" s="11" t="str">
        <f t="shared" si="2"/>
        <v> </v>
      </c>
    </row>
    <row r="3252" ht="15.75" customHeight="1">
      <c r="A3252" s="11">
        <v>14761.0</v>
      </c>
      <c r="B3252" s="11" t="s">
        <v>3275</v>
      </c>
      <c r="C3252" s="12">
        <v>21966.0</v>
      </c>
      <c r="D3252" s="11" t="str">
        <f t="shared" si="1"/>
        <v> </v>
      </c>
      <c r="E3252" s="11" t="str">
        <f t="shared" si="2"/>
        <v> </v>
      </c>
    </row>
    <row r="3253" ht="15.75" customHeight="1">
      <c r="A3253" s="11">
        <v>14762.0</v>
      </c>
      <c r="B3253" s="11" t="s">
        <v>3276</v>
      </c>
      <c r="C3253" s="12">
        <v>28836.0</v>
      </c>
      <c r="D3253" s="11" t="str">
        <f t="shared" si="1"/>
        <v> </v>
      </c>
      <c r="E3253" s="11" t="str">
        <f t="shared" si="2"/>
        <v> </v>
      </c>
    </row>
    <row r="3254" ht="15.75" customHeight="1">
      <c r="A3254" s="11">
        <v>14763.0</v>
      </c>
      <c r="B3254" s="11" t="s">
        <v>3277</v>
      </c>
      <c r="C3254" s="12">
        <v>29623.0</v>
      </c>
      <c r="D3254" s="11" t="str">
        <f t="shared" si="1"/>
        <v> </v>
      </c>
      <c r="E3254" s="11" t="str">
        <f t="shared" si="2"/>
        <v> </v>
      </c>
    </row>
    <row r="3255" ht="15.75" customHeight="1">
      <c r="A3255" s="11">
        <v>14765.0</v>
      </c>
      <c r="B3255" s="11" t="s">
        <v>3278</v>
      </c>
      <c r="C3255" s="12">
        <v>17197.0</v>
      </c>
      <c r="D3255" s="11" t="str">
        <f t="shared" si="1"/>
        <v> </v>
      </c>
      <c r="E3255" s="11" t="str">
        <f t="shared" si="2"/>
        <v> </v>
      </c>
    </row>
    <row r="3256" ht="15.75" customHeight="1">
      <c r="A3256" s="11">
        <v>14766.0</v>
      </c>
      <c r="B3256" s="11" t="s">
        <v>3279</v>
      </c>
      <c r="C3256" s="12">
        <v>20966.0</v>
      </c>
      <c r="D3256" s="11" t="str">
        <f t="shared" si="1"/>
        <v> </v>
      </c>
      <c r="E3256" s="11" t="str">
        <f t="shared" si="2"/>
        <v> </v>
      </c>
    </row>
    <row r="3257" ht="15.75" customHeight="1">
      <c r="A3257" s="11">
        <v>14767.0</v>
      </c>
      <c r="B3257" s="11" t="s">
        <v>3280</v>
      </c>
      <c r="C3257" s="12">
        <v>17556.0</v>
      </c>
      <c r="D3257" s="11" t="str">
        <f t="shared" si="1"/>
        <v> </v>
      </c>
      <c r="E3257" s="11" t="str">
        <f t="shared" si="2"/>
        <v> </v>
      </c>
    </row>
    <row r="3258" ht="15.75" customHeight="1">
      <c r="A3258" s="11">
        <v>14768.0</v>
      </c>
      <c r="B3258" s="11" t="s">
        <v>3281</v>
      </c>
      <c r="C3258" s="12">
        <v>23766.0</v>
      </c>
      <c r="D3258" s="11" t="str">
        <f t="shared" si="1"/>
        <v> </v>
      </c>
      <c r="E3258" s="11" t="str">
        <f t="shared" si="2"/>
        <v> </v>
      </c>
    </row>
    <row r="3259" ht="15.75" customHeight="1">
      <c r="A3259" s="11">
        <v>14770.0</v>
      </c>
      <c r="B3259" s="11" t="s">
        <v>3282</v>
      </c>
      <c r="C3259" s="12">
        <v>28344.0</v>
      </c>
      <c r="D3259" s="11" t="str">
        <f t="shared" si="1"/>
        <v> </v>
      </c>
      <c r="E3259" s="11" t="str">
        <f t="shared" si="2"/>
        <v> </v>
      </c>
    </row>
    <row r="3260" ht="15.75" customHeight="1">
      <c r="A3260" s="11">
        <v>14771.0</v>
      </c>
      <c r="B3260" s="11" t="s">
        <v>3283</v>
      </c>
      <c r="C3260" s="12">
        <v>12531.0</v>
      </c>
      <c r="D3260" s="11" t="str">
        <f t="shared" si="1"/>
        <v> </v>
      </c>
      <c r="E3260" s="11" t="str">
        <f t="shared" si="2"/>
        <v> </v>
      </c>
    </row>
    <row r="3261" ht="15.75" customHeight="1">
      <c r="A3261" s="11">
        <v>14774.0</v>
      </c>
      <c r="B3261" s="11" t="s">
        <v>3284</v>
      </c>
      <c r="C3261" s="12">
        <v>34998.0</v>
      </c>
      <c r="D3261" s="11" t="str">
        <f t="shared" si="1"/>
        <v> </v>
      </c>
      <c r="E3261" s="11" t="str">
        <f t="shared" si="2"/>
        <v> </v>
      </c>
    </row>
    <row r="3262" ht="15.75" customHeight="1">
      <c r="A3262" s="11">
        <v>14775.0</v>
      </c>
      <c r="B3262" s="11" t="s">
        <v>3285</v>
      </c>
      <c r="C3262" s="12">
        <v>28768.0</v>
      </c>
      <c r="D3262" s="11" t="str">
        <f t="shared" si="1"/>
        <v> </v>
      </c>
      <c r="E3262" s="11" t="str">
        <f t="shared" si="2"/>
        <v> </v>
      </c>
    </row>
    <row r="3263" ht="15.75" customHeight="1">
      <c r="A3263" s="11">
        <v>14777.0</v>
      </c>
      <c r="B3263" s="11" t="s">
        <v>3286</v>
      </c>
      <c r="C3263" s="12">
        <v>17611.0</v>
      </c>
      <c r="D3263" s="11" t="str">
        <f t="shared" si="1"/>
        <v> </v>
      </c>
      <c r="E3263" s="11" t="str">
        <f t="shared" si="2"/>
        <v> </v>
      </c>
    </row>
    <row r="3264" ht="15.75" customHeight="1">
      <c r="A3264" s="11">
        <v>14778.0</v>
      </c>
      <c r="B3264" s="11" t="s">
        <v>3287</v>
      </c>
      <c r="C3264" s="12">
        <v>22949.0</v>
      </c>
      <c r="D3264" s="11" t="str">
        <f t="shared" si="1"/>
        <v> </v>
      </c>
      <c r="E3264" s="11" t="str">
        <f t="shared" si="2"/>
        <v> </v>
      </c>
    </row>
    <row r="3265" ht="15.75" customHeight="1">
      <c r="A3265" s="11">
        <v>14779.0</v>
      </c>
      <c r="B3265" s="11" t="s">
        <v>3288</v>
      </c>
      <c r="C3265" s="12">
        <v>17761.0</v>
      </c>
      <c r="D3265" s="11" t="str">
        <f t="shared" si="1"/>
        <v> </v>
      </c>
      <c r="E3265" s="11" t="str">
        <f t="shared" si="2"/>
        <v> </v>
      </c>
    </row>
    <row r="3266" ht="15.75" customHeight="1">
      <c r="A3266" s="11">
        <v>14780.0</v>
      </c>
      <c r="B3266" s="11" t="s">
        <v>3289</v>
      </c>
      <c r="C3266" s="12">
        <v>22127.0</v>
      </c>
      <c r="D3266" s="11" t="str">
        <f t="shared" si="1"/>
        <v> </v>
      </c>
      <c r="E3266" s="11" t="str">
        <f t="shared" si="2"/>
        <v> </v>
      </c>
    </row>
    <row r="3267" ht="15.75" customHeight="1">
      <c r="A3267" s="11">
        <v>14782.0</v>
      </c>
      <c r="B3267" s="11" t="s">
        <v>3290</v>
      </c>
      <c r="C3267" s="12">
        <v>13229.0</v>
      </c>
      <c r="D3267" s="11" t="str">
        <f t="shared" si="1"/>
        <v> </v>
      </c>
      <c r="E3267" s="11" t="str">
        <f t="shared" si="2"/>
        <v> </v>
      </c>
    </row>
    <row r="3268" ht="15.75" customHeight="1">
      <c r="A3268" s="11">
        <v>14784.0</v>
      </c>
      <c r="B3268" s="11" t="s">
        <v>3291</v>
      </c>
      <c r="C3268" s="12">
        <v>24194.0</v>
      </c>
      <c r="D3268" s="11" t="str">
        <f t="shared" si="1"/>
        <v> </v>
      </c>
      <c r="E3268" s="11" t="str">
        <f t="shared" si="2"/>
        <v> </v>
      </c>
    </row>
    <row r="3269" ht="15.75" customHeight="1">
      <c r="A3269" s="11">
        <v>14785.0</v>
      </c>
      <c r="B3269" s="11" t="s">
        <v>3292</v>
      </c>
      <c r="C3269" s="12">
        <v>17593.0</v>
      </c>
      <c r="D3269" s="11" t="str">
        <f t="shared" si="1"/>
        <v> </v>
      </c>
      <c r="E3269" s="11" t="str">
        <f t="shared" si="2"/>
        <v> </v>
      </c>
    </row>
    <row r="3270" ht="15.75" customHeight="1">
      <c r="A3270" s="11">
        <v>14787.0</v>
      </c>
      <c r="B3270" s="11" t="s">
        <v>3293</v>
      </c>
      <c r="C3270" s="12">
        <v>12487.0</v>
      </c>
      <c r="D3270" s="11" t="str">
        <f t="shared" si="1"/>
        <v> </v>
      </c>
      <c r="E3270" s="11" t="str">
        <f t="shared" si="2"/>
        <v> </v>
      </c>
    </row>
    <row r="3271" ht="15.75" customHeight="1">
      <c r="A3271" s="11">
        <v>14789.0</v>
      </c>
      <c r="B3271" s="11" t="s">
        <v>3294</v>
      </c>
      <c r="C3271" s="12">
        <v>23233.0</v>
      </c>
      <c r="D3271" s="11" t="str">
        <f t="shared" si="1"/>
        <v> </v>
      </c>
      <c r="E3271" s="11" t="str">
        <f t="shared" si="2"/>
        <v> </v>
      </c>
    </row>
    <row r="3272" ht="15.75" customHeight="1">
      <c r="A3272" s="11">
        <v>14790.0</v>
      </c>
      <c r="B3272" s="11" t="s">
        <v>3295</v>
      </c>
      <c r="C3272" s="12">
        <v>24134.0</v>
      </c>
      <c r="D3272" s="11" t="str">
        <f t="shared" si="1"/>
        <v> </v>
      </c>
      <c r="E3272" s="11" t="str">
        <f t="shared" si="2"/>
        <v> </v>
      </c>
    </row>
    <row r="3273" ht="15.75" customHeight="1">
      <c r="A3273" s="11">
        <v>14791.0</v>
      </c>
      <c r="B3273" s="11" t="s">
        <v>3296</v>
      </c>
      <c r="C3273" s="12">
        <v>12311.0</v>
      </c>
      <c r="D3273" s="11" t="str">
        <f t="shared" si="1"/>
        <v> </v>
      </c>
      <c r="E3273" s="11" t="str">
        <f t="shared" si="2"/>
        <v> </v>
      </c>
    </row>
    <row r="3274" ht="15.75" customHeight="1">
      <c r="A3274" s="11">
        <v>14793.0</v>
      </c>
      <c r="B3274" s="11" t="s">
        <v>3297</v>
      </c>
      <c r="C3274" s="12">
        <v>22658.0</v>
      </c>
      <c r="D3274" s="11" t="str">
        <f t="shared" si="1"/>
        <v> </v>
      </c>
      <c r="E3274" s="11" t="str">
        <f t="shared" si="2"/>
        <v> </v>
      </c>
    </row>
    <row r="3275" ht="15.75" customHeight="1">
      <c r="A3275" s="11">
        <v>14794.0</v>
      </c>
      <c r="B3275" s="11" t="s">
        <v>3298</v>
      </c>
      <c r="C3275" s="12">
        <v>21927.0</v>
      </c>
      <c r="D3275" s="11" t="str">
        <f t="shared" si="1"/>
        <v> </v>
      </c>
      <c r="E3275" s="11" t="str">
        <f t="shared" si="2"/>
        <v> </v>
      </c>
    </row>
    <row r="3276" ht="15.75" customHeight="1">
      <c r="A3276" s="11">
        <v>14795.0</v>
      </c>
      <c r="B3276" s="11" t="s">
        <v>3299</v>
      </c>
      <c r="C3276" s="12">
        <v>15683.0</v>
      </c>
      <c r="D3276" s="11" t="str">
        <f t="shared" si="1"/>
        <v> </v>
      </c>
      <c r="E3276" s="11" t="str">
        <f t="shared" si="2"/>
        <v> </v>
      </c>
    </row>
    <row r="3277" ht="15.75" customHeight="1">
      <c r="A3277" s="11">
        <v>14796.0</v>
      </c>
      <c r="B3277" s="11" t="s">
        <v>3300</v>
      </c>
      <c r="C3277" s="12">
        <v>17109.0</v>
      </c>
      <c r="D3277" s="11" t="str">
        <f t="shared" si="1"/>
        <v> </v>
      </c>
      <c r="E3277" s="11" t="str">
        <f t="shared" si="2"/>
        <v> </v>
      </c>
    </row>
    <row r="3278" ht="15.75" customHeight="1">
      <c r="A3278" s="11">
        <v>14798.0</v>
      </c>
      <c r="B3278" s="11" t="s">
        <v>3301</v>
      </c>
      <c r="C3278" s="12">
        <v>26611.0</v>
      </c>
      <c r="D3278" s="11" t="str">
        <f t="shared" si="1"/>
        <v> </v>
      </c>
      <c r="E3278" s="11" t="str">
        <f t="shared" si="2"/>
        <v> </v>
      </c>
    </row>
    <row r="3279" ht="15.75" customHeight="1">
      <c r="A3279" s="11">
        <v>14799.0</v>
      </c>
      <c r="B3279" s="11" t="s">
        <v>3302</v>
      </c>
      <c r="C3279" s="12">
        <v>12172.0</v>
      </c>
      <c r="D3279" s="11" t="str">
        <f t="shared" si="1"/>
        <v> </v>
      </c>
      <c r="E3279" s="11" t="str">
        <f t="shared" si="2"/>
        <v> </v>
      </c>
    </row>
    <row r="3280" ht="15.75" customHeight="1">
      <c r="A3280" s="11">
        <v>14800.0</v>
      </c>
      <c r="B3280" s="11" t="s">
        <v>3303</v>
      </c>
      <c r="C3280" s="12">
        <v>15582.0</v>
      </c>
      <c r="D3280" s="11" t="str">
        <f t="shared" si="1"/>
        <v> </v>
      </c>
      <c r="E3280" s="11" t="str">
        <f t="shared" si="2"/>
        <v> </v>
      </c>
    </row>
    <row r="3281" ht="15.75" customHeight="1">
      <c r="A3281" s="11">
        <v>14801.0</v>
      </c>
      <c r="B3281" s="11" t="s">
        <v>3304</v>
      </c>
      <c r="C3281" s="12">
        <v>21122.0</v>
      </c>
      <c r="D3281" s="11" t="str">
        <f t="shared" si="1"/>
        <v> </v>
      </c>
      <c r="E3281" s="11" t="str">
        <f t="shared" si="2"/>
        <v> </v>
      </c>
    </row>
    <row r="3282" ht="15.75" customHeight="1">
      <c r="A3282" s="11">
        <v>14802.0</v>
      </c>
      <c r="B3282" s="11" t="s">
        <v>3305</v>
      </c>
      <c r="C3282" s="12">
        <v>33158.0</v>
      </c>
      <c r="D3282" s="11" t="str">
        <f t="shared" si="1"/>
        <v> </v>
      </c>
      <c r="E3282" s="11" t="str">
        <f t="shared" si="2"/>
        <v> </v>
      </c>
    </row>
    <row r="3283" ht="15.75" customHeight="1">
      <c r="A3283" s="11">
        <v>14803.0</v>
      </c>
      <c r="B3283" s="11" t="s">
        <v>3306</v>
      </c>
      <c r="C3283" s="12">
        <v>20254.0</v>
      </c>
      <c r="D3283" s="11" t="str">
        <f t="shared" si="1"/>
        <v> </v>
      </c>
      <c r="E3283" s="11" t="str">
        <f t="shared" si="2"/>
        <v> </v>
      </c>
    </row>
    <row r="3284" ht="15.75" customHeight="1">
      <c r="A3284" s="11">
        <v>14804.0</v>
      </c>
      <c r="B3284" s="11" t="s">
        <v>3307</v>
      </c>
      <c r="C3284" s="12">
        <v>21163.0</v>
      </c>
      <c r="D3284" s="11" t="str">
        <f t="shared" si="1"/>
        <v> </v>
      </c>
      <c r="E3284" s="11" t="str">
        <f t="shared" si="2"/>
        <v> </v>
      </c>
    </row>
    <row r="3285" ht="15.75" customHeight="1">
      <c r="A3285" s="11">
        <v>14805.0</v>
      </c>
      <c r="B3285" s="11" t="s">
        <v>3308</v>
      </c>
      <c r="C3285" s="12">
        <v>22808.0</v>
      </c>
      <c r="D3285" s="11" t="str">
        <f t="shared" si="1"/>
        <v> </v>
      </c>
      <c r="E3285" s="11" t="str">
        <f t="shared" si="2"/>
        <v> </v>
      </c>
    </row>
    <row r="3286" ht="15.75" customHeight="1">
      <c r="A3286" s="11">
        <v>14806.0</v>
      </c>
      <c r="B3286" s="11" t="s">
        <v>3309</v>
      </c>
      <c r="C3286" s="12">
        <v>18246.0</v>
      </c>
      <c r="D3286" s="11" t="str">
        <f t="shared" si="1"/>
        <v> </v>
      </c>
      <c r="E3286" s="11" t="str">
        <f t="shared" si="2"/>
        <v> </v>
      </c>
    </row>
    <row r="3287" ht="15.75" customHeight="1">
      <c r="A3287" s="11">
        <v>14807.0</v>
      </c>
      <c r="B3287" s="11" t="s">
        <v>3310</v>
      </c>
      <c r="C3287" s="12">
        <v>24129.0</v>
      </c>
      <c r="D3287" s="11" t="str">
        <f t="shared" si="1"/>
        <v> </v>
      </c>
      <c r="E3287" s="11" t="str">
        <f t="shared" si="2"/>
        <v> </v>
      </c>
    </row>
    <row r="3288" ht="15.75" customHeight="1">
      <c r="A3288" s="11">
        <v>14808.0</v>
      </c>
      <c r="B3288" s="11" t="s">
        <v>3311</v>
      </c>
      <c r="C3288" s="12">
        <v>23339.0</v>
      </c>
      <c r="D3288" s="11" t="str">
        <f t="shared" si="1"/>
        <v> </v>
      </c>
      <c r="E3288" s="11" t="str">
        <f t="shared" si="2"/>
        <v> </v>
      </c>
    </row>
    <row r="3289" ht="15.75" customHeight="1">
      <c r="A3289" s="11">
        <v>14809.0</v>
      </c>
      <c r="B3289" s="11" t="s">
        <v>3312</v>
      </c>
      <c r="C3289" s="12">
        <v>35957.0</v>
      </c>
      <c r="D3289" s="11" t="str">
        <f t="shared" si="1"/>
        <v> </v>
      </c>
      <c r="E3289" s="11" t="str">
        <f t="shared" si="2"/>
        <v> </v>
      </c>
    </row>
    <row r="3290" ht="15.75" customHeight="1">
      <c r="A3290" s="11">
        <v>14810.0</v>
      </c>
      <c r="B3290" s="11" t="s">
        <v>3313</v>
      </c>
      <c r="C3290" s="12">
        <v>18103.0</v>
      </c>
      <c r="D3290" s="11" t="str">
        <f t="shared" si="1"/>
        <v> </v>
      </c>
      <c r="E3290" s="11" t="str">
        <f t="shared" si="2"/>
        <v> </v>
      </c>
    </row>
    <row r="3291" ht="15.75" customHeight="1">
      <c r="A3291" s="11">
        <v>14811.0</v>
      </c>
      <c r="B3291" s="11" t="s">
        <v>3314</v>
      </c>
      <c r="C3291" s="12">
        <v>25214.0</v>
      </c>
      <c r="D3291" s="11" t="str">
        <f t="shared" si="1"/>
        <v> </v>
      </c>
      <c r="E3291" s="11" t="str">
        <f t="shared" si="2"/>
        <v> </v>
      </c>
    </row>
    <row r="3292" ht="15.75" customHeight="1">
      <c r="A3292" s="11">
        <v>14812.0</v>
      </c>
      <c r="B3292" s="11" t="s">
        <v>3315</v>
      </c>
      <c r="C3292" s="12">
        <v>25356.0</v>
      </c>
      <c r="D3292" s="11" t="str">
        <f t="shared" si="1"/>
        <v> </v>
      </c>
      <c r="E3292" s="11" t="str">
        <f t="shared" si="2"/>
        <v> </v>
      </c>
    </row>
    <row r="3293" ht="15.75" customHeight="1">
      <c r="A3293" s="11">
        <v>14813.0</v>
      </c>
      <c r="B3293" s="11" t="s">
        <v>3316</v>
      </c>
      <c r="C3293" s="12">
        <v>24132.0</v>
      </c>
      <c r="D3293" s="11" t="str">
        <f t="shared" si="1"/>
        <v> </v>
      </c>
      <c r="E3293" s="11" t="str">
        <f t="shared" si="2"/>
        <v> </v>
      </c>
    </row>
    <row r="3294" ht="15.75" customHeight="1">
      <c r="A3294" s="11">
        <v>14814.0</v>
      </c>
      <c r="B3294" s="11" t="s">
        <v>3317</v>
      </c>
      <c r="C3294" s="12">
        <v>20167.0</v>
      </c>
      <c r="D3294" s="11" t="str">
        <f t="shared" si="1"/>
        <v> </v>
      </c>
      <c r="E3294" s="11" t="str">
        <f t="shared" si="2"/>
        <v> </v>
      </c>
    </row>
    <row r="3295" ht="15.75" customHeight="1">
      <c r="A3295" s="11">
        <v>14815.0</v>
      </c>
      <c r="B3295" s="11" t="s">
        <v>3318</v>
      </c>
      <c r="C3295" s="12">
        <v>17067.0</v>
      </c>
      <c r="D3295" s="11" t="str">
        <f t="shared" si="1"/>
        <v> </v>
      </c>
      <c r="E3295" s="11" t="str">
        <f t="shared" si="2"/>
        <v> </v>
      </c>
    </row>
    <row r="3296" ht="15.75" customHeight="1">
      <c r="A3296" s="11">
        <v>14816.0</v>
      </c>
      <c r="B3296" s="11" t="s">
        <v>3319</v>
      </c>
      <c r="C3296" s="12">
        <v>23495.0</v>
      </c>
      <c r="D3296" s="11" t="str">
        <f t="shared" si="1"/>
        <v> </v>
      </c>
      <c r="E3296" s="11" t="str">
        <f t="shared" si="2"/>
        <v> </v>
      </c>
    </row>
    <row r="3297" ht="15.75" customHeight="1">
      <c r="A3297" s="11">
        <v>14817.0</v>
      </c>
      <c r="B3297" s="11" t="s">
        <v>3320</v>
      </c>
      <c r="C3297" s="12">
        <v>19249.0</v>
      </c>
      <c r="D3297" s="11" t="str">
        <f t="shared" si="1"/>
        <v> </v>
      </c>
      <c r="E3297" s="11" t="str">
        <f t="shared" si="2"/>
        <v> </v>
      </c>
    </row>
    <row r="3298" ht="15.75" customHeight="1">
      <c r="A3298" s="11">
        <v>14818.0</v>
      </c>
      <c r="B3298" s="11" t="s">
        <v>3321</v>
      </c>
      <c r="C3298" s="12">
        <v>25335.0</v>
      </c>
      <c r="D3298" s="11" t="str">
        <f t="shared" si="1"/>
        <v> </v>
      </c>
      <c r="E3298" s="11" t="str">
        <f t="shared" si="2"/>
        <v> </v>
      </c>
    </row>
    <row r="3299" ht="15.75" customHeight="1">
      <c r="A3299" s="11">
        <v>14819.0</v>
      </c>
      <c r="B3299" s="11" t="s">
        <v>3322</v>
      </c>
      <c r="C3299" s="12">
        <v>18799.0</v>
      </c>
      <c r="D3299" s="11" t="str">
        <f t="shared" si="1"/>
        <v> </v>
      </c>
      <c r="E3299" s="11" t="str">
        <f t="shared" si="2"/>
        <v> </v>
      </c>
    </row>
    <row r="3300" ht="15.75" customHeight="1">
      <c r="A3300" s="11">
        <v>14820.0</v>
      </c>
      <c r="B3300" s="11" t="s">
        <v>3323</v>
      </c>
      <c r="C3300" s="12">
        <v>35573.0</v>
      </c>
      <c r="D3300" s="11" t="str">
        <f t="shared" si="1"/>
        <v> </v>
      </c>
      <c r="E3300" s="11" t="str">
        <f t="shared" si="2"/>
        <v> </v>
      </c>
    </row>
    <row r="3301" ht="15.75" customHeight="1">
      <c r="A3301" s="11">
        <v>14821.0</v>
      </c>
      <c r="B3301" s="11" t="s">
        <v>3324</v>
      </c>
      <c r="C3301" s="12">
        <v>21380.0</v>
      </c>
      <c r="D3301" s="11" t="str">
        <f t="shared" si="1"/>
        <v> </v>
      </c>
      <c r="E3301" s="11" t="str">
        <f t="shared" si="2"/>
        <v> </v>
      </c>
    </row>
    <row r="3302" ht="15.75" customHeight="1">
      <c r="A3302" s="11">
        <v>14824.0</v>
      </c>
      <c r="B3302" s="11" t="s">
        <v>3325</v>
      </c>
      <c r="C3302" s="12">
        <v>34392.0</v>
      </c>
      <c r="D3302" s="11" t="str">
        <f t="shared" si="1"/>
        <v> </v>
      </c>
      <c r="E3302" s="11" t="str">
        <f t="shared" si="2"/>
        <v> </v>
      </c>
    </row>
    <row r="3303" ht="15.75" customHeight="1">
      <c r="A3303" s="11">
        <v>14825.0</v>
      </c>
      <c r="B3303" s="11" t="s">
        <v>3326</v>
      </c>
      <c r="C3303" s="12">
        <v>21755.0</v>
      </c>
      <c r="D3303" s="11" t="str">
        <f t="shared" si="1"/>
        <v> </v>
      </c>
      <c r="E3303" s="11" t="str">
        <f t="shared" si="2"/>
        <v> </v>
      </c>
    </row>
    <row r="3304" ht="15.75" customHeight="1">
      <c r="A3304" s="11">
        <v>14826.0</v>
      </c>
      <c r="B3304" s="11" t="s">
        <v>3327</v>
      </c>
      <c r="C3304" s="12">
        <v>16646.0</v>
      </c>
      <c r="D3304" s="11" t="str">
        <f t="shared" si="1"/>
        <v> </v>
      </c>
      <c r="E3304" s="11" t="str">
        <f t="shared" si="2"/>
        <v> </v>
      </c>
    </row>
    <row r="3305" ht="15.75" customHeight="1">
      <c r="A3305" s="11">
        <v>14827.0</v>
      </c>
      <c r="B3305" s="11" t="s">
        <v>3328</v>
      </c>
      <c r="C3305" s="12">
        <v>13649.0</v>
      </c>
      <c r="D3305" s="11" t="str">
        <f t="shared" si="1"/>
        <v> </v>
      </c>
      <c r="E3305" s="11" t="str">
        <f t="shared" si="2"/>
        <v> </v>
      </c>
    </row>
    <row r="3306" ht="15.75" customHeight="1">
      <c r="A3306" s="11">
        <v>14828.0</v>
      </c>
      <c r="B3306" s="11" t="s">
        <v>3329</v>
      </c>
      <c r="C3306" s="12">
        <v>25524.0</v>
      </c>
      <c r="D3306" s="11" t="str">
        <f t="shared" si="1"/>
        <v> </v>
      </c>
      <c r="E3306" s="11" t="str">
        <f t="shared" si="2"/>
        <v> </v>
      </c>
    </row>
    <row r="3307" ht="15.75" customHeight="1">
      <c r="A3307" s="11">
        <v>14829.0</v>
      </c>
      <c r="B3307" s="11" t="s">
        <v>3330</v>
      </c>
      <c r="C3307" s="12">
        <v>14014.0</v>
      </c>
      <c r="D3307" s="11" t="str">
        <f t="shared" si="1"/>
        <v> </v>
      </c>
      <c r="E3307" s="11" t="str">
        <f t="shared" si="2"/>
        <v> </v>
      </c>
    </row>
    <row r="3308" ht="15.75" customHeight="1">
      <c r="A3308" s="11">
        <v>14830.0</v>
      </c>
      <c r="B3308" s="11" t="s">
        <v>3331</v>
      </c>
      <c r="C3308" s="12">
        <v>28062.0</v>
      </c>
      <c r="D3308" s="11" t="str">
        <f t="shared" si="1"/>
        <v> </v>
      </c>
      <c r="E3308" s="11" t="str">
        <f t="shared" si="2"/>
        <v> </v>
      </c>
    </row>
    <row r="3309" ht="15.75" customHeight="1">
      <c r="A3309" s="11">
        <v>14831.0</v>
      </c>
      <c r="B3309" s="11" t="s">
        <v>3332</v>
      </c>
      <c r="C3309" s="12">
        <v>24095.0</v>
      </c>
      <c r="D3309" s="11" t="str">
        <f t="shared" si="1"/>
        <v> </v>
      </c>
      <c r="E3309" s="11" t="str">
        <f t="shared" si="2"/>
        <v> </v>
      </c>
    </row>
    <row r="3310" ht="15.75" customHeight="1">
      <c r="A3310" s="11">
        <v>14832.0</v>
      </c>
      <c r="B3310" s="11" t="s">
        <v>3333</v>
      </c>
      <c r="C3310" s="12">
        <v>32947.0</v>
      </c>
      <c r="D3310" s="11" t="str">
        <f t="shared" si="1"/>
        <v> </v>
      </c>
      <c r="E3310" s="11" t="str">
        <f t="shared" si="2"/>
        <v> </v>
      </c>
    </row>
    <row r="3311" ht="15.75" customHeight="1">
      <c r="A3311" s="11">
        <v>14833.0</v>
      </c>
      <c r="B3311" s="11" t="s">
        <v>3334</v>
      </c>
      <c r="C3311" s="12">
        <v>21767.0</v>
      </c>
      <c r="D3311" s="11" t="str">
        <f t="shared" si="1"/>
        <v> </v>
      </c>
      <c r="E3311" s="11" t="str">
        <f t="shared" si="2"/>
        <v> </v>
      </c>
    </row>
    <row r="3312" ht="15.75" customHeight="1">
      <c r="A3312" s="11">
        <v>14834.0</v>
      </c>
      <c r="B3312" s="11" t="s">
        <v>3335</v>
      </c>
      <c r="C3312" s="12">
        <v>20436.0</v>
      </c>
      <c r="D3312" s="11" t="str">
        <f t="shared" si="1"/>
        <v> </v>
      </c>
      <c r="E3312" s="11" t="str">
        <f t="shared" si="2"/>
        <v> </v>
      </c>
    </row>
    <row r="3313" ht="15.75" customHeight="1">
      <c r="A3313" s="11">
        <v>14835.0</v>
      </c>
      <c r="B3313" s="11" t="s">
        <v>3336</v>
      </c>
      <c r="C3313" s="12">
        <v>29211.0</v>
      </c>
      <c r="D3313" s="11" t="str">
        <f t="shared" si="1"/>
        <v> </v>
      </c>
      <c r="E3313" s="11" t="str">
        <f t="shared" si="2"/>
        <v> </v>
      </c>
    </row>
    <row r="3314" ht="15.75" customHeight="1">
      <c r="A3314" s="11">
        <v>14836.0</v>
      </c>
      <c r="B3314" s="11" t="s">
        <v>3337</v>
      </c>
      <c r="C3314" s="12">
        <v>26079.0</v>
      </c>
      <c r="D3314" s="11" t="str">
        <f t="shared" si="1"/>
        <v> </v>
      </c>
      <c r="E3314" s="11" t="str">
        <f t="shared" si="2"/>
        <v> </v>
      </c>
    </row>
    <row r="3315" ht="15.75" customHeight="1">
      <c r="A3315" s="11">
        <v>14838.0</v>
      </c>
      <c r="B3315" s="11" t="s">
        <v>3338</v>
      </c>
      <c r="C3315" s="12">
        <v>18181.0</v>
      </c>
      <c r="D3315" s="11" t="str">
        <f t="shared" si="1"/>
        <v> </v>
      </c>
      <c r="E3315" s="11" t="str">
        <f t="shared" si="2"/>
        <v> </v>
      </c>
    </row>
    <row r="3316" ht="15.75" customHeight="1">
      <c r="A3316" s="11">
        <v>14839.0</v>
      </c>
      <c r="B3316" s="11" t="s">
        <v>3339</v>
      </c>
      <c r="C3316" s="12">
        <v>23343.0</v>
      </c>
      <c r="D3316" s="11" t="str">
        <f t="shared" si="1"/>
        <v> </v>
      </c>
      <c r="E3316" s="11" t="str">
        <f t="shared" si="2"/>
        <v> </v>
      </c>
    </row>
    <row r="3317" ht="15.75" customHeight="1">
      <c r="A3317" s="11">
        <v>14840.0</v>
      </c>
      <c r="B3317" s="11" t="s">
        <v>3340</v>
      </c>
      <c r="C3317" s="12">
        <v>30176.0</v>
      </c>
      <c r="D3317" s="11" t="str">
        <f t="shared" si="1"/>
        <v> </v>
      </c>
      <c r="E3317" s="11" t="str">
        <f t="shared" si="2"/>
        <v> </v>
      </c>
    </row>
    <row r="3318" ht="15.75" customHeight="1">
      <c r="A3318" s="11">
        <v>14841.0</v>
      </c>
      <c r="B3318" s="11" t="s">
        <v>3341</v>
      </c>
      <c r="C3318" s="12">
        <v>23386.0</v>
      </c>
      <c r="D3318" s="11" t="str">
        <f t="shared" si="1"/>
        <v> </v>
      </c>
      <c r="E3318" s="11" t="str">
        <f t="shared" si="2"/>
        <v> </v>
      </c>
    </row>
    <row r="3319" ht="15.75" customHeight="1">
      <c r="A3319" s="11">
        <v>14842.0</v>
      </c>
      <c r="B3319" s="11" t="s">
        <v>3342</v>
      </c>
      <c r="C3319" s="12">
        <v>31129.0</v>
      </c>
      <c r="D3319" s="11" t="str">
        <f t="shared" si="1"/>
        <v> </v>
      </c>
      <c r="E3319" s="11" t="str">
        <f t="shared" si="2"/>
        <v> </v>
      </c>
    </row>
    <row r="3320" ht="15.75" customHeight="1">
      <c r="A3320" s="11">
        <v>14843.0</v>
      </c>
      <c r="B3320" s="11" t="s">
        <v>3343</v>
      </c>
      <c r="C3320" s="12">
        <v>29399.0</v>
      </c>
      <c r="D3320" s="11" t="str">
        <f t="shared" si="1"/>
        <v> </v>
      </c>
      <c r="E3320" s="11" t="str">
        <f t="shared" si="2"/>
        <v> </v>
      </c>
    </row>
    <row r="3321" ht="15.75" customHeight="1">
      <c r="A3321" s="11">
        <v>14844.0</v>
      </c>
      <c r="B3321" s="11" t="s">
        <v>3344</v>
      </c>
      <c r="C3321" s="12">
        <v>11516.0</v>
      </c>
      <c r="D3321" s="11" t="str">
        <f t="shared" si="1"/>
        <v> </v>
      </c>
      <c r="E3321" s="11" t="str">
        <f t="shared" si="2"/>
        <v> </v>
      </c>
    </row>
    <row r="3322" ht="15.75" customHeight="1">
      <c r="A3322" s="11">
        <v>14845.0</v>
      </c>
      <c r="B3322" s="11" t="s">
        <v>3345</v>
      </c>
      <c r="C3322" s="12">
        <v>20636.0</v>
      </c>
      <c r="D3322" s="11" t="str">
        <f t="shared" si="1"/>
        <v> </v>
      </c>
      <c r="E3322" s="11" t="str">
        <f t="shared" si="2"/>
        <v> </v>
      </c>
    </row>
    <row r="3323" ht="15.75" customHeight="1">
      <c r="A3323" s="11">
        <v>14846.0</v>
      </c>
      <c r="B3323" s="11" t="s">
        <v>3346</v>
      </c>
      <c r="C3323" s="12">
        <v>28650.0</v>
      </c>
      <c r="D3323" s="11" t="str">
        <f t="shared" si="1"/>
        <v> </v>
      </c>
      <c r="E3323" s="11" t="str">
        <f t="shared" si="2"/>
        <v> </v>
      </c>
    </row>
    <row r="3324" ht="15.75" customHeight="1">
      <c r="A3324" s="11">
        <v>14847.0</v>
      </c>
      <c r="B3324" s="11" t="s">
        <v>3347</v>
      </c>
      <c r="C3324" s="12">
        <v>16821.0</v>
      </c>
      <c r="D3324" s="11" t="str">
        <f t="shared" si="1"/>
        <v> </v>
      </c>
      <c r="E3324" s="11" t="str">
        <f t="shared" si="2"/>
        <v> </v>
      </c>
    </row>
    <row r="3325" ht="15.75" customHeight="1">
      <c r="A3325" s="11">
        <v>14849.0</v>
      </c>
      <c r="B3325" s="11" t="s">
        <v>3348</v>
      </c>
      <c r="C3325" s="12">
        <v>23399.0</v>
      </c>
      <c r="D3325" s="11" t="str">
        <f t="shared" si="1"/>
        <v> </v>
      </c>
      <c r="E3325" s="11" t="str">
        <f t="shared" si="2"/>
        <v> </v>
      </c>
    </row>
    <row r="3326" ht="15.75" customHeight="1">
      <c r="A3326" s="11">
        <v>14850.0</v>
      </c>
      <c r="B3326" s="11" t="s">
        <v>3349</v>
      </c>
      <c r="C3326" s="12">
        <v>19056.0</v>
      </c>
      <c r="D3326" s="11" t="str">
        <f t="shared" si="1"/>
        <v> </v>
      </c>
      <c r="E3326" s="11" t="str">
        <f t="shared" si="2"/>
        <v> </v>
      </c>
    </row>
    <row r="3327" ht="15.75" customHeight="1">
      <c r="A3327" s="11">
        <v>14851.0</v>
      </c>
      <c r="B3327" s="11" t="s">
        <v>3350</v>
      </c>
      <c r="C3327" s="12">
        <v>20873.0</v>
      </c>
      <c r="D3327" s="11" t="str">
        <f t="shared" si="1"/>
        <v> </v>
      </c>
      <c r="E3327" s="11" t="str">
        <f t="shared" si="2"/>
        <v> </v>
      </c>
    </row>
    <row r="3328" ht="15.75" customHeight="1">
      <c r="A3328" s="11">
        <v>14852.0</v>
      </c>
      <c r="B3328" s="11" t="s">
        <v>3351</v>
      </c>
      <c r="C3328" s="12">
        <v>18964.0</v>
      </c>
      <c r="D3328" s="11" t="str">
        <f t="shared" si="1"/>
        <v> </v>
      </c>
      <c r="E3328" s="11" t="str">
        <f t="shared" si="2"/>
        <v> </v>
      </c>
    </row>
    <row r="3329" ht="15.75" customHeight="1">
      <c r="A3329" s="11">
        <v>14855.0</v>
      </c>
      <c r="B3329" s="11" t="s">
        <v>3352</v>
      </c>
      <c r="C3329" s="12">
        <v>29368.0</v>
      </c>
      <c r="D3329" s="11" t="str">
        <f t="shared" si="1"/>
        <v> </v>
      </c>
      <c r="E3329" s="11" t="str">
        <f t="shared" si="2"/>
        <v> </v>
      </c>
    </row>
    <row r="3330" ht="15.75" customHeight="1">
      <c r="A3330" s="11">
        <v>14856.0</v>
      </c>
      <c r="B3330" s="11" t="s">
        <v>3353</v>
      </c>
      <c r="C3330" s="12">
        <v>30306.0</v>
      </c>
      <c r="D3330" s="11" t="str">
        <f t="shared" si="1"/>
        <v> </v>
      </c>
      <c r="E3330" s="11" t="str">
        <f t="shared" si="2"/>
        <v> </v>
      </c>
    </row>
    <row r="3331" ht="15.75" customHeight="1">
      <c r="A3331" s="11">
        <v>14857.0</v>
      </c>
      <c r="B3331" s="11" t="s">
        <v>3354</v>
      </c>
      <c r="C3331" s="12">
        <v>28296.0</v>
      </c>
      <c r="D3331" s="11" t="str">
        <f t="shared" si="1"/>
        <v> </v>
      </c>
      <c r="E3331" s="11" t="str">
        <f t="shared" si="2"/>
        <v> </v>
      </c>
    </row>
    <row r="3332" ht="15.75" customHeight="1">
      <c r="A3332" s="11">
        <v>14858.0</v>
      </c>
      <c r="B3332" s="11" t="s">
        <v>3355</v>
      </c>
      <c r="C3332" s="12">
        <v>33442.0</v>
      </c>
      <c r="D3332" s="11" t="str">
        <f t="shared" si="1"/>
        <v> </v>
      </c>
      <c r="E3332" s="11" t="str">
        <f t="shared" si="2"/>
        <v> </v>
      </c>
    </row>
    <row r="3333" ht="15.75" customHeight="1">
      <c r="A3333" s="11">
        <v>14859.0</v>
      </c>
      <c r="B3333" s="11" t="s">
        <v>3356</v>
      </c>
      <c r="C3333" s="12">
        <v>17603.0</v>
      </c>
      <c r="D3333" s="11" t="str">
        <f t="shared" si="1"/>
        <v> </v>
      </c>
      <c r="E3333" s="11" t="str">
        <f t="shared" si="2"/>
        <v> </v>
      </c>
    </row>
    <row r="3334" ht="15.75" customHeight="1">
      <c r="A3334" s="11">
        <v>14860.0</v>
      </c>
      <c r="B3334" s="11" t="s">
        <v>3357</v>
      </c>
      <c r="C3334" s="12">
        <v>30437.0</v>
      </c>
      <c r="D3334" s="11" t="str">
        <f t="shared" si="1"/>
        <v> </v>
      </c>
      <c r="E3334" s="11" t="str">
        <f t="shared" si="2"/>
        <v> </v>
      </c>
    </row>
    <row r="3335" ht="15.75" customHeight="1">
      <c r="A3335" s="11">
        <v>14861.0</v>
      </c>
      <c r="B3335" s="11" t="s">
        <v>3358</v>
      </c>
      <c r="C3335" s="12">
        <v>17521.0</v>
      </c>
      <c r="D3335" s="11" t="str">
        <f t="shared" si="1"/>
        <v> </v>
      </c>
      <c r="E3335" s="11" t="str">
        <f t="shared" si="2"/>
        <v> </v>
      </c>
    </row>
    <row r="3336" ht="15.75" customHeight="1">
      <c r="A3336" s="11">
        <v>14862.0</v>
      </c>
      <c r="B3336" s="11" t="s">
        <v>3359</v>
      </c>
      <c r="C3336" s="12">
        <v>24183.0</v>
      </c>
      <c r="D3336" s="11" t="str">
        <f t="shared" si="1"/>
        <v>Repeat</v>
      </c>
      <c r="E3336" s="11" t="str">
        <f t="shared" si="2"/>
        <v> </v>
      </c>
    </row>
    <row r="3337" ht="15.75" customHeight="1">
      <c r="A3337" s="11">
        <v>14863.0</v>
      </c>
      <c r="B3337" s="11" t="s">
        <v>3360</v>
      </c>
      <c r="C3337" s="12">
        <v>16344.0</v>
      </c>
      <c r="D3337" s="11" t="str">
        <f t="shared" si="1"/>
        <v> </v>
      </c>
      <c r="E3337" s="11" t="str">
        <f t="shared" si="2"/>
        <v> </v>
      </c>
    </row>
    <row r="3338" ht="15.75" customHeight="1">
      <c r="A3338" s="11">
        <v>14864.0</v>
      </c>
      <c r="B3338" s="11" t="s">
        <v>3361</v>
      </c>
      <c r="C3338" s="12">
        <v>21680.0</v>
      </c>
      <c r="D3338" s="11" t="str">
        <f t="shared" si="1"/>
        <v> </v>
      </c>
      <c r="E3338" s="11" t="str">
        <f t="shared" si="2"/>
        <v> </v>
      </c>
    </row>
    <row r="3339" ht="15.75" customHeight="1">
      <c r="A3339" s="11">
        <v>14865.0</v>
      </c>
      <c r="B3339" s="11" t="s">
        <v>3362</v>
      </c>
      <c r="C3339" s="12">
        <v>14688.0</v>
      </c>
      <c r="D3339" s="11" t="str">
        <f t="shared" si="1"/>
        <v> </v>
      </c>
      <c r="E3339" s="11" t="str">
        <f t="shared" si="2"/>
        <v> </v>
      </c>
    </row>
    <row r="3340" ht="15.75" customHeight="1">
      <c r="A3340" s="11">
        <v>14866.0</v>
      </c>
      <c r="B3340" s="11" t="s">
        <v>3363</v>
      </c>
      <c r="C3340" s="12">
        <v>16072.0</v>
      </c>
      <c r="D3340" s="11" t="str">
        <f t="shared" si="1"/>
        <v> </v>
      </c>
      <c r="E3340" s="11" t="str">
        <f t="shared" si="2"/>
        <v> </v>
      </c>
    </row>
    <row r="3341" ht="15.75" customHeight="1">
      <c r="A3341" s="11">
        <v>14868.0</v>
      </c>
      <c r="B3341" s="11" t="s">
        <v>3364</v>
      </c>
      <c r="C3341" s="12">
        <v>24623.0</v>
      </c>
      <c r="D3341" s="11" t="str">
        <f t="shared" si="1"/>
        <v> </v>
      </c>
      <c r="E3341" s="11" t="str">
        <f t="shared" si="2"/>
        <v> </v>
      </c>
    </row>
    <row r="3342" ht="15.75" customHeight="1">
      <c r="A3342" s="11">
        <v>14869.0</v>
      </c>
      <c r="B3342" s="11" t="s">
        <v>3365</v>
      </c>
      <c r="C3342" s="12">
        <v>26458.0</v>
      </c>
      <c r="D3342" s="11" t="str">
        <f t="shared" si="1"/>
        <v> </v>
      </c>
      <c r="E3342" s="11" t="str">
        <f t="shared" si="2"/>
        <v> </v>
      </c>
    </row>
    <row r="3343" ht="15.75" customHeight="1">
      <c r="A3343" s="11">
        <v>14870.0</v>
      </c>
      <c r="B3343" s="11" t="s">
        <v>3366</v>
      </c>
      <c r="C3343" s="12">
        <v>17410.0</v>
      </c>
      <c r="D3343" s="11" t="str">
        <f t="shared" si="1"/>
        <v> </v>
      </c>
      <c r="E3343" s="11" t="str">
        <f t="shared" si="2"/>
        <v> </v>
      </c>
    </row>
    <row r="3344" ht="15.75" customHeight="1">
      <c r="A3344" s="11">
        <v>14871.0</v>
      </c>
      <c r="B3344" s="11" t="s">
        <v>3367</v>
      </c>
      <c r="C3344" s="12">
        <v>23076.0</v>
      </c>
      <c r="D3344" s="11" t="str">
        <f t="shared" si="1"/>
        <v> </v>
      </c>
      <c r="E3344" s="11" t="str">
        <f t="shared" si="2"/>
        <v> </v>
      </c>
    </row>
    <row r="3345" ht="15.75" customHeight="1">
      <c r="A3345" s="11">
        <v>14872.0</v>
      </c>
      <c r="B3345" s="11" t="s">
        <v>3368</v>
      </c>
      <c r="C3345" s="12">
        <v>25339.0</v>
      </c>
      <c r="D3345" s="11" t="str">
        <f t="shared" si="1"/>
        <v> </v>
      </c>
      <c r="E3345" s="11" t="str">
        <f t="shared" si="2"/>
        <v> </v>
      </c>
    </row>
    <row r="3346" ht="15.75" customHeight="1">
      <c r="A3346" s="11">
        <v>14873.0</v>
      </c>
      <c r="B3346" s="11" t="s">
        <v>3369</v>
      </c>
      <c r="C3346" s="12">
        <v>29539.0</v>
      </c>
      <c r="D3346" s="11" t="str">
        <f t="shared" si="1"/>
        <v> </v>
      </c>
      <c r="E3346" s="11" t="str">
        <f t="shared" si="2"/>
        <v> </v>
      </c>
    </row>
    <row r="3347" ht="15.75" customHeight="1">
      <c r="A3347" s="11">
        <v>14874.0</v>
      </c>
      <c r="B3347" s="11" t="s">
        <v>3370</v>
      </c>
      <c r="C3347" s="12">
        <v>16509.0</v>
      </c>
      <c r="D3347" s="11" t="str">
        <f t="shared" si="1"/>
        <v> </v>
      </c>
      <c r="E3347" s="11" t="str">
        <f t="shared" si="2"/>
        <v> </v>
      </c>
    </row>
    <row r="3348" ht="15.75" customHeight="1">
      <c r="A3348" s="11">
        <v>14875.0</v>
      </c>
      <c r="B3348" s="11" t="s">
        <v>3371</v>
      </c>
      <c r="C3348" s="12">
        <v>20682.0</v>
      </c>
      <c r="D3348" s="11" t="str">
        <f t="shared" si="1"/>
        <v> </v>
      </c>
      <c r="E3348" s="11" t="str">
        <f t="shared" si="2"/>
        <v> </v>
      </c>
    </row>
    <row r="3349" ht="15.75" customHeight="1">
      <c r="A3349" s="11">
        <v>14876.0</v>
      </c>
      <c r="B3349" s="11" t="s">
        <v>3372</v>
      </c>
      <c r="C3349" s="12">
        <v>21734.0</v>
      </c>
      <c r="D3349" s="11" t="str">
        <f t="shared" si="1"/>
        <v> </v>
      </c>
      <c r="E3349" s="11" t="str">
        <f t="shared" si="2"/>
        <v> </v>
      </c>
    </row>
    <row r="3350" ht="15.75" customHeight="1">
      <c r="A3350" s="11">
        <v>14877.0</v>
      </c>
      <c r="B3350" s="11" t="s">
        <v>3373</v>
      </c>
      <c r="C3350" s="12">
        <v>32874.0</v>
      </c>
      <c r="D3350" s="11" t="str">
        <f t="shared" si="1"/>
        <v> </v>
      </c>
      <c r="E3350" s="11" t="str">
        <f t="shared" si="2"/>
        <v> </v>
      </c>
    </row>
    <row r="3351" ht="15.75" customHeight="1">
      <c r="A3351" s="11">
        <v>14879.0</v>
      </c>
      <c r="B3351" s="11" t="s">
        <v>3374</v>
      </c>
      <c r="C3351" s="12">
        <v>24910.0</v>
      </c>
      <c r="D3351" s="11" t="str">
        <f t="shared" si="1"/>
        <v> </v>
      </c>
      <c r="E3351" s="11" t="str">
        <f t="shared" si="2"/>
        <v> </v>
      </c>
    </row>
    <row r="3352" ht="15.75" customHeight="1">
      <c r="A3352" s="11">
        <v>14880.0</v>
      </c>
      <c r="B3352" s="11" t="s">
        <v>3375</v>
      </c>
      <c r="C3352" s="12">
        <v>18785.0</v>
      </c>
      <c r="D3352" s="11" t="str">
        <f t="shared" si="1"/>
        <v> </v>
      </c>
      <c r="E3352" s="11" t="str">
        <f t="shared" si="2"/>
        <v> </v>
      </c>
    </row>
    <row r="3353" ht="15.75" customHeight="1">
      <c r="A3353" s="11">
        <v>14881.0</v>
      </c>
      <c r="B3353" s="11" t="s">
        <v>3376</v>
      </c>
      <c r="C3353" s="12">
        <v>21831.0</v>
      </c>
      <c r="D3353" s="11" t="str">
        <f t="shared" si="1"/>
        <v> </v>
      </c>
      <c r="E3353" s="11" t="str">
        <f t="shared" si="2"/>
        <v> </v>
      </c>
    </row>
    <row r="3354" ht="15.75" customHeight="1">
      <c r="A3354" s="11">
        <v>14882.0</v>
      </c>
      <c r="B3354" s="11" t="s">
        <v>3377</v>
      </c>
      <c r="C3354" s="12">
        <v>21460.0</v>
      </c>
      <c r="D3354" s="11" t="str">
        <f t="shared" si="1"/>
        <v> </v>
      </c>
      <c r="E3354" s="11" t="str">
        <f t="shared" si="2"/>
        <v> </v>
      </c>
    </row>
    <row r="3355" ht="15.75" customHeight="1">
      <c r="A3355" s="11">
        <v>14884.0</v>
      </c>
      <c r="B3355" s="11" t="s">
        <v>3378</v>
      </c>
      <c r="C3355" s="12">
        <v>27073.0</v>
      </c>
      <c r="D3355" s="11" t="str">
        <f t="shared" si="1"/>
        <v> </v>
      </c>
      <c r="E3355" s="11" t="str">
        <f t="shared" si="2"/>
        <v> </v>
      </c>
    </row>
    <row r="3356" ht="15.75" customHeight="1">
      <c r="A3356" s="11">
        <v>14885.0</v>
      </c>
      <c r="B3356" s="11" t="s">
        <v>3379</v>
      </c>
      <c r="C3356" s="12">
        <v>26430.0</v>
      </c>
      <c r="D3356" s="11" t="str">
        <f t="shared" si="1"/>
        <v> </v>
      </c>
      <c r="E3356" s="11" t="str">
        <f t="shared" si="2"/>
        <v> </v>
      </c>
    </row>
    <row r="3357" ht="15.75" customHeight="1">
      <c r="A3357" s="11">
        <v>14886.0</v>
      </c>
      <c r="B3357" s="11" t="s">
        <v>3380</v>
      </c>
      <c r="C3357" s="12">
        <v>23344.0</v>
      </c>
      <c r="D3357" s="11" t="str">
        <f t="shared" si="1"/>
        <v> </v>
      </c>
      <c r="E3357" s="11" t="str">
        <f t="shared" si="2"/>
        <v> </v>
      </c>
    </row>
    <row r="3358" ht="15.75" customHeight="1">
      <c r="A3358" s="11">
        <v>14887.0</v>
      </c>
      <c r="B3358" s="11" t="s">
        <v>3381</v>
      </c>
      <c r="C3358" s="12">
        <v>18270.0</v>
      </c>
      <c r="D3358" s="11" t="str">
        <f t="shared" si="1"/>
        <v> </v>
      </c>
      <c r="E3358" s="11" t="str">
        <f t="shared" si="2"/>
        <v> </v>
      </c>
    </row>
    <row r="3359" ht="15.75" customHeight="1">
      <c r="A3359" s="11">
        <v>14888.0</v>
      </c>
      <c r="B3359" s="11" t="s">
        <v>3382</v>
      </c>
      <c r="C3359" s="12">
        <v>34803.0</v>
      </c>
      <c r="D3359" s="11" t="str">
        <f t="shared" si="1"/>
        <v> </v>
      </c>
      <c r="E3359" s="11" t="str">
        <f t="shared" si="2"/>
        <v> </v>
      </c>
    </row>
    <row r="3360" ht="15.75" customHeight="1">
      <c r="A3360" s="11">
        <v>14889.0</v>
      </c>
      <c r="B3360" s="11" t="s">
        <v>3383</v>
      </c>
      <c r="C3360" s="12">
        <v>20777.0</v>
      </c>
      <c r="D3360" s="11" t="str">
        <f t="shared" si="1"/>
        <v> </v>
      </c>
      <c r="E3360" s="11" t="str">
        <f t="shared" si="2"/>
        <v> </v>
      </c>
    </row>
    <row r="3361" ht="15.75" customHeight="1">
      <c r="A3361" s="11">
        <v>14891.0</v>
      </c>
      <c r="B3361" s="11" t="s">
        <v>3384</v>
      </c>
      <c r="C3361" s="12">
        <v>31551.0</v>
      </c>
      <c r="D3361" s="11" t="str">
        <f t="shared" si="1"/>
        <v> </v>
      </c>
      <c r="E3361" s="11" t="str">
        <f t="shared" si="2"/>
        <v> </v>
      </c>
    </row>
    <row r="3362" ht="15.75" customHeight="1">
      <c r="A3362" s="11">
        <v>14893.0</v>
      </c>
      <c r="B3362" s="11" t="s">
        <v>3385</v>
      </c>
      <c r="C3362" s="12">
        <v>29448.0</v>
      </c>
      <c r="D3362" s="11" t="str">
        <f t="shared" si="1"/>
        <v> </v>
      </c>
      <c r="E3362" s="11" t="str">
        <f t="shared" si="2"/>
        <v> </v>
      </c>
    </row>
    <row r="3363" ht="15.75" customHeight="1">
      <c r="A3363" s="11">
        <v>14894.0</v>
      </c>
      <c r="B3363" s="11" t="s">
        <v>3386</v>
      </c>
      <c r="C3363" s="12">
        <v>16680.0</v>
      </c>
      <c r="D3363" s="11" t="str">
        <f t="shared" si="1"/>
        <v> </v>
      </c>
      <c r="E3363" s="11" t="str">
        <f t="shared" si="2"/>
        <v> </v>
      </c>
    </row>
    <row r="3364" ht="15.75" customHeight="1">
      <c r="A3364" s="11">
        <v>14895.0</v>
      </c>
      <c r="B3364" s="11" t="s">
        <v>3387</v>
      </c>
      <c r="C3364" s="12">
        <v>24918.0</v>
      </c>
      <c r="D3364" s="11" t="str">
        <f t="shared" si="1"/>
        <v> </v>
      </c>
      <c r="E3364" s="11" t="str">
        <f t="shared" si="2"/>
        <v> </v>
      </c>
    </row>
    <row r="3365" ht="15.75" customHeight="1">
      <c r="A3365" s="11">
        <v>14896.0</v>
      </c>
      <c r="B3365" s="11" t="s">
        <v>3388</v>
      </c>
      <c r="C3365" s="12">
        <v>23277.0</v>
      </c>
      <c r="D3365" s="11" t="str">
        <f t="shared" si="1"/>
        <v> </v>
      </c>
      <c r="E3365" s="11" t="str">
        <f t="shared" si="2"/>
        <v> </v>
      </c>
    </row>
    <row r="3366" ht="15.75" customHeight="1">
      <c r="A3366" s="11">
        <v>14897.0</v>
      </c>
      <c r="B3366" s="11" t="s">
        <v>3389</v>
      </c>
      <c r="C3366" s="12">
        <v>17634.0</v>
      </c>
      <c r="D3366" s="11" t="str">
        <f t="shared" si="1"/>
        <v> </v>
      </c>
      <c r="E3366" s="11" t="str">
        <f t="shared" si="2"/>
        <v> </v>
      </c>
    </row>
    <row r="3367" ht="15.75" customHeight="1">
      <c r="A3367" s="11">
        <v>14899.0</v>
      </c>
      <c r="B3367" s="11" t="s">
        <v>3390</v>
      </c>
      <c r="C3367" s="12">
        <v>29557.0</v>
      </c>
      <c r="D3367" s="11" t="str">
        <f t="shared" si="1"/>
        <v> </v>
      </c>
      <c r="E3367" s="11" t="str">
        <f t="shared" si="2"/>
        <v> </v>
      </c>
    </row>
    <row r="3368" ht="15.75" customHeight="1">
      <c r="A3368" s="11">
        <v>14900.0</v>
      </c>
      <c r="B3368" s="11" t="s">
        <v>3391</v>
      </c>
      <c r="C3368" s="12">
        <v>23223.0</v>
      </c>
      <c r="D3368" s="11" t="str">
        <f t="shared" si="1"/>
        <v> </v>
      </c>
      <c r="E3368" s="11" t="str">
        <f t="shared" si="2"/>
        <v> </v>
      </c>
    </row>
    <row r="3369" ht="15.75" customHeight="1">
      <c r="A3369" s="11">
        <v>14901.0</v>
      </c>
      <c r="B3369" s="11" t="s">
        <v>3392</v>
      </c>
      <c r="C3369" s="12">
        <v>21206.0</v>
      </c>
      <c r="D3369" s="11" t="str">
        <f t="shared" si="1"/>
        <v> </v>
      </c>
      <c r="E3369" s="11" t="str">
        <f t="shared" si="2"/>
        <v> </v>
      </c>
    </row>
    <row r="3370" ht="15.75" customHeight="1">
      <c r="A3370" s="11">
        <v>14902.0</v>
      </c>
      <c r="B3370" s="11" t="s">
        <v>3393</v>
      </c>
      <c r="C3370" s="12">
        <v>21967.0</v>
      </c>
      <c r="D3370" s="11" t="str">
        <f t="shared" si="1"/>
        <v> </v>
      </c>
      <c r="E3370" s="11" t="str">
        <f t="shared" si="2"/>
        <v> </v>
      </c>
    </row>
    <row r="3371" ht="15.75" customHeight="1">
      <c r="A3371" s="11">
        <v>14903.0</v>
      </c>
      <c r="B3371" s="11" t="s">
        <v>3394</v>
      </c>
      <c r="C3371" s="12">
        <v>25053.0</v>
      </c>
      <c r="D3371" s="11" t="str">
        <f t="shared" si="1"/>
        <v> </v>
      </c>
      <c r="E3371" s="11" t="str">
        <f t="shared" si="2"/>
        <v> </v>
      </c>
    </row>
    <row r="3372" ht="15.75" customHeight="1">
      <c r="A3372" s="11">
        <v>14904.0</v>
      </c>
      <c r="B3372" s="11" t="s">
        <v>3395</v>
      </c>
      <c r="C3372" s="12">
        <v>31991.0</v>
      </c>
      <c r="D3372" s="11" t="str">
        <f t="shared" si="1"/>
        <v> </v>
      </c>
      <c r="E3372" s="11" t="str">
        <f t="shared" si="2"/>
        <v> </v>
      </c>
    </row>
    <row r="3373" ht="15.75" customHeight="1">
      <c r="A3373" s="11">
        <v>14907.0</v>
      </c>
      <c r="B3373" s="11" t="s">
        <v>3396</v>
      </c>
      <c r="C3373" s="12">
        <v>27703.0</v>
      </c>
      <c r="D3373" s="11" t="str">
        <f t="shared" si="1"/>
        <v> </v>
      </c>
      <c r="E3373" s="11" t="str">
        <f t="shared" si="2"/>
        <v> </v>
      </c>
    </row>
    <row r="3374" ht="15.75" customHeight="1">
      <c r="A3374" s="11">
        <v>14908.0</v>
      </c>
      <c r="B3374" s="11" t="s">
        <v>3397</v>
      </c>
      <c r="C3374" s="12">
        <v>23122.0</v>
      </c>
      <c r="D3374" s="11" t="str">
        <f t="shared" si="1"/>
        <v> </v>
      </c>
      <c r="E3374" s="11" t="str">
        <f t="shared" si="2"/>
        <v> </v>
      </c>
    </row>
    <row r="3375" ht="15.75" customHeight="1">
      <c r="A3375" s="11">
        <v>14909.0</v>
      </c>
      <c r="B3375" s="11" t="s">
        <v>3398</v>
      </c>
      <c r="C3375" s="12">
        <v>24721.0</v>
      </c>
      <c r="D3375" s="11" t="str">
        <f t="shared" si="1"/>
        <v> </v>
      </c>
      <c r="E3375" s="11" t="str">
        <f t="shared" si="2"/>
        <v> </v>
      </c>
    </row>
    <row r="3376" ht="15.75" customHeight="1">
      <c r="A3376" s="11">
        <v>14910.0</v>
      </c>
      <c r="B3376" s="11" t="s">
        <v>3399</v>
      </c>
      <c r="C3376" s="12">
        <v>22333.0</v>
      </c>
      <c r="D3376" s="11" t="str">
        <f t="shared" si="1"/>
        <v> </v>
      </c>
      <c r="E3376" s="11" t="str">
        <f t="shared" si="2"/>
        <v> </v>
      </c>
    </row>
    <row r="3377" ht="15.75" customHeight="1">
      <c r="A3377" s="11">
        <v>14912.0</v>
      </c>
      <c r="B3377" s="11" t="s">
        <v>3400</v>
      </c>
      <c r="C3377" s="12">
        <v>27053.0</v>
      </c>
      <c r="D3377" s="11" t="str">
        <f t="shared" si="1"/>
        <v> </v>
      </c>
      <c r="E3377" s="11" t="str">
        <f t="shared" si="2"/>
        <v> </v>
      </c>
    </row>
    <row r="3378" ht="15.75" customHeight="1">
      <c r="A3378" s="11">
        <v>14913.0</v>
      </c>
      <c r="B3378" s="11" t="s">
        <v>3401</v>
      </c>
      <c r="C3378" s="12">
        <v>35995.0</v>
      </c>
      <c r="D3378" s="11" t="str">
        <f t="shared" si="1"/>
        <v> </v>
      </c>
      <c r="E3378" s="11" t="str">
        <f t="shared" si="2"/>
        <v> </v>
      </c>
    </row>
    <row r="3379" ht="15.75" customHeight="1">
      <c r="A3379" s="11">
        <v>14914.0</v>
      </c>
      <c r="B3379" s="11" t="s">
        <v>3402</v>
      </c>
      <c r="C3379" s="12">
        <v>31346.0</v>
      </c>
      <c r="D3379" s="11" t="str">
        <f t="shared" si="1"/>
        <v> </v>
      </c>
      <c r="E3379" s="11" t="str">
        <f t="shared" si="2"/>
        <v> </v>
      </c>
    </row>
    <row r="3380" ht="15.75" customHeight="1">
      <c r="A3380" s="11">
        <v>14915.0</v>
      </c>
      <c r="B3380" s="11" t="s">
        <v>3403</v>
      </c>
      <c r="C3380" s="12">
        <v>19463.0</v>
      </c>
      <c r="D3380" s="11" t="str">
        <f t="shared" si="1"/>
        <v> </v>
      </c>
      <c r="E3380" s="11" t="str">
        <f t="shared" si="2"/>
        <v> </v>
      </c>
    </row>
    <row r="3381" ht="15.75" customHeight="1">
      <c r="A3381" s="11">
        <v>14916.0</v>
      </c>
      <c r="B3381" s="11" t="s">
        <v>3404</v>
      </c>
      <c r="C3381" s="12">
        <v>26643.0</v>
      </c>
      <c r="D3381" s="11" t="str">
        <f t="shared" si="1"/>
        <v> </v>
      </c>
      <c r="E3381" s="11" t="str">
        <f t="shared" si="2"/>
        <v> </v>
      </c>
    </row>
    <row r="3382" ht="15.75" customHeight="1">
      <c r="A3382" s="11">
        <v>14918.0</v>
      </c>
      <c r="B3382" s="11" t="s">
        <v>3405</v>
      </c>
      <c r="C3382" s="12">
        <v>29730.0</v>
      </c>
      <c r="D3382" s="11" t="str">
        <f t="shared" si="1"/>
        <v> </v>
      </c>
      <c r="E3382" s="11" t="str">
        <f t="shared" si="2"/>
        <v> </v>
      </c>
    </row>
    <row r="3383" ht="15.75" customHeight="1">
      <c r="A3383" s="11">
        <v>14920.0</v>
      </c>
      <c r="B3383" s="11" t="s">
        <v>3406</v>
      </c>
      <c r="C3383" s="12">
        <v>26970.0</v>
      </c>
      <c r="D3383" s="11" t="str">
        <f t="shared" si="1"/>
        <v> </v>
      </c>
      <c r="E3383" s="11" t="str">
        <f t="shared" si="2"/>
        <v> </v>
      </c>
    </row>
    <row r="3384" ht="15.75" customHeight="1">
      <c r="A3384" s="11">
        <v>14922.0</v>
      </c>
      <c r="B3384" s="11" t="s">
        <v>3407</v>
      </c>
      <c r="C3384" s="12">
        <v>30733.0</v>
      </c>
      <c r="D3384" s="11" t="str">
        <f t="shared" si="1"/>
        <v> </v>
      </c>
      <c r="E3384" s="11" t="str">
        <f t="shared" si="2"/>
        <v> </v>
      </c>
    </row>
    <row r="3385" ht="15.75" customHeight="1">
      <c r="A3385" s="11">
        <v>14923.0</v>
      </c>
      <c r="B3385" s="11" t="s">
        <v>3408</v>
      </c>
      <c r="C3385" s="12">
        <v>28456.0</v>
      </c>
      <c r="D3385" s="11" t="str">
        <f t="shared" si="1"/>
        <v> </v>
      </c>
      <c r="E3385" s="11" t="str">
        <f t="shared" si="2"/>
        <v> </v>
      </c>
    </row>
    <row r="3386" ht="15.75" customHeight="1">
      <c r="A3386" s="11">
        <v>14924.0</v>
      </c>
      <c r="B3386" s="11" t="s">
        <v>3409</v>
      </c>
      <c r="C3386" s="12">
        <v>17232.0</v>
      </c>
      <c r="D3386" s="11" t="str">
        <f t="shared" si="1"/>
        <v> </v>
      </c>
      <c r="E3386" s="11" t="str">
        <f t="shared" si="2"/>
        <v> </v>
      </c>
    </row>
    <row r="3387" ht="15.75" customHeight="1">
      <c r="A3387" s="11">
        <v>14925.0</v>
      </c>
      <c r="B3387" s="11" t="s">
        <v>3410</v>
      </c>
      <c r="C3387" s="12">
        <v>17174.0</v>
      </c>
      <c r="D3387" s="11" t="str">
        <f t="shared" si="1"/>
        <v> </v>
      </c>
      <c r="E3387" s="11" t="str">
        <f t="shared" si="2"/>
        <v> </v>
      </c>
    </row>
    <row r="3388" ht="15.75" customHeight="1">
      <c r="A3388" s="11">
        <v>14926.0</v>
      </c>
      <c r="B3388" s="11" t="s">
        <v>3411</v>
      </c>
      <c r="C3388" s="12">
        <v>21137.0</v>
      </c>
      <c r="D3388" s="11" t="str">
        <f t="shared" si="1"/>
        <v> </v>
      </c>
      <c r="E3388" s="11" t="str">
        <f t="shared" si="2"/>
        <v> </v>
      </c>
    </row>
    <row r="3389" ht="15.75" customHeight="1">
      <c r="A3389" s="11">
        <v>14927.0</v>
      </c>
      <c r="B3389" s="11" t="s">
        <v>3412</v>
      </c>
      <c r="C3389" s="12">
        <v>35540.0</v>
      </c>
      <c r="D3389" s="11" t="str">
        <f t="shared" si="1"/>
        <v> </v>
      </c>
      <c r="E3389" s="11" t="str">
        <f t="shared" si="2"/>
        <v> </v>
      </c>
    </row>
    <row r="3390" ht="15.75" customHeight="1">
      <c r="A3390" s="11">
        <v>14928.0</v>
      </c>
      <c r="B3390" s="11" t="s">
        <v>3413</v>
      </c>
      <c r="C3390" s="12">
        <v>23252.0</v>
      </c>
      <c r="D3390" s="11" t="str">
        <f t="shared" si="1"/>
        <v> </v>
      </c>
      <c r="E3390" s="11" t="str">
        <f t="shared" si="2"/>
        <v> </v>
      </c>
    </row>
    <row r="3391" ht="15.75" customHeight="1">
      <c r="A3391" s="11">
        <v>14931.0</v>
      </c>
      <c r="B3391" s="11" t="s">
        <v>3414</v>
      </c>
      <c r="C3391" s="12">
        <v>22878.0</v>
      </c>
      <c r="D3391" s="11" t="str">
        <f t="shared" si="1"/>
        <v> </v>
      </c>
      <c r="E3391" s="11" t="str">
        <f t="shared" si="2"/>
        <v> </v>
      </c>
    </row>
    <row r="3392" ht="15.75" customHeight="1">
      <c r="A3392" s="11">
        <v>14933.0</v>
      </c>
      <c r="B3392" s="11" t="s">
        <v>3415</v>
      </c>
      <c r="C3392" s="12">
        <v>29116.0</v>
      </c>
      <c r="D3392" s="11" t="str">
        <f t="shared" si="1"/>
        <v> </v>
      </c>
      <c r="E3392" s="11" t="str">
        <f t="shared" si="2"/>
        <v> </v>
      </c>
    </row>
    <row r="3393" ht="15.75" customHeight="1">
      <c r="A3393" s="11">
        <v>14934.0</v>
      </c>
      <c r="B3393" s="11" t="s">
        <v>3416</v>
      </c>
      <c r="C3393" s="12">
        <v>16178.0</v>
      </c>
      <c r="D3393" s="11" t="str">
        <f t="shared" si="1"/>
        <v> </v>
      </c>
      <c r="E3393" s="11" t="str">
        <f t="shared" si="2"/>
        <v> </v>
      </c>
    </row>
    <row r="3394" ht="15.75" customHeight="1">
      <c r="A3394" s="11">
        <v>14935.0</v>
      </c>
      <c r="B3394" s="11" t="s">
        <v>3417</v>
      </c>
      <c r="C3394" s="12">
        <v>13173.0</v>
      </c>
      <c r="D3394" s="11" t="str">
        <f t="shared" si="1"/>
        <v> </v>
      </c>
      <c r="E3394" s="11" t="str">
        <f t="shared" si="2"/>
        <v> </v>
      </c>
    </row>
    <row r="3395" ht="15.75" customHeight="1">
      <c r="A3395" s="11">
        <v>14936.0</v>
      </c>
      <c r="B3395" s="11" t="s">
        <v>3418</v>
      </c>
      <c r="C3395" s="12">
        <v>24006.0</v>
      </c>
      <c r="D3395" s="11" t="str">
        <f t="shared" si="1"/>
        <v> </v>
      </c>
      <c r="E3395" s="11" t="str">
        <f t="shared" si="2"/>
        <v> </v>
      </c>
    </row>
    <row r="3396" ht="15.75" customHeight="1">
      <c r="A3396" s="11">
        <v>14938.0</v>
      </c>
      <c r="B3396" s="11" t="s">
        <v>3419</v>
      </c>
      <c r="C3396" s="12">
        <v>13606.0</v>
      </c>
      <c r="D3396" s="11" t="str">
        <f t="shared" si="1"/>
        <v> </v>
      </c>
      <c r="E3396" s="11" t="str">
        <f t="shared" si="2"/>
        <v> </v>
      </c>
    </row>
    <row r="3397" ht="15.75" customHeight="1">
      <c r="A3397" s="11">
        <v>14939.0</v>
      </c>
      <c r="B3397" s="11" t="s">
        <v>3420</v>
      </c>
      <c r="C3397" s="12">
        <v>20725.0</v>
      </c>
      <c r="D3397" s="11" t="str">
        <f t="shared" si="1"/>
        <v> </v>
      </c>
      <c r="E3397" s="11" t="str">
        <f t="shared" si="2"/>
        <v> </v>
      </c>
    </row>
    <row r="3398" ht="15.75" customHeight="1">
      <c r="A3398" s="11">
        <v>14940.0</v>
      </c>
      <c r="B3398" s="11" t="s">
        <v>3421</v>
      </c>
      <c r="C3398" s="12">
        <v>18189.0</v>
      </c>
      <c r="D3398" s="11" t="str">
        <f t="shared" si="1"/>
        <v> </v>
      </c>
      <c r="E3398" s="11" t="str">
        <f t="shared" si="2"/>
        <v> </v>
      </c>
    </row>
    <row r="3399" ht="15.75" customHeight="1">
      <c r="A3399" s="11">
        <v>14941.0</v>
      </c>
      <c r="B3399" s="11" t="s">
        <v>3422</v>
      </c>
      <c r="C3399" s="12">
        <v>36502.0</v>
      </c>
      <c r="D3399" s="11" t="str">
        <f t="shared" si="1"/>
        <v> </v>
      </c>
      <c r="E3399" s="11" t="str">
        <f t="shared" si="2"/>
        <v> </v>
      </c>
    </row>
    <row r="3400" ht="15.75" customHeight="1">
      <c r="A3400" s="11">
        <v>14942.0</v>
      </c>
      <c r="B3400" s="11" t="s">
        <v>3423</v>
      </c>
      <c r="C3400" s="12">
        <v>13004.0</v>
      </c>
      <c r="D3400" s="11" t="str">
        <f t="shared" si="1"/>
        <v> </v>
      </c>
      <c r="E3400" s="11" t="str">
        <f t="shared" si="2"/>
        <v> </v>
      </c>
    </row>
    <row r="3401" ht="15.75" customHeight="1">
      <c r="A3401" s="11">
        <v>14943.0</v>
      </c>
      <c r="B3401" s="11" t="s">
        <v>3424</v>
      </c>
      <c r="C3401" s="12">
        <v>32583.0</v>
      </c>
      <c r="D3401" s="11" t="str">
        <f t="shared" si="1"/>
        <v> </v>
      </c>
      <c r="E3401" s="11" t="str">
        <f t="shared" si="2"/>
        <v> </v>
      </c>
    </row>
    <row r="3402" ht="15.75" customHeight="1">
      <c r="A3402" s="11">
        <v>14944.0</v>
      </c>
      <c r="B3402" s="11" t="s">
        <v>3425</v>
      </c>
      <c r="C3402" s="12">
        <v>32333.0</v>
      </c>
      <c r="D3402" s="11" t="str">
        <f t="shared" si="1"/>
        <v> </v>
      </c>
      <c r="E3402" s="11" t="str">
        <f t="shared" si="2"/>
        <v> </v>
      </c>
    </row>
    <row r="3403" ht="15.75" customHeight="1">
      <c r="A3403" s="11">
        <v>14945.0</v>
      </c>
      <c r="B3403" s="11" t="s">
        <v>3426</v>
      </c>
      <c r="C3403" s="12">
        <v>27908.0</v>
      </c>
      <c r="D3403" s="11" t="str">
        <f t="shared" si="1"/>
        <v> </v>
      </c>
      <c r="E3403" s="11" t="str">
        <f t="shared" si="2"/>
        <v> </v>
      </c>
    </row>
    <row r="3404" ht="15.75" customHeight="1">
      <c r="A3404" s="11">
        <v>14946.0</v>
      </c>
      <c r="B3404" s="11" t="s">
        <v>3427</v>
      </c>
      <c r="C3404" s="12">
        <v>30996.0</v>
      </c>
      <c r="D3404" s="11" t="str">
        <f t="shared" si="1"/>
        <v> </v>
      </c>
      <c r="E3404" s="11" t="str">
        <f t="shared" si="2"/>
        <v> </v>
      </c>
    </row>
    <row r="3405" ht="15.75" customHeight="1">
      <c r="A3405" s="11">
        <v>14947.0</v>
      </c>
      <c r="B3405" s="11" t="s">
        <v>3428</v>
      </c>
      <c r="C3405" s="12">
        <v>31790.0</v>
      </c>
      <c r="D3405" s="11" t="str">
        <f t="shared" si="1"/>
        <v> </v>
      </c>
      <c r="E3405" s="11" t="str">
        <f t="shared" si="2"/>
        <v> </v>
      </c>
    </row>
    <row r="3406" ht="15.75" customHeight="1">
      <c r="A3406" s="11">
        <v>14948.0</v>
      </c>
      <c r="B3406" s="11" t="s">
        <v>3429</v>
      </c>
      <c r="C3406" s="12">
        <v>20184.0</v>
      </c>
      <c r="D3406" s="11" t="str">
        <f t="shared" si="1"/>
        <v> </v>
      </c>
      <c r="E3406" s="11" t="str">
        <f t="shared" si="2"/>
        <v> </v>
      </c>
    </row>
    <row r="3407" ht="15.75" customHeight="1">
      <c r="A3407" s="11">
        <v>14949.0</v>
      </c>
      <c r="B3407" s="11" t="s">
        <v>3430</v>
      </c>
      <c r="C3407" s="12">
        <v>23551.0</v>
      </c>
      <c r="D3407" s="11" t="str">
        <f t="shared" si="1"/>
        <v> </v>
      </c>
      <c r="E3407" s="11" t="str">
        <f t="shared" si="2"/>
        <v> </v>
      </c>
    </row>
    <row r="3408" ht="15.75" customHeight="1">
      <c r="A3408" s="11">
        <v>14950.0</v>
      </c>
      <c r="B3408" s="11" t="s">
        <v>3431</v>
      </c>
      <c r="C3408" s="12">
        <v>27319.0</v>
      </c>
      <c r="D3408" s="11" t="str">
        <f t="shared" si="1"/>
        <v> </v>
      </c>
      <c r="E3408" s="11" t="str">
        <f t="shared" si="2"/>
        <v> </v>
      </c>
    </row>
    <row r="3409" ht="15.75" customHeight="1">
      <c r="A3409" s="11">
        <v>14952.0</v>
      </c>
      <c r="B3409" s="11" t="s">
        <v>3432</v>
      </c>
      <c r="C3409" s="12">
        <v>31734.0</v>
      </c>
      <c r="D3409" s="11" t="str">
        <f t="shared" si="1"/>
        <v> </v>
      </c>
      <c r="E3409" s="11" t="str">
        <f t="shared" si="2"/>
        <v> </v>
      </c>
    </row>
    <row r="3410" ht="15.75" customHeight="1">
      <c r="A3410" s="11">
        <v>14953.0</v>
      </c>
      <c r="B3410" s="11" t="s">
        <v>3433</v>
      </c>
      <c r="C3410" s="12">
        <v>16111.0</v>
      </c>
      <c r="D3410" s="11" t="str">
        <f t="shared" si="1"/>
        <v> </v>
      </c>
      <c r="E3410" s="11" t="str">
        <f t="shared" si="2"/>
        <v> </v>
      </c>
    </row>
    <row r="3411" ht="15.75" customHeight="1">
      <c r="A3411" s="11">
        <v>14954.0</v>
      </c>
      <c r="B3411" s="11" t="s">
        <v>3434</v>
      </c>
      <c r="C3411" s="12">
        <v>26512.0</v>
      </c>
      <c r="D3411" s="11" t="str">
        <f t="shared" si="1"/>
        <v> </v>
      </c>
      <c r="E3411" s="11" t="str">
        <f t="shared" si="2"/>
        <v> </v>
      </c>
    </row>
    <row r="3412" ht="15.75" customHeight="1">
      <c r="A3412" s="11">
        <v>14955.0</v>
      </c>
      <c r="B3412" s="11" t="s">
        <v>3435</v>
      </c>
      <c r="C3412" s="12">
        <v>16759.0</v>
      </c>
      <c r="D3412" s="11" t="str">
        <f t="shared" si="1"/>
        <v> </v>
      </c>
      <c r="E3412" s="11" t="str">
        <f t="shared" si="2"/>
        <v> </v>
      </c>
    </row>
    <row r="3413" ht="15.75" customHeight="1">
      <c r="A3413" s="11">
        <v>14956.0</v>
      </c>
      <c r="B3413" s="11" t="s">
        <v>3436</v>
      </c>
      <c r="C3413" s="12">
        <v>30315.0</v>
      </c>
      <c r="D3413" s="11" t="str">
        <f t="shared" si="1"/>
        <v> </v>
      </c>
      <c r="E3413" s="11" t="str">
        <f t="shared" si="2"/>
        <v> </v>
      </c>
    </row>
    <row r="3414" ht="15.75" customHeight="1">
      <c r="A3414" s="11">
        <v>14957.0</v>
      </c>
      <c r="B3414" s="11" t="s">
        <v>3437</v>
      </c>
      <c r="C3414" s="12">
        <v>20366.0</v>
      </c>
      <c r="D3414" s="11" t="str">
        <f t="shared" si="1"/>
        <v> </v>
      </c>
      <c r="E3414" s="11" t="str">
        <f t="shared" si="2"/>
        <v> </v>
      </c>
    </row>
    <row r="3415" ht="15.75" customHeight="1">
      <c r="A3415" s="11">
        <v>14958.0</v>
      </c>
      <c r="B3415" s="11" t="s">
        <v>3438</v>
      </c>
      <c r="C3415" s="12">
        <v>17756.0</v>
      </c>
      <c r="D3415" s="11" t="str">
        <f t="shared" si="1"/>
        <v> </v>
      </c>
      <c r="E3415" s="11" t="str">
        <f t="shared" si="2"/>
        <v> </v>
      </c>
    </row>
    <row r="3416" ht="15.75" customHeight="1">
      <c r="A3416" s="11">
        <v>14959.0</v>
      </c>
      <c r="B3416" s="11" t="s">
        <v>3439</v>
      </c>
      <c r="C3416" s="12">
        <v>23303.0</v>
      </c>
      <c r="D3416" s="11" t="str">
        <f t="shared" si="1"/>
        <v> </v>
      </c>
      <c r="E3416" s="11" t="str">
        <f t="shared" si="2"/>
        <v> </v>
      </c>
    </row>
    <row r="3417" ht="15.75" customHeight="1">
      <c r="A3417" s="11">
        <v>14960.0</v>
      </c>
      <c r="B3417" s="11" t="s">
        <v>3440</v>
      </c>
      <c r="C3417" s="12">
        <v>15911.0</v>
      </c>
      <c r="D3417" s="11" t="str">
        <f t="shared" si="1"/>
        <v> </v>
      </c>
      <c r="E3417" s="11" t="str">
        <f t="shared" si="2"/>
        <v> </v>
      </c>
    </row>
    <row r="3418" ht="15.75" customHeight="1">
      <c r="A3418" s="11">
        <v>14964.0</v>
      </c>
      <c r="B3418" s="11" t="s">
        <v>3441</v>
      </c>
      <c r="C3418" s="12">
        <v>18825.0</v>
      </c>
      <c r="D3418" s="11" t="str">
        <f t="shared" si="1"/>
        <v> </v>
      </c>
      <c r="E3418" s="11" t="str">
        <f t="shared" si="2"/>
        <v> </v>
      </c>
    </row>
    <row r="3419" ht="15.75" customHeight="1">
      <c r="A3419" s="11">
        <v>14965.0</v>
      </c>
      <c r="B3419" s="11" t="s">
        <v>3442</v>
      </c>
      <c r="C3419" s="12">
        <v>31191.0</v>
      </c>
      <c r="D3419" s="11" t="str">
        <f t="shared" si="1"/>
        <v> </v>
      </c>
      <c r="E3419" s="11" t="str">
        <f t="shared" si="2"/>
        <v> </v>
      </c>
    </row>
    <row r="3420" ht="15.75" customHeight="1">
      <c r="A3420" s="11">
        <v>14966.0</v>
      </c>
      <c r="B3420" s="11" t="s">
        <v>2550</v>
      </c>
      <c r="C3420" s="12">
        <v>21062.0</v>
      </c>
      <c r="D3420" s="11" t="str">
        <f t="shared" si="1"/>
        <v>Repeat</v>
      </c>
      <c r="E3420" s="11" t="str">
        <f t="shared" si="2"/>
        <v> </v>
      </c>
    </row>
    <row r="3421" ht="15.75" customHeight="1">
      <c r="A3421" s="11">
        <v>14967.0</v>
      </c>
      <c r="B3421" s="11" t="s">
        <v>3443</v>
      </c>
      <c r="C3421" s="12">
        <v>26702.0</v>
      </c>
      <c r="D3421" s="11" t="str">
        <f t="shared" si="1"/>
        <v> </v>
      </c>
      <c r="E3421" s="11" t="str">
        <f t="shared" si="2"/>
        <v> </v>
      </c>
    </row>
    <row r="3422" ht="15.75" customHeight="1">
      <c r="A3422" s="11">
        <v>14968.0</v>
      </c>
      <c r="B3422" s="11" t="s">
        <v>3444</v>
      </c>
      <c r="C3422" s="12">
        <v>36041.0</v>
      </c>
      <c r="D3422" s="11" t="str">
        <f t="shared" si="1"/>
        <v> </v>
      </c>
      <c r="E3422" s="11" t="str">
        <f t="shared" si="2"/>
        <v> </v>
      </c>
    </row>
    <row r="3423" ht="15.75" customHeight="1">
      <c r="A3423" s="11">
        <v>14969.0</v>
      </c>
      <c r="B3423" s="11" t="s">
        <v>3445</v>
      </c>
      <c r="C3423" s="12">
        <v>10396.0</v>
      </c>
      <c r="D3423" s="11" t="str">
        <f t="shared" si="1"/>
        <v> </v>
      </c>
      <c r="E3423" s="11" t="str">
        <f t="shared" si="2"/>
        <v> </v>
      </c>
    </row>
    <row r="3424" ht="15.75" customHeight="1">
      <c r="A3424" s="11">
        <v>14971.0</v>
      </c>
      <c r="B3424" s="11" t="s">
        <v>3446</v>
      </c>
      <c r="C3424" s="12">
        <v>19737.0</v>
      </c>
      <c r="D3424" s="11" t="str">
        <f t="shared" si="1"/>
        <v> </v>
      </c>
      <c r="E3424" s="11" t="str">
        <f t="shared" si="2"/>
        <v> </v>
      </c>
    </row>
    <row r="3425" ht="15.75" customHeight="1">
      <c r="A3425" s="11">
        <v>14972.0</v>
      </c>
      <c r="B3425" s="11" t="s">
        <v>3447</v>
      </c>
      <c r="C3425" s="12">
        <v>25152.0</v>
      </c>
      <c r="D3425" s="11" t="str">
        <f t="shared" si="1"/>
        <v> </v>
      </c>
      <c r="E3425" s="11" t="str">
        <f t="shared" si="2"/>
        <v> </v>
      </c>
    </row>
    <row r="3426" ht="15.75" customHeight="1">
      <c r="A3426" s="11">
        <v>14973.0</v>
      </c>
      <c r="B3426" s="11" t="s">
        <v>3448</v>
      </c>
      <c r="C3426" s="12">
        <v>33730.0</v>
      </c>
      <c r="D3426" s="11" t="str">
        <f t="shared" si="1"/>
        <v> </v>
      </c>
      <c r="E3426" s="11" t="str">
        <f t="shared" si="2"/>
        <v> </v>
      </c>
    </row>
    <row r="3427" ht="15.75" customHeight="1">
      <c r="A3427" s="11">
        <v>14974.0</v>
      </c>
      <c r="B3427" s="11" t="s">
        <v>3449</v>
      </c>
      <c r="C3427" s="12">
        <v>19040.0</v>
      </c>
      <c r="D3427" s="11" t="str">
        <f t="shared" si="1"/>
        <v> </v>
      </c>
      <c r="E3427" s="11" t="str">
        <f t="shared" si="2"/>
        <v> </v>
      </c>
    </row>
    <row r="3428" ht="15.75" customHeight="1">
      <c r="A3428" s="11">
        <v>14975.0</v>
      </c>
      <c r="B3428" s="11" t="s">
        <v>3450</v>
      </c>
      <c r="C3428" s="12">
        <v>19824.0</v>
      </c>
      <c r="D3428" s="11" t="str">
        <f t="shared" si="1"/>
        <v> </v>
      </c>
      <c r="E3428" s="11" t="str">
        <f t="shared" si="2"/>
        <v> </v>
      </c>
    </row>
    <row r="3429" ht="15.75" customHeight="1">
      <c r="A3429" s="11">
        <v>14977.0</v>
      </c>
      <c r="B3429" s="11" t="s">
        <v>3451</v>
      </c>
      <c r="C3429" s="12">
        <v>21888.0</v>
      </c>
      <c r="D3429" s="11" t="str">
        <f t="shared" si="1"/>
        <v> </v>
      </c>
      <c r="E3429" s="11" t="str">
        <f t="shared" si="2"/>
        <v> </v>
      </c>
    </row>
    <row r="3430" ht="15.75" customHeight="1">
      <c r="A3430" s="11">
        <v>14978.0</v>
      </c>
      <c r="B3430" s="11" t="s">
        <v>3452</v>
      </c>
      <c r="C3430" s="12">
        <v>22798.0</v>
      </c>
      <c r="D3430" s="11" t="str">
        <f t="shared" si="1"/>
        <v> </v>
      </c>
      <c r="E3430" s="11" t="str">
        <f t="shared" si="2"/>
        <v> </v>
      </c>
    </row>
    <row r="3431" ht="15.75" customHeight="1">
      <c r="A3431" s="11">
        <v>14979.0</v>
      </c>
      <c r="B3431" s="11" t="s">
        <v>3453</v>
      </c>
      <c r="C3431" s="12">
        <v>28912.0</v>
      </c>
      <c r="D3431" s="11" t="str">
        <f t="shared" si="1"/>
        <v> </v>
      </c>
      <c r="E3431" s="11" t="str">
        <f t="shared" si="2"/>
        <v> </v>
      </c>
    </row>
    <row r="3432" ht="15.75" customHeight="1">
      <c r="A3432" s="11">
        <v>14980.0</v>
      </c>
      <c r="B3432" s="11" t="s">
        <v>3454</v>
      </c>
      <c r="C3432" s="12">
        <v>19960.0</v>
      </c>
      <c r="D3432" s="11" t="str">
        <f t="shared" si="1"/>
        <v> </v>
      </c>
      <c r="E3432" s="11" t="str">
        <f t="shared" si="2"/>
        <v> </v>
      </c>
    </row>
    <row r="3433" ht="15.75" customHeight="1">
      <c r="A3433" s="11">
        <v>14981.0</v>
      </c>
      <c r="B3433" s="11" t="s">
        <v>3455</v>
      </c>
      <c r="C3433" s="12">
        <v>11781.0</v>
      </c>
      <c r="D3433" s="11" t="str">
        <f t="shared" si="1"/>
        <v> </v>
      </c>
      <c r="E3433" s="11" t="str">
        <f t="shared" si="2"/>
        <v> </v>
      </c>
    </row>
    <row r="3434" ht="15.75" customHeight="1">
      <c r="A3434" s="11">
        <v>14982.0</v>
      </c>
      <c r="B3434" s="11" t="s">
        <v>3456</v>
      </c>
      <c r="C3434" s="12">
        <v>15634.0</v>
      </c>
      <c r="D3434" s="11" t="str">
        <f t="shared" si="1"/>
        <v> </v>
      </c>
      <c r="E3434" s="11" t="str">
        <f t="shared" si="2"/>
        <v> </v>
      </c>
    </row>
    <row r="3435" ht="15.75" customHeight="1">
      <c r="A3435" s="11">
        <v>14983.0</v>
      </c>
      <c r="B3435" s="11" t="s">
        <v>3457</v>
      </c>
      <c r="C3435" s="12">
        <v>11151.0</v>
      </c>
      <c r="D3435" s="11" t="str">
        <f t="shared" si="1"/>
        <v> </v>
      </c>
      <c r="E3435" s="11" t="str">
        <f t="shared" si="2"/>
        <v> </v>
      </c>
    </row>
    <row r="3436" ht="15.75" customHeight="1">
      <c r="A3436" s="11">
        <v>14984.0</v>
      </c>
      <c r="B3436" s="11" t="s">
        <v>3458</v>
      </c>
      <c r="C3436" s="12">
        <v>36413.0</v>
      </c>
      <c r="D3436" s="11" t="str">
        <f t="shared" si="1"/>
        <v> </v>
      </c>
      <c r="E3436" s="11" t="str">
        <f t="shared" si="2"/>
        <v> </v>
      </c>
    </row>
    <row r="3437" ht="15.75" customHeight="1">
      <c r="A3437" s="11">
        <v>14985.0</v>
      </c>
      <c r="B3437" s="11" t="s">
        <v>3459</v>
      </c>
      <c r="C3437" s="12">
        <v>25658.0</v>
      </c>
      <c r="D3437" s="11" t="str">
        <f t="shared" si="1"/>
        <v> </v>
      </c>
      <c r="E3437" s="11" t="str">
        <f t="shared" si="2"/>
        <v> </v>
      </c>
    </row>
    <row r="3438" ht="15.75" customHeight="1">
      <c r="A3438" s="11">
        <v>14986.0</v>
      </c>
      <c r="B3438" s="11" t="s">
        <v>3460</v>
      </c>
      <c r="C3438" s="12">
        <v>20985.0</v>
      </c>
      <c r="D3438" s="11" t="str">
        <f t="shared" si="1"/>
        <v> </v>
      </c>
      <c r="E3438" s="11" t="str">
        <f t="shared" si="2"/>
        <v> </v>
      </c>
    </row>
    <row r="3439" ht="15.75" customHeight="1">
      <c r="A3439" s="11">
        <v>14987.0</v>
      </c>
      <c r="B3439" s="11" t="s">
        <v>3461</v>
      </c>
      <c r="C3439" s="12">
        <v>27390.0</v>
      </c>
      <c r="D3439" s="11" t="str">
        <f t="shared" si="1"/>
        <v> </v>
      </c>
      <c r="E3439" s="11" t="str">
        <f t="shared" si="2"/>
        <v> </v>
      </c>
    </row>
    <row r="3440" ht="15.75" customHeight="1">
      <c r="A3440" s="11">
        <v>14988.0</v>
      </c>
      <c r="B3440" s="11" t="s">
        <v>3462</v>
      </c>
      <c r="C3440" s="12">
        <v>34444.0</v>
      </c>
      <c r="D3440" s="11" t="str">
        <f t="shared" si="1"/>
        <v> </v>
      </c>
      <c r="E3440" s="11" t="str">
        <f t="shared" si="2"/>
        <v> </v>
      </c>
    </row>
    <row r="3441" ht="15.75" customHeight="1">
      <c r="A3441" s="11">
        <v>14989.0</v>
      </c>
      <c r="B3441" s="11" t="s">
        <v>3463</v>
      </c>
      <c r="C3441" s="12">
        <v>26248.0</v>
      </c>
      <c r="D3441" s="11" t="str">
        <f t="shared" si="1"/>
        <v> </v>
      </c>
      <c r="E3441" s="11" t="str">
        <f t="shared" si="2"/>
        <v> </v>
      </c>
    </row>
    <row r="3442" ht="15.75" customHeight="1">
      <c r="A3442" s="11">
        <v>14990.0</v>
      </c>
      <c r="B3442" s="11" t="s">
        <v>3464</v>
      </c>
      <c r="C3442" s="12">
        <v>28407.0</v>
      </c>
      <c r="D3442" s="11" t="str">
        <f t="shared" si="1"/>
        <v> </v>
      </c>
      <c r="E3442" s="11" t="str">
        <f t="shared" si="2"/>
        <v> </v>
      </c>
    </row>
    <row r="3443" ht="15.75" customHeight="1">
      <c r="A3443" s="11">
        <v>14991.0</v>
      </c>
      <c r="B3443" s="11" t="s">
        <v>3465</v>
      </c>
      <c r="C3443" s="12">
        <v>27452.0</v>
      </c>
      <c r="D3443" s="11" t="str">
        <f t="shared" si="1"/>
        <v> </v>
      </c>
      <c r="E3443" s="11" t="str">
        <f t="shared" si="2"/>
        <v> </v>
      </c>
    </row>
    <row r="3444" ht="15.75" customHeight="1">
      <c r="A3444" s="11">
        <v>14992.0</v>
      </c>
      <c r="B3444" s="11" t="s">
        <v>3466</v>
      </c>
      <c r="C3444" s="12">
        <v>18875.0</v>
      </c>
      <c r="D3444" s="11" t="str">
        <f t="shared" si="1"/>
        <v> </v>
      </c>
      <c r="E3444" s="11" t="str">
        <f t="shared" si="2"/>
        <v> </v>
      </c>
    </row>
    <row r="3445" ht="15.75" customHeight="1">
      <c r="A3445" s="11">
        <v>14993.0</v>
      </c>
      <c r="B3445" s="11" t="s">
        <v>3467</v>
      </c>
      <c r="C3445" s="12">
        <v>29940.0</v>
      </c>
      <c r="D3445" s="11" t="str">
        <f t="shared" si="1"/>
        <v> </v>
      </c>
      <c r="E3445" s="11" t="str">
        <f t="shared" si="2"/>
        <v> </v>
      </c>
    </row>
    <row r="3446" ht="15.75" customHeight="1">
      <c r="A3446" s="11">
        <v>14996.0</v>
      </c>
      <c r="B3446" s="11" t="s">
        <v>3468</v>
      </c>
      <c r="C3446" s="12">
        <v>17990.0</v>
      </c>
      <c r="D3446" s="11" t="str">
        <f t="shared" si="1"/>
        <v> </v>
      </c>
      <c r="E3446" s="11" t="str">
        <f t="shared" si="2"/>
        <v> </v>
      </c>
    </row>
    <row r="3447" ht="15.75" customHeight="1">
      <c r="A3447" s="11">
        <v>14997.0</v>
      </c>
      <c r="B3447" s="11" t="s">
        <v>3469</v>
      </c>
      <c r="C3447" s="12">
        <v>27364.0</v>
      </c>
      <c r="D3447" s="11" t="str">
        <f t="shared" si="1"/>
        <v> </v>
      </c>
      <c r="E3447" s="11" t="str">
        <f t="shared" si="2"/>
        <v> </v>
      </c>
    </row>
    <row r="3448" ht="15.75" customHeight="1">
      <c r="A3448" s="11">
        <v>14999.0</v>
      </c>
      <c r="B3448" s="11" t="s">
        <v>3470</v>
      </c>
      <c r="C3448" s="12">
        <v>31531.0</v>
      </c>
      <c r="D3448" s="11" t="str">
        <f t="shared" si="1"/>
        <v> </v>
      </c>
      <c r="E3448" s="11" t="str">
        <f t="shared" si="2"/>
        <v> </v>
      </c>
    </row>
    <row r="3449" ht="15.75" customHeight="1">
      <c r="A3449" s="11">
        <v>15000.0</v>
      </c>
      <c r="B3449" s="11" t="s">
        <v>3471</v>
      </c>
      <c r="C3449" s="12">
        <v>21890.0</v>
      </c>
      <c r="D3449" s="11" t="str">
        <f t="shared" si="1"/>
        <v> </v>
      </c>
      <c r="E3449" s="11" t="str">
        <f t="shared" si="2"/>
        <v> </v>
      </c>
    </row>
    <row r="3450" ht="15.75" customHeight="1">
      <c r="A3450" s="11">
        <v>15001.0</v>
      </c>
      <c r="B3450" s="11" t="s">
        <v>3472</v>
      </c>
      <c r="C3450" s="12">
        <v>13783.0</v>
      </c>
      <c r="D3450" s="11" t="str">
        <f t="shared" si="1"/>
        <v> </v>
      </c>
      <c r="E3450" s="11" t="str">
        <f t="shared" si="2"/>
        <v> </v>
      </c>
    </row>
    <row r="3451" ht="15.75" customHeight="1">
      <c r="A3451" s="11">
        <v>15002.0</v>
      </c>
      <c r="B3451" s="11" t="s">
        <v>3473</v>
      </c>
      <c r="C3451" s="12">
        <v>21001.0</v>
      </c>
      <c r="D3451" s="11" t="str">
        <f t="shared" si="1"/>
        <v>Repeat</v>
      </c>
      <c r="E3451" s="11" t="str">
        <f t="shared" si="2"/>
        <v> </v>
      </c>
    </row>
    <row r="3452" ht="15.75" customHeight="1">
      <c r="A3452" s="11">
        <v>15003.0</v>
      </c>
      <c r="B3452" s="11" t="s">
        <v>3474</v>
      </c>
      <c r="C3452" s="12">
        <v>15057.0</v>
      </c>
      <c r="D3452" s="11" t="str">
        <f t="shared" si="1"/>
        <v> </v>
      </c>
      <c r="E3452" s="11" t="str">
        <f t="shared" si="2"/>
        <v> </v>
      </c>
    </row>
    <row r="3453" ht="15.75" customHeight="1">
      <c r="A3453" s="11">
        <v>15004.0</v>
      </c>
      <c r="B3453" s="11" t="s">
        <v>3475</v>
      </c>
      <c r="C3453" s="12">
        <v>17702.0</v>
      </c>
      <c r="D3453" s="11" t="str">
        <f t="shared" si="1"/>
        <v> </v>
      </c>
      <c r="E3453" s="11" t="str">
        <f t="shared" si="2"/>
        <v> </v>
      </c>
    </row>
    <row r="3454" ht="15.75" customHeight="1">
      <c r="A3454" s="11">
        <v>15005.0</v>
      </c>
      <c r="B3454" s="11" t="s">
        <v>3476</v>
      </c>
      <c r="C3454" s="12">
        <v>18885.0</v>
      </c>
      <c r="D3454" s="11" t="str">
        <f t="shared" si="1"/>
        <v> </v>
      </c>
      <c r="E3454" s="11" t="str">
        <f t="shared" si="2"/>
        <v> </v>
      </c>
    </row>
    <row r="3455" ht="15.75" customHeight="1">
      <c r="A3455" s="11">
        <v>15008.0</v>
      </c>
      <c r="B3455" s="11" t="s">
        <v>3477</v>
      </c>
      <c r="C3455" s="12">
        <v>33839.0</v>
      </c>
      <c r="D3455" s="11" t="str">
        <f t="shared" si="1"/>
        <v> </v>
      </c>
      <c r="E3455" s="11" t="str">
        <f t="shared" si="2"/>
        <v> </v>
      </c>
    </row>
    <row r="3456" ht="15.75" customHeight="1">
      <c r="A3456" s="11">
        <v>15011.0</v>
      </c>
      <c r="B3456" s="11" t="s">
        <v>3478</v>
      </c>
      <c r="C3456" s="12">
        <v>34392.0</v>
      </c>
      <c r="D3456" s="11" t="str">
        <f t="shared" si="1"/>
        <v> </v>
      </c>
      <c r="E3456" s="11" t="str">
        <f t="shared" si="2"/>
        <v> </v>
      </c>
    </row>
    <row r="3457" ht="15.75" customHeight="1">
      <c r="A3457" s="11">
        <v>15012.0</v>
      </c>
      <c r="B3457" s="11" t="s">
        <v>3479</v>
      </c>
      <c r="C3457" s="12">
        <v>16646.0</v>
      </c>
      <c r="D3457" s="11" t="str">
        <f t="shared" si="1"/>
        <v> </v>
      </c>
      <c r="E3457" s="11" t="str">
        <f t="shared" si="2"/>
        <v> </v>
      </c>
    </row>
    <row r="3458" ht="15.75" customHeight="1">
      <c r="A3458" s="11">
        <v>15013.0</v>
      </c>
      <c r="B3458" s="11" t="s">
        <v>3480</v>
      </c>
      <c r="C3458" s="12">
        <v>35160.0</v>
      </c>
      <c r="D3458" s="11" t="str">
        <f t="shared" si="1"/>
        <v> </v>
      </c>
      <c r="E3458" s="11" t="str">
        <f t="shared" si="2"/>
        <v> </v>
      </c>
    </row>
    <row r="3459" ht="15.75" customHeight="1">
      <c r="A3459" s="11">
        <v>15014.0</v>
      </c>
      <c r="B3459" s="11" t="s">
        <v>3481</v>
      </c>
      <c r="C3459" s="12">
        <v>29405.0</v>
      </c>
      <c r="D3459" s="11" t="str">
        <f t="shared" si="1"/>
        <v> </v>
      </c>
      <c r="E3459" s="11" t="str">
        <f t="shared" si="2"/>
        <v> </v>
      </c>
    </row>
    <row r="3460" ht="15.75" customHeight="1">
      <c r="A3460" s="11">
        <v>15015.0</v>
      </c>
      <c r="B3460" s="11" t="s">
        <v>3482</v>
      </c>
      <c r="C3460" s="12">
        <v>18019.0</v>
      </c>
      <c r="D3460" s="11" t="str">
        <f t="shared" si="1"/>
        <v> </v>
      </c>
      <c r="E3460" s="11" t="str">
        <f t="shared" si="2"/>
        <v> </v>
      </c>
    </row>
    <row r="3461" ht="15.75" customHeight="1">
      <c r="A3461" s="11">
        <v>15016.0</v>
      </c>
      <c r="B3461" s="11" t="s">
        <v>3483</v>
      </c>
      <c r="C3461" s="12">
        <v>21863.0</v>
      </c>
      <c r="D3461" s="11" t="str">
        <f t="shared" si="1"/>
        <v> </v>
      </c>
      <c r="E3461" s="11" t="str">
        <f t="shared" si="2"/>
        <v> </v>
      </c>
    </row>
    <row r="3462" ht="15.75" customHeight="1">
      <c r="A3462" s="11">
        <v>15017.0</v>
      </c>
      <c r="B3462" s="11" t="s">
        <v>3484</v>
      </c>
      <c r="C3462" s="12">
        <v>16600.0</v>
      </c>
      <c r="D3462" s="11" t="str">
        <f t="shared" si="1"/>
        <v> </v>
      </c>
      <c r="E3462" s="11" t="str">
        <f t="shared" si="2"/>
        <v> </v>
      </c>
    </row>
    <row r="3463" ht="15.75" customHeight="1">
      <c r="A3463" s="11">
        <v>15018.0</v>
      </c>
      <c r="B3463" s="11" t="s">
        <v>3485</v>
      </c>
      <c r="C3463" s="12">
        <v>36126.0</v>
      </c>
      <c r="D3463" s="11" t="str">
        <f t="shared" si="1"/>
        <v> </v>
      </c>
      <c r="E3463" s="11" t="str">
        <f t="shared" si="2"/>
        <v> </v>
      </c>
    </row>
    <row r="3464" ht="15.75" customHeight="1">
      <c r="A3464" s="11">
        <v>15019.0</v>
      </c>
      <c r="B3464" s="11" t="s">
        <v>3486</v>
      </c>
      <c r="C3464" s="12">
        <v>17095.0</v>
      </c>
      <c r="D3464" s="11" t="str">
        <f t="shared" si="1"/>
        <v> </v>
      </c>
      <c r="E3464" s="11" t="str">
        <f t="shared" si="2"/>
        <v> </v>
      </c>
    </row>
    <row r="3465" ht="15.75" customHeight="1">
      <c r="A3465" s="11">
        <v>15020.0</v>
      </c>
      <c r="B3465" s="11" t="s">
        <v>3487</v>
      </c>
      <c r="C3465" s="12">
        <v>30728.0</v>
      </c>
      <c r="D3465" s="11" t="str">
        <f t="shared" si="1"/>
        <v> </v>
      </c>
      <c r="E3465" s="11" t="str">
        <f t="shared" si="2"/>
        <v> </v>
      </c>
    </row>
    <row r="3466" ht="15.75" customHeight="1">
      <c r="A3466" s="11">
        <v>15021.0</v>
      </c>
      <c r="B3466" s="11" t="s">
        <v>3488</v>
      </c>
      <c r="C3466" s="12">
        <v>35140.0</v>
      </c>
      <c r="D3466" s="11" t="str">
        <f t="shared" si="1"/>
        <v> </v>
      </c>
      <c r="E3466" s="11" t="str">
        <f t="shared" si="2"/>
        <v> </v>
      </c>
    </row>
    <row r="3467" ht="15.75" customHeight="1">
      <c r="A3467" s="11">
        <v>15022.0</v>
      </c>
      <c r="B3467" s="11" t="s">
        <v>3489</v>
      </c>
      <c r="C3467" s="12">
        <v>24348.0</v>
      </c>
      <c r="D3467" s="11" t="str">
        <f t="shared" si="1"/>
        <v> </v>
      </c>
      <c r="E3467" s="11" t="str">
        <f t="shared" si="2"/>
        <v> </v>
      </c>
    </row>
    <row r="3468" ht="15.75" customHeight="1">
      <c r="A3468" s="11">
        <v>15023.0</v>
      </c>
      <c r="B3468" s="11" t="s">
        <v>3490</v>
      </c>
      <c r="C3468" s="12">
        <v>24210.0</v>
      </c>
      <c r="D3468" s="11" t="str">
        <f t="shared" si="1"/>
        <v> </v>
      </c>
      <c r="E3468" s="11" t="str">
        <f t="shared" si="2"/>
        <v> </v>
      </c>
    </row>
    <row r="3469" ht="15.75" customHeight="1">
      <c r="A3469" s="11">
        <v>15024.0</v>
      </c>
      <c r="B3469" s="11" t="s">
        <v>3491</v>
      </c>
      <c r="C3469" s="12">
        <v>20328.0</v>
      </c>
      <c r="D3469" s="11" t="str">
        <f t="shared" si="1"/>
        <v> </v>
      </c>
      <c r="E3469" s="11" t="str">
        <f t="shared" si="2"/>
        <v> </v>
      </c>
    </row>
    <row r="3470" ht="15.75" customHeight="1">
      <c r="A3470" s="11">
        <v>15025.0</v>
      </c>
      <c r="B3470" s="11" t="s">
        <v>3492</v>
      </c>
      <c r="C3470" s="12">
        <v>28116.0</v>
      </c>
      <c r="D3470" s="11" t="str">
        <f t="shared" si="1"/>
        <v> </v>
      </c>
      <c r="E3470" s="11" t="str">
        <f t="shared" si="2"/>
        <v> </v>
      </c>
    </row>
    <row r="3471" ht="15.75" customHeight="1">
      <c r="A3471" s="11">
        <v>15026.0</v>
      </c>
      <c r="B3471" s="11" t="s">
        <v>3493</v>
      </c>
      <c r="C3471" s="12">
        <v>18304.0</v>
      </c>
      <c r="D3471" s="11" t="str">
        <f t="shared" si="1"/>
        <v> </v>
      </c>
      <c r="E3471" s="11" t="str">
        <f t="shared" si="2"/>
        <v> </v>
      </c>
    </row>
    <row r="3472" ht="15.75" customHeight="1">
      <c r="A3472" s="11">
        <v>15027.0</v>
      </c>
      <c r="B3472" s="11" t="s">
        <v>3494</v>
      </c>
      <c r="C3472" s="12">
        <v>27180.0</v>
      </c>
      <c r="D3472" s="11" t="str">
        <f t="shared" si="1"/>
        <v> </v>
      </c>
      <c r="E3472" s="11" t="str">
        <f t="shared" si="2"/>
        <v> </v>
      </c>
    </row>
    <row r="3473" ht="15.75" customHeight="1">
      <c r="A3473" s="11">
        <v>15029.0</v>
      </c>
      <c r="B3473" s="11" t="s">
        <v>3495</v>
      </c>
      <c r="C3473" s="12">
        <v>12902.0</v>
      </c>
      <c r="D3473" s="11" t="str">
        <f t="shared" si="1"/>
        <v> </v>
      </c>
      <c r="E3473" s="11" t="str">
        <f t="shared" si="2"/>
        <v> </v>
      </c>
    </row>
    <row r="3474" ht="15.75" customHeight="1">
      <c r="A3474" s="11">
        <v>15034.0</v>
      </c>
      <c r="B3474" s="11" t="s">
        <v>3496</v>
      </c>
      <c r="C3474" s="12">
        <v>21077.0</v>
      </c>
      <c r="D3474" s="11" t="str">
        <f t="shared" si="1"/>
        <v> </v>
      </c>
      <c r="E3474" s="11" t="str">
        <f t="shared" si="2"/>
        <v> </v>
      </c>
    </row>
    <row r="3475" ht="15.75" customHeight="1">
      <c r="A3475" s="11">
        <v>15035.0</v>
      </c>
      <c r="B3475" s="11" t="s">
        <v>3497</v>
      </c>
      <c r="C3475" s="12">
        <v>30742.0</v>
      </c>
      <c r="D3475" s="11" t="str">
        <f t="shared" si="1"/>
        <v> </v>
      </c>
      <c r="E3475" s="11" t="str">
        <f t="shared" si="2"/>
        <v> </v>
      </c>
    </row>
    <row r="3476" ht="15.75" customHeight="1">
      <c r="A3476" s="11">
        <v>15037.0</v>
      </c>
      <c r="B3476" s="11" t="s">
        <v>3498</v>
      </c>
      <c r="C3476" s="12">
        <v>33757.0</v>
      </c>
      <c r="D3476" s="11" t="str">
        <f t="shared" si="1"/>
        <v> </v>
      </c>
      <c r="E3476" s="11" t="str">
        <f t="shared" si="2"/>
        <v> </v>
      </c>
    </row>
    <row r="3477" ht="15.75" customHeight="1">
      <c r="A3477" s="11">
        <v>15038.0</v>
      </c>
      <c r="B3477" s="11" t="s">
        <v>3499</v>
      </c>
      <c r="C3477" s="12">
        <v>25266.0</v>
      </c>
      <c r="D3477" s="11" t="str">
        <f t="shared" si="1"/>
        <v> </v>
      </c>
      <c r="E3477" s="11" t="str">
        <f t="shared" si="2"/>
        <v> </v>
      </c>
    </row>
    <row r="3478" ht="15.75" customHeight="1">
      <c r="A3478" s="11">
        <v>15039.0</v>
      </c>
      <c r="B3478" s="11" t="s">
        <v>3500</v>
      </c>
      <c r="C3478" s="12">
        <v>19466.0</v>
      </c>
      <c r="D3478" s="11" t="str">
        <f t="shared" si="1"/>
        <v> </v>
      </c>
      <c r="E3478" s="11" t="str">
        <f t="shared" si="2"/>
        <v> </v>
      </c>
    </row>
    <row r="3479" ht="15.75" customHeight="1">
      <c r="A3479" s="11">
        <v>15040.0</v>
      </c>
      <c r="B3479" s="11" t="s">
        <v>3501</v>
      </c>
      <c r="C3479" s="12">
        <v>19481.0</v>
      </c>
      <c r="D3479" s="11" t="str">
        <f t="shared" si="1"/>
        <v> </v>
      </c>
      <c r="E3479" s="11" t="str">
        <f t="shared" si="2"/>
        <v> </v>
      </c>
    </row>
    <row r="3480" ht="15.75" customHeight="1">
      <c r="A3480" s="11">
        <v>15042.0</v>
      </c>
      <c r="B3480" s="11" t="s">
        <v>3502</v>
      </c>
      <c r="C3480" s="12">
        <v>23157.0</v>
      </c>
      <c r="D3480" s="11" t="str">
        <f t="shared" si="1"/>
        <v> </v>
      </c>
      <c r="E3480" s="11" t="str">
        <f t="shared" si="2"/>
        <v> </v>
      </c>
    </row>
    <row r="3481" ht="15.75" customHeight="1">
      <c r="A3481" s="11">
        <v>15043.0</v>
      </c>
      <c r="B3481" s="11" t="s">
        <v>3503</v>
      </c>
      <c r="C3481" s="12">
        <v>21551.0</v>
      </c>
      <c r="D3481" s="11" t="str">
        <f t="shared" si="1"/>
        <v> </v>
      </c>
      <c r="E3481" s="11" t="str">
        <f t="shared" si="2"/>
        <v> </v>
      </c>
    </row>
    <row r="3482" ht="15.75" customHeight="1">
      <c r="A3482" s="11">
        <v>15044.0</v>
      </c>
      <c r="B3482" s="11" t="s">
        <v>3504</v>
      </c>
      <c r="C3482" s="12">
        <v>21018.0</v>
      </c>
      <c r="D3482" s="11" t="str">
        <f t="shared" si="1"/>
        <v> </v>
      </c>
      <c r="E3482" s="11" t="str">
        <f t="shared" si="2"/>
        <v> </v>
      </c>
    </row>
    <row r="3483" ht="15.75" customHeight="1">
      <c r="A3483" s="11">
        <v>15045.0</v>
      </c>
      <c r="B3483" s="11" t="s">
        <v>3505</v>
      </c>
      <c r="C3483" s="12">
        <v>26844.0</v>
      </c>
      <c r="D3483" s="11" t="str">
        <f t="shared" si="1"/>
        <v> </v>
      </c>
      <c r="E3483" s="11" t="str">
        <f t="shared" si="2"/>
        <v> </v>
      </c>
    </row>
    <row r="3484" ht="15.75" customHeight="1">
      <c r="A3484" s="11">
        <v>15046.0</v>
      </c>
      <c r="B3484" s="11" t="s">
        <v>3506</v>
      </c>
      <c r="C3484" s="12">
        <v>35872.0</v>
      </c>
      <c r="D3484" s="11" t="str">
        <f t="shared" si="1"/>
        <v> </v>
      </c>
      <c r="E3484" s="11" t="str">
        <f t="shared" si="2"/>
        <v> </v>
      </c>
    </row>
    <row r="3485" ht="15.75" customHeight="1">
      <c r="A3485" s="11">
        <v>15047.0</v>
      </c>
      <c r="B3485" s="11" t="s">
        <v>3507</v>
      </c>
      <c r="C3485" s="12">
        <v>22682.0</v>
      </c>
      <c r="D3485" s="11" t="str">
        <f t="shared" si="1"/>
        <v> </v>
      </c>
      <c r="E3485" s="11" t="str">
        <f t="shared" si="2"/>
        <v> </v>
      </c>
    </row>
    <row r="3486" ht="15.75" customHeight="1">
      <c r="A3486" s="11">
        <v>15048.0</v>
      </c>
      <c r="B3486" s="11" t="s">
        <v>3508</v>
      </c>
      <c r="C3486" s="12">
        <v>23185.0</v>
      </c>
      <c r="D3486" s="11" t="str">
        <f t="shared" si="1"/>
        <v> </v>
      </c>
      <c r="E3486" s="11" t="str">
        <f t="shared" si="2"/>
        <v> </v>
      </c>
    </row>
    <row r="3487" ht="15.75" customHeight="1">
      <c r="A3487" s="11">
        <v>15049.0</v>
      </c>
      <c r="B3487" s="11" t="s">
        <v>3509</v>
      </c>
      <c r="C3487" s="12">
        <v>28441.0</v>
      </c>
      <c r="D3487" s="11" t="str">
        <f t="shared" si="1"/>
        <v> </v>
      </c>
      <c r="E3487" s="11" t="str">
        <f t="shared" si="2"/>
        <v> </v>
      </c>
    </row>
    <row r="3488" ht="15.75" customHeight="1">
      <c r="A3488" s="11">
        <v>15050.0</v>
      </c>
      <c r="B3488" s="11" t="s">
        <v>3510</v>
      </c>
      <c r="C3488" s="12">
        <v>17562.0</v>
      </c>
      <c r="D3488" s="11" t="str">
        <f t="shared" si="1"/>
        <v> </v>
      </c>
      <c r="E3488" s="11" t="str">
        <f t="shared" si="2"/>
        <v> </v>
      </c>
    </row>
    <row r="3489" ht="15.75" customHeight="1">
      <c r="A3489" s="11">
        <v>15051.0</v>
      </c>
      <c r="B3489" s="11" t="s">
        <v>3511</v>
      </c>
      <c r="C3489" s="12">
        <v>29267.0</v>
      </c>
      <c r="D3489" s="11" t="str">
        <f t="shared" si="1"/>
        <v> </v>
      </c>
      <c r="E3489" s="11" t="str">
        <f t="shared" si="2"/>
        <v> </v>
      </c>
    </row>
    <row r="3490" ht="15.75" customHeight="1">
      <c r="A3490" s="11">
        <v>15052.0</v>
      </c>
      <c r="B3490" s="11" t="s">
        <v>3512</v>
      </c>
      <c r="C3490" s="12">
        <v>25090.0</v>
      </c>
      <c r="D3490" s="11" t="str">
        <f t="shared" si="1"/>
        <v>Repeat</v>
      </c>
      <c r="E3490" s="11" t="str">
        <f t="shared" si="2"/>
        <v> </v>
      </c>
    </row>
    <row r="3491" ht="15.75" customHeight="1">
      <c r="A3491" s="11">
        <v>15053.0</v>
      </c>
      <c r="B3491" s="11" t="s">
        <v>3513</v>
      </c>
      <c r="C3491" s="12">
        <v>30016.0</v>
      </c>
      <c r="D3491" s="11" t="str">
        <f t="shared" si="1"/>
        <v> </v>
      </c>
      <c r="E3491" s="11" t="str">
        <f t="shared" si="2"/>
        <v> </v>
      </c>
    </row>
    <row r="3492" ht="15.75" customHeight="1">
      <c r="A3492" s="11">
        <v>15055.0</v>
      </c>
      <c r="B3492" s="11" t="s">
        <v>3514</v>
      </c>
      <c r="C3492" s="12">
        <v>19319.0</v>
      </c>
      <c r="D3492" s="11" t="str">
        <f t="shared" si="1"/>
        <v> </v>
      </c>
      <c r="E3492" s="11" t="str">
        <f t="shared" si="2"/>
        <v> </v>
      </c>
    </row>
    <row r="3493" ht="15.75" customHeight="1">
      <c r="A3493" s="11">
        <v>15056.0</v>
      </c>
      <c r="B3493" s="11" t="s">
        <v>3515</v>
      </c>
      <c r="C3493" s="12">
        <v>25150.0</v>
      </c>
      <c r="D3493" s="11" t="str">
        <f t="shared" si="1"/>
        <v> </v>
      </c>
      <c r="E3493" s="11" t="str">
        <f t="shared" si="2"/>
        <v> </v>
      </c>
    </row>
    <row r="3494" ht="15.75" customHeight="1">
      <c r="A3494" s="11">
        <v>15057.0</v>
      </c>
      <c r="B3494" s="11" t="s">
        <v>3516</v>
      </c>
      <c r="C3494" s="12">
        <v>28968.0</v>
      </c>
      <c r="D3494" s="11" t="str">
        <f t="shared" si="1"/>
        <v> </v>
      </c>
      <c r="E3494" s="11" t="str">
        <f t="shared" si="2"/>
        <v> </v>
      </c>
    </row>
    <row r="3495" ht="15.75" customHeight="1">
      <c r="A3495" s="11">
        <v>15058.0</v>
      </c>
      <c r="B3495" s="11" t="s">
        <v>3517</v>
      </c>
      <c r="C3495" s="12">
        <v>17778.0</v>
      </c>
      <c r="D3495" s="11" t="str">
        <f t="shared" si="1"/>
        <v> </v>
      </c>
      <c r="E3495" s="11" t="str">
        <f t="shared" si="2"/>
        <v> </v>
      </c>
    </row>
    <row r="3496" ht="15.75" customHeight="1">
      <c r="A3496" s="11">
        <v>15059.0</v>
      </c>
      <c r="B3496" s="11" t="s">
        <v>3518</v>
      </c>
      <c r="C3496" s="12">
        <v>19432.0</v>
      </c>
      <c r="D3496" s="11" t="str">
        <f t="shared" si="1"/>
        <v> </v>
      </c>
      <c r="E3496" s="11" t="str">
        <f t="shared" si="2"/>
        <v> </v>
      </c>
    </row>
    <row r="3497" ht="15.75" customHeight="1">
      <c r="A3497" s="11">
        <v>15060.0</v>
      </c>
      <c r="B3497" s="11" t="s">
        <v>3519</v>
      </c>
      <c r="C3497" s="12">
        <v>29497.0</v>
      </c>
      <c r="D3497" s="11" t="str">
        <f t="shared" si="1"/>
        <v> </v>
      </c>
      <c r="E3497" s="11" t="str">
        <f t="shared" si="2"/>
        <v> </v>
      </c>
    </row>
    <row r="3498" ht="15.75" customHeight="1">
      <c r="A3498" s="11">
        <v>15061.0</v>
      </c>
      <c r="B3498" s="11" t="s">
        <v>3520</v>
      </c>
      <c r="C3498" s="12">
        <v>18804.0</v>
      </c>
      <c r="D3498" s="11" t="str">
        <f t="shared" si="1"/>
        <v> </v>
      </c>
      <c r="E3498" s="11" t="str">
        <f t="shared" si="2"/>
        <v> </v>
      </c>
    </row>
    <row r="3499" ht="15.75" customHeight="1">
      <c r="A3499" s="11">
        <v>15062.0</v>
      </c>
      <c r="B3499" s="11" t="s">
        <v>3521</v>
      </c>
      <c r="C3499" s="12">
        <v>33154.0</v>
      </c>
      <c r="D3499" s="11" t="str">
        <f t="shared" si="1"/>
        <v> </v>
      </c>
      <c r="E3499" s="11" t="str">
        <f t="shared" si="2"/>
        <v> </v>
      </c>
    </row>
    <row r="3500" ht="15.75" customHeight="1">
      <c r="A3500" s="11">
        <v>15063.0</v>
      </c>
      <c r="B3500" s="11" t="s">
        <v>3522</v>
      </c>
      <c r="C3500" s="12">
        <v>9828.0</v>
      </c>
      <c r="D3500" s="11" t="str">
        <f t="shared" si="1"/>
        <v> </v>
      </c>
      <c r="E3500" s="11" t="str">
        <f t="shared" si="2"/>
        <v> </v>
      </c>
    </row>
    <row r="3501" ht="15.75" customHeight="1">
      <c r="A3501" s="11">
        <v>15064.0</v>
      </c>
      <c r="B3501" s="11" t="s">
        <v>3523</v>
      </c>
      <c r="C3501" s="12">
        <v>21462.0</v>
      </c>
      <c r="D3501" s="11" t="str">
        <f t="shared" si="1"/>
        <v> </v>
      </c>
      <c r="E3501" s="11" t="str">
        <f t="shared" si="2"/>
        <v> </v>
      </c>
    </row>
    <row r="3502" ht="15.75" customHeight="1">
      <c r="A3502" s="11">
        <v>15065.0</v>
      </c>
      <c r="B3502" s="11" t="s">
        <v>3524</v>
      </c>
      <c r="C3502" s="12">
        <v>34048.0</v>
      </c>
      <c r="D3502" s="11" t="str">
        <f t="shared" si="1"/>
        <v> </v>
      </c>
      <c r="E3502" s="11" t="str">
        <f t="shared" si="2"/>
        <v> </v>
      </c>
    </row>
    <row r="3503" ht="15.75" customHeight="1">
      <c r="A3503" s="11">
        <v>15066.0</v>
      </c>
      <c r="B3503" s="11" t="s">
        <v>3525</v>
      </c>
      <c r="C3503" s="12">
        <v>17769.0</v>
      </c>
      <c r="D3503" s="11" t="str">
        <f t="shared" si="1"/>
        <v> </v>
      </c>
      <c r="E3503" s="11" t="str">
        <f t="shared" si="2"/>
        <v> </v>
      </c>
    </row>
    <row r="3504" ht="15.75" customHeight="1">
      <c r="A3504" s="11">
        <v>15067.0</v>
      </c>
      <c r="B3504" s="11" t="s">
        <v>3526</v>
      </c>
      <c r="C3504" s="12">
        <v>25788.0</v>
      </c>
      <c r="D3504" s="11" t="str">
        <f t="shared" si="1"/>
        <v> </v>
      </c>
      <c r="E3504" s="11" t="str">
        <f t="shared" si="2"/>
        <v> </v>
      </c>
    </row>
    <row r="3505" ht="15.75" customHeight="1">
      <c r="A3505" s="11">
        <v>15068.0</v>
      </c>
      <c r="B3505" s="11" t="s">
        <v>3527</v>
      </c>
      <c r="C3505" s="12">
        <v>18271.0</v>
      </c>
      <c r="D3505" s="11" t="str">
        <f t="shared" si="1"/>
        <v> </v>
      </c>
      <c r="E3505" s="11" t="str">
        <f t="shared" si="2"/>
        <v> </v>
      </c>
    </row>
    <row r="3506" ht="15.75" customHeight="1">
      <c r="A3506" s="11">
        <v>15069.0</v>
      </c>
      <c r="B3506" s="11" t="s">
        <v>3528</v>
      </c>
      <c r="C3506" s="12">
        <v>17192.0</v>
      </c>
      <c r="D3506" s="11" t="str">
        <f t="shared" si="1"/>
        <v> </v>
      </c>
      <c r="E3506" s="11" t="str">
        <f t="shared" si="2"/>
        <v> </v>
      </c>
    </row>
    <row r="3507" ht="15.75" customHeight="1">
      <c r="A3507" s="11">
        <v>15071.0</v>
      </c>
      <c r="B3507" s="11" t="s">
        <v>3529</v>
      </c>
      <c r="C3507" s="12">
        <v>20355.0</v>
      </c>
      <c r="D3507" s="11" t="str">
        <f t="shared" si="1"/>
        <v> </v>
      </c>
      <c r="E3507" s="11" t="str">
        <f t="shared" si="2"/>
        <v> </v>
      </c>
    </row>
    <row r="3508" ht="15.75" customHeight="1">
      <c r="A3508" s="11">
        <v>15073.0</v>
      </c>
      <c r="B3508" s="11" t="s">
        <v>3530</v>
      </c>
      <c r="C3508" s="12">
        <v>29933.0</v>
      </c>
      <c r="D3508" s="11" t="str">
        <f t="shared" si="1"/>
        <v> </v>
      </c>
      <c r="E3508" s="11" t="str">
        <f t="shared" si="2"/>
        <v> </v>
      </c>
    </row>
    <row r="3509" ht="15.75" customHeight="1">
      <c r="A3509" s="11">
        <v>15074.0</v>
      </c>
      <c r="B3509" s="11" t="s">
        <v>3531</v>
      </c>
      <c r="C3509" s="12">
        <v>25987.0</v>
      </c>
      <c r="D3509" s="11" t="str">
        <f t="shared" si="1"/>
        <v> </v>
      </c>
      <c r="E3509" s="11" t="str">
        <f t="shared" si="2"/>
        <v> </v>
      </c>
    </row>
    <row r="3510" ht="15.75" customHeight="1">
      <c r="A3510" s="11">
        <v>15075.0</v>
      </c>
      <c r="B3510" s="11" t="s">
        <v>3532</v>
      </c>
      <c r="C3510" s="12">
        <v>19774.0</v>
      </c>
      <c r="D3510" s="11" t="str">
        <f t="shared" si="1"/>
        <v> </v>
      </c>
      <c r="E3510" s="11" t="str">
        <f t="shared" si="2"/>
        <v> </v>
      </c>
    </row>
    <row r="3511" ht="15.75" customHeight="1">
      <c r="A3511" s="11">
        <v>15076.0</v>
      </c>
      <c r="B3511" s="11" t="s">
        <v>3533</v>
      </c>
      <c r="C3511" s="12">
        <v>18452.0</v>
      </c>
      <c r="D3511" s="11" t="str">
        <f t="shared" si="1"/>
        <v> </v>
      </c>
      <c r="E3511" s="11" t="str">
        <f t="shared" si="2"/>
        <v> </v>
      </c>
    </row>
    <row r="3512" ht="15.75" customHeight="1">
      <c r="A3512" s="11">
        <v>15077.0</v>
      </c>
      <c r="B3512" s="11" t="s">
        <v>3534</v>
      </c>
      <c r="C3512" s="12">
        <v>20443.0</v>
      </c>
      <c r="D3512" s="11" t="str">
        <f t="shared" si="1"/>
        <v> </v>
      </c>
      <c r="E3512" s="11" t="str">
        <f t="shared" si="2"/>
        <v> </v>
      </c>
    </row>
    <row r="3513" ht="15.75" customHeight="1">
      <c r="A3513" s="11">
        <v>15078.0</v>
      </c>
      <c r="B3513" s="11" t="s">
        <v>3535</v>
      </c>
      <c r="C3513" s="12">
        <v>15861.0</v>
      </c>
      <c r="D3513" s="11" t="str">
        <f t="shared" si="1"/>
        <v> </v>
      </c>
      <c r="E3513" s="11" t="str">
        <f t="shared" si="2"/>
        <v> </v>
      </c>
    </row>
    <row r="3514" ht="15.75" customHeight="1">
      <c r="A3514" s="11">
        <v>15079.0</v>
      </c>
      <c r="B3514" s="11" t="s">
        <v>3536</v>
      </c>
      <c r="C3514" s="12">
        <v>33486.0</v>
      </c>
      <c r="D3514" s="11" t="str">
        <f t="shared" si="1"/>
        <v> </v>
      </c>
      <c r="E3514" s="11" t="str">
        <f t="shared" si="2"/>
        <v> </v>
      </c>
    </row>
    <row r="3515" ht="15.75" customHeight="1">
      <c r="A3515" s="11">
        <v>15080.0</v>
      </c>
      <c r="B3515" s="11" t="s">
        <v>3537</v>
      </c>
      <c r="C3515" s="12">
        <v>20785.0</v>
      </c>
      <c r="D3515" s="11" t="str">
        <f t="shared" si="1"/>
        <v> </v>
      </c>
      <c r="E3515" s="11" t="str">
        <f t="shared" si="2"/>
        <v> </v>
      </c>
    </row>
    <row r="3516" ht="15.75" customHeight="1">
      <c r="A3516" s="11">
        <v>15081.0</v>
      </c>
      <c r="B3516" s="11" t="s">
        <v>3538</v>
      </c>
      <c r="C3516" s="12">
        <v>22789.0</v>
      </c>
      <c r="D3516" s="11" t="str">
        <f t="shared" si="1"/>
        <v> </v>
      </c>
      <c r="E3516" s="11" t="str">
        <f t="shared" si="2"/>
        <v> </v>
      </c>
    </row>
    <row r="3517" ht="15.75" customHeight="1">
      <c r="A3517" s="11">
        <v>15082.0</v>
      </c>
      <c r="B3517" s="11" t="s">
        <v>3539</v>
      </c>
      <c r="C3517" s="12">
        <v>25570.0</v>
      </c>
      <c r="D3517" s="11" t="str">
        <f t="shared" si="1"/>
        <v> </v>
      </c>
      <c r="E3517" s="11" t="str">
        <f t="shared" si="2"/>
        <v> </v>
      </c>
    </row>
    <row r="3518" ht="15.75" customHeight="1">
      <c r="A3518" s="11">
        <v>15083.0</v>
      </c>
      <c r="B3518" s="11" t="s">
        <v>3540</v>
      </c>
      <c r="C3518" s="12">
        <v>16066.0</v>
      </c>
      <c r="D3518" s="11" t="str">
        <f t="shared" si="1"/>
        <v>Repeat</v>
      </c>
      <c r="E3518" s="11" t="str">
        <f t="shared" si="2"/>
        <v> </v>
      </c>
    </row>
    <row r="3519" ht="15.75" customHeight="1">
      <c r="A3519" s="11">
        <v>15084.0</v>
      </c>
      <c r="B3519" s="11" t="s">
        <v>3541</v>
      </c>
      <c r="C3519" s="12">
        <v>26866.0</v>
      </c>
      <c r="D3519" s="11" t="str">
        <f t="shared" si="1"/>
        <v> </v>
      </c>
      <c r="E3519" s="11" t="str">
        <f t="shared" si="2"/>
        <v> </v>
      </c>
    </row>
    <row r="3520" ht="15.75" customHeight="1">
      <c r="A3520" s="11">
        <v>15085.0</v>
      </c>
      <c r="B3520" s="11" t="s">
        <v>3542</v>
      </c>
      <c r="C3520" s="12">
        <v>14589.0</v>
      </c>
      <c r="D3520" s="11" t="str">
        <f t="shared" si="1"/>
        <v> </v>
      </c>
      <c r="E3520" s="11" t="str">
        <f t="shared" si="2"/>
        <v> </v>
      </c>
    </row>
    <row r="3521" ht="15.75" customHeight="1">
      <c r="A3521" s="11">
        <v>15087.0</v>
      </c>
      <c r="B3521" s="11" t="s">
        <v>3543</v>
      </c>
      <c r="C3521" s="12">
        <v>19663.0</v>
      </c>
      <c r="D3521" s="11" t="str">
        <f t="shared" si="1"/>
        <v> </v>
      </c>
      <c r="E3521" s="11" t="str">
        <f t="shared" si="2"/>
        <v> </v>
      </c>
    </row>
    <row r="3522" ht="15.75" customHeight="1">
      <c r="A3522" s="11">
        <v>15088.0</v>
      </c>
      <c r="B3522" s="11" t="s">
        <v>3544</v>
      </c>
      <c r="C3522" s="12">
        <v>27426.0</v>
      </c>
      <c r="D3522" s="11" t="str">
        <f t="shared" si="1"/>
        <v>Repeat</v>
      </c>
      <c r="E3522" s="11" t="str">
        <f t="shared" si="2"/>
        <v> </v>
      </c>
    </row>
    <row r="3523" ht="15.75" customHeight="1">
      <c r="A3523" s="11">
        <v>15090.0</v>
      </c>
      <c r="B3523" s="11" t="s">
        <v>3545</v>
      </c>
      <c r="C3523" s="12">
        <v>35383.0</v>
      </c>
      <c r="D3523" s="11" t="str">
        <f t="shared" si="1"/>
        <v> </v>
      </c>
      <c r="E3523" s="11" t="str">
        <f t="shared" si="2"/>
        <v> </v>
      </c>
    </row>
    <row r="3524" ht="15.75" customHeight="1">
      <c r="A3524" s="11">
        <v>15091.0</v>
      </c>
      <c r="B3524" s="11" t="s">
        <v>3546</v>
      </c>
      <c r="C3524" s="12">
        <v>18239.0</v>
      </c>
      <c r="D3524" s="11" t="str">
        <f t="shared" si="1"/>
        <v> </v>
      </c>
      <c r="E3524" s="11" t="str">
        <f t="shared" si="2"/>
        <v> </v>
      </c>
    </row>
    <row r="3525" ht="15.75" customHeight="1">
      <c r="A3525" s="11">
        <v>15092.0</v>
      </c>
      <c r="B3525" s="11" t="s">
        <v>3547</v>
      </c>
      <c r="C3525" s="12">
        <v>21711.0</v>
      </c>
      <c r="D3525" s="11" t="str">
        <f t="shared" si="1"/>
        <v> </v>
      </c>
      <c r="E3525" s="11" t="str">
        <f t="shared" si="2"/>
        <v> </v>
      </c>
    </row>
    <row r="3526" ht="15.75" customHeight="1">
      <c r="A3526" s="11">
        <v>15093.0</v>
      </c>
      <c r="B3526" s="11" t="s">
        <v>3548</v>
      </c>
      <c r="C3526" s="12">
        <v>22471.0</v>
      </c>
      <c r="D3526" s="11" t="str">
        <f t="shared" si="1"/>
        <v> </v>
      </c>
      <c r="E3526" s="11" t="str">
        <f t="shared" si="2"/>
        <v> </v>
      </c>
    </row>
    <row r="3527" ht="15.75" customHeight="1">
      <c r="A3527" s="11">
        <v>15094.0</v>
      </c>
      <c r="B3527" s="11" t="s">
        <v>3549</v>
      </c>
      <c r="C3527" s="12">
        <v>30844.0</v>
      </c>
      <c r="D3527" s="11" t="str">
        <f t="shared" si="1"/>
        <v> </v>
      </c>
      <c r="E3527" s="11" t="str">
        <f t="shared" si="2"/>
        <v> </v>
      </c>
    </row>
    <row r="3528" ht="15.75" customHeight="1">
      <c r="A3528" s="11">
        <v>15095.0</v>
      </c>
      <c r="B3528" s="11" t="s">
        <v>3550</v>
      </c>
      <c r="C3528" s="12">
        <v>10932.0</v>
      </c>
      <c r="D3528" s="11" t="str">
        <f t="shared" si="1"/>
        <v> </v>
      </c>
      <c r="E3528" s="11" t="str">
        <f t="shared" si="2"/>
        <v> </v>
      </c>
    </row>
    <row r="3529" ht="15.75" customHeight="1">
      <c r="A3529" s="11">
        <v>15096.0</v>
      </c>
      <c r="B3529" s="11" t="s">
        <v>3551</v>
      </c>
      <c r="C3529" s="12">
        <v>36241.0</v>
      </c>
      <c r="D3529" s="11" t="str">
        <f t="shared" si="1"/>
        <v> </v>
      </c>
      <c r="E3529" s="11" t="str">
        <f t="shared" si="2"/>
        <v> </v>
      </c>
    </row>
    <row r="3530" ht="15.75" customHeight="1">
      <c r="A3530" s="11">
        <v>15097.0</v>
      </c>
      <c r="B3530" s="11" t="s">
        <v>3552</v>
      </c>
      <c r="C3530" s="12">
        <v>35193.0</v>
      </c>
      <c r="D3530" s="11" t="str">
        <f t="shared" si="1"/>
        <v> </v>
      </c>
      <c r="E3530" s="11" t="str">
        <f t="shared" si="2"/>
        <v> </v>
      </c>
    </row>
    <row r="3531" ht="15.75" customHeight="1">
      <c r="A3531" s="11">
        <v>15098.0</v>
      </c>
      <c r="B3531" s="11" t="s">
        <v>3553</v>
      </c>
      <c r="C3531" s="12">
        <v>26742.0</v>
      </c>
      <c r="D3531" s="11" t="str">
        <f t="shared" si="1"/>
        <v> </v>
      </c>
      <c r="E3531" s="11" t="str">
        <f t="shared" si="2"/>
        <v> </v>
      </c>
    </row>
    <row r="3532" ht="15.75" customHeight="1">
      <c r="A3532" s="11">
        <v>15099.0</v>
      </c>
      <c r="B3532" s="11" t="s">
        <v>3554</v>
      </c>
      <c r="C3532" s="12">
        <v>23505.0</v>
      </c>
      <c r="D3532" s="11" t="str">
        <f t="shared" si="1"/>
        <v> </v>
      </c>
      <c r="E3532" s="11" t="str">
        <f t="shared" si="2"/>
        <v> </v>
      </c>
    </row>
    <row r="3533" ht="15.75" customHeight="1">
      <c r="A3533" s="11">
        <v>15100.0</v>
      </c>
      <c r="B3533" s="11" t="s">
        <v>3555</v>
      </c>
      <c r="C3533" s="12">
        <v>17562.0</v>
      </c>
      <c r="D3533" s="11" t="str">
        <f t="shared" si="1"/>
        <v> </v>
      </c>
      <c r="E3533" s="11" t="str">
        <f t="shared" si="2"/>
        <v> </v>
      </c>
    </row>
    <row r="3534" ht="15.75" customHeight="1">
      <c r="A3534" s="11">
        <v>15101.0</v>
      </c>
      <c r="B3534" s="11" t="s">
        <v>3556</v>
      </c>
      <c r="C3534" s="12">
        <v>34394.0</v>
      </c>
      <c r="D3534" s="11" t="str">
        <f t="shared" si="1"/>
        <v> </v>
      </c>
      <c r="E3534" s="11" t="str">
        <f t="shared" si="2"/>
        <v> </v>
      </c>
    </row>
    <row r="3535" ht="15.75" customHeight="1">
      <c r="A3535" s="11">
        <v>15102.0</v>
      </c>
      <c r="B3535" s="11" t="s">
        <v>3557</v>
      </c>
      <c r="C3535" s="12">
        <v>24527.0</v>
      </c>
      <c r="D3535" s="11" t="str">
        <f t="shared" si="1"/>
        <v> </v>
      </c>
      <c r="E3535" s="11" t="str">
        <f t="shared" si="2"/>
        <v> </v>
      </c>
    </row>
    <row r="3536" ht="15.75" customHeight="1">
      <c r="A3536" s="11">
        <v>15103.0</v>
      </c>
      <c r="B3536" s="11" t="s">
        <v>3558</v>
      </c>
      <c r="C3536" s="12">
        <v>23762.0</v>
      </c>
      <c r="D3536" s="11" t="str">
        <f t="shared" si="1"/>
        <v> </v>
      </c>
      <c r="E3536" s="11" t="str">
        <f t="shared" si="2"/>
        <v> </v>
      </c>
    </row>
    <row r="3537" ht="15.75" customHeight="1">
      <c r="A3537" s="11">
        <v>15104.0</v>
      </c>
      <c r="B3537" s="11" t="s">
        <v>3559</v>
      </c>
      <c r="C3537" s="12">
        <v>11623.0</v>
      </c>
      <c r="D3537" s="11" t="str">
        <f t="shared" si="1"/>
        <v> </v>
      </c>
      <c r="E3537" s="11" t="str">
        <f t="shared" si="2"/>
        <v> </v>
      </c>
    </row>
    <row r="3538" ht="15.75" customHeight="1">
      <c r="A3538" s="11">
        <v>15105.0</v>
      </c>
      <c r="B3538" s="11" t="s">
        <v>3560</v>
      </c>
      <c r="C3538" s="12">
        <v>26615.0</v>
      </c>
      <c r="D3538" s="11" t="str">
        <f t="shared" si="1"/>
        <v> </v>
      </c>
      <c r="E3538" s="11" t="str">
        <f t="shared" si="2"/>
        <v> </v>
      </c>
    </row>
    <row r="3539" ht="15.75" customHeight="1">
      <c r="A3539" s="11">
        <v>15106.0</v>
      </c>
      <c r="B3539" s="11" t="s">
        <v>3561</v>
      </c>
      <c r="C3539" s="12">
        <v>28454.0</v>
      </c>
      <c r="D3539" s="11" t="str">
        <f t="shared" si="1"/>
        <v> </v>
      </c>
      <c r="E3539" s="11" t="str">
        <f t="shared" si="2"/>
        <v> </v>
      </c>
    </row>
    <row r="3540" ht="15.75" customHeight="1">
      <c r="A3540" s="11">
        <v>15107.0</v>
      </c>
      <c r="B3540" s="11" t="s">
        <v>3562</v>
      </c>
      <c r="C3540" s="12">
        <v>21881.0</v>
      </c>
      <c r="D3540" s="11" t="str">
        <f t="shared" si="1"/>
        <v> </v>
      </c>
      <c r="E3540" s="11" t="str">
        <f t="shared" si="2"/>
        <v> </v>
      </c>
    </row>
    <row r="3541" ht="15.75" customHeight="1">
      <c r="A3541" s="11">
        <v>15108.0</v>
      </c>
      <c r="B3541" s="11" t="s">
        <v>3563</v>
      </c>
      <c r="C3541" s="12">
        <v>18112.0</v>
      </c>
      <c r="D3541" s="11" t="str">
        <f t="shared" si="1"/>
        <v> </v>
      </c>
      <c r="E3541" s="11" t="str">
        <f t="shared" si="2"/>
        <v> </v>
      </c>
    </row>
    <row r="3542" ht="15.75" customHeight="1">
      <c r="A3542" s="11">
        <v>15109.0</v>
      </c>
      <c r="B3542" s="11" t="s">
        <v>3564</v>
      </c>
      <c r="C3542" s="12">
        <v>32778.0</v>
      </c>
      <c r="D3542" s="11" t="str">
        <f t="shared" si="1"/>
        <v> </v>
      </c>
      <c r="E3542" s="11" t="str">
        <f t="shared" si="2"/>
        <v> </v>
      </c>
    </row>
    <row r="3543" ht="15.75" customHeight="1">
      <c r="A3543" s="11">
        <v>15110.0</v>
      </c>
      <c r="B3543" s="11" t="s">
        <v>3565</v>
      </c>
      <c r="C3543" s="12">
        <v>33816.0</v>
      </c>
      <c r="D3543" s="11" t="str">
        <f t="shared" si="1"/>
        <v> </v>
      </c>
      <c r="E3543" s="11" t="str">
        <f t="shared" si="2"/>
        <v> </v>
      </c>
    </row>
    <row r="3544" ht="15.75" customHeight="1">
      <c r="A3544" s="11">
        <v>15111.0</v>
      </c>
      <c r="B3544" s="11" t="s">
        <v>3566</v>
      </c>
      <c r="C3544" s="12">
        <v>30071.0</v>
      </c>
      <c r="D3544" s="11" t="str">
        <f t="shared" si="1"/>
        <v> </v>
      </c>
      <c r="E3544" s="11" t="str">
        <f t="shared" si="2"/>
        <v> </v>
      </c>
    </row>
    <row r="3545" ht="15.75" customHeight="1">
      <c r="A3545" s="11">
        <v>15112.0</v>
      </c>
      <c r="B3545" s="11" t="s">
        <v>3567</v>
      </c>
      <c r="C3545" s="12">
        <v>29153.0</v>
      </c>
      <c r="D3545" s="11" t="str">
        <f t="shared" si="1"/>
        <v> </v>
      </c>
      <c r="E3545" s="11" t="str">
        <f t="shared" si="2"/>
        <v> </v>
      </c>
    </row>
    <row r="3546" ht="15.75" customHeight="1">
      <c r="A3546" s="11">
        <v>15113.0</v>
      </c>
      <c r="B3546" s="11" t="s">
        <v>3568</v>
      </c>
      <c r="C3546" s="12">
        <v>34010.0</v>
      </c>
      <c r="D3546" s="11" t="str">
        <f t="shared" si="1"/>
        <v> </v>
      </c>
      <c r="E3546" s="11" t="str">
        <f t="shared" si="2"/>
        <v> </v>
      </c>
    </row>
    <row r="3547" ht="15.75" customHeight="1">
      <c r="A3547" s="11">
        <v>15114.0</v>
      </c>
      <c r="B3547" s="11" t="s">
        <v>3569</v>
      </c>
      <c r="C3547" s="12">
        <v>19454.0</v>
      </c>
      <c r="D3547" s="11" t="str">
        <f t="shared" si="1"/>
        <v> </v>
      </c>
      <c r="E3547" s="11" t="str">
        <f t="shared" si="2"/>
        <v> </v>
      </c>
    </row>
    <row r="3548" ht="15.75" customHeight="1">
      <c r="A3548" s="11">
        <v>15115.0</v>
      </c>
      <c r="B3548" s="11" t="s">
        <v>3570</v>
      </c>
      <c r="C3548" s="12">
        <v>30448.0</v>
      </c>
      <c r="D3548" s="11" t="str">
        <f t="shared" si="1"/>
        <v> </v>
      </c>
      <c r="E3548" s="11" t="str">
        <f t="shared" si="2"/>
        <v> </v>
      </c>
    </row>
    <row r="3549" ht="15.75" customHeight="1">
      <c r="A3549" s="11">
        <v>15117.0</v>
      </c>
      <c r="B3549" s="11" t="s">
        <v>3571</v>
      </c>
      <c r="C3549" s="12">
        <v>26375.0</v>
      </c>
      <c r="D3549" s="11" t="str">
        <f t="shared" si="1"/>
        <v> </v>
      </c>
      <c r="E3549" s="11" t="str">
        <f t="shared" si="2"/>
        <v> </v>
      </c>
    </row>
    <row r="3550" ht="15.75" customHeight="1">
      <c r="A3550" s="11">
        <v>15118.0</v>
      </c>
      <c r="B3550" s="11" t="s">
        <v>3572</v>
      </c>
      <c r="C3550" s="12">
        <v>24775.0</v>
      </c>
      <c r="D3550" s="11" t="str">
        <f t="shared" si="1"/>
        <v> </v>
      </c>
      <c r="E3550" s="11" t="str">
        <f t="shared" si="2"/>
        <v> </v>
      </c>
    </row>
    <row r="3551" ht="15.75" customHeight="1">
      <c r="A3551" s="11">
        <v>15119.0</v>
      </c>
      <c r="B3551" s="11" t="s">
        <v>3573</v>
      </c>
      <c r="C3551" s="12">
        <v>19946.0</v>
      </c>
      <c r="D3551" s="11" t="str">
        <f t="shared" si="1"/>
        <v> </v>
      </c>
      <c r="E3551" s="11" t="str">
        <f t="shared" si="2"/>
        <v> </v>
      </c>
    </row>
    <row r="3552" ht="15.75" customHeight="1">
      <c r="A3552" s="11">
        <v>15120.0</v>
      </c>
      <c r="B3552" s="11" t="s">
        <v>3574</v>
      </c>
      <c r="C3552" s="12">
        <v>12927.0</v>
      </c>
      <c r="D3552" s="11" t="str">
        <f t="shared" si="1"/>
        <v> </v>
      </c>
      <c r="E3552" s="11" t="str">
        <f t="shared" si="2"/>
        <v> </v>
      </c>
    </row>
    <row r="3553" ht="15.75" customHeight="1">
      <c r="A3553" s="11">
        <v>15121.0</v>
      </c>
      <c r="B3553" s="11" t="s">
        <v>3575</v>
      </c>
      <c r="C3553" s="12">
        <v>19974.0</v>
      </c>
      <c r="D3553" s="11" t="str">
        <f t="shared" si="1"/>
        <v> </v>
      </c>
      <c r="E3553" s="11" t="str">
        <f t="shared" si="2"/>
        <v> </v>
      </c>
    </row>
    <row r="3554" ht="15.75" customHeight="1">
      <c r="A3554" s="11">
        <v>15123.0</v>
      </c>
      <c r="B3554" s="11" t="s">
        <v>3576</v>
      </c>
      <c r="C3554" s="12">
        <v>26017.0</v>
      </c>
      <c r="D3554" s="11" t="str">
        <f t="shared" si="1"/>
        <v> </v>
      </c>
      <c r="E3554" s="11" t="str">
        <f t="shared" si="2"/>
        <v> </v>
      </c>
    </row>
    <row r="3555" ht="15.75" customHeight="1">
      <c r="A3555" s="11">
        <v>15125.0</v>
      </c>
      <c r="B3555" s="11" t="s">
        <v>3577</v>
      </c>
      <c r="C3555" s="12">
        <v>10171.0</v>
      </c>
      <c r="D3555" s="11" t="str">
        <f t="shared" si="1"/>
        <v> </v>
      </c>
      <c r="E3555" s="11" t="str">
        <f t="shared" si="2"/>
        <v> </v>
      </c>
    </row>
    <row r="3556" ht="15.75" customHeight="1">
      <c r="A3556" s="11">
        <v>15126.0</v>
      </c>
      <c r="B3556" s="11" t="s">
        <v>3578</v>
      </c>
      <c r="C3556" s="12">
        <v>23561.0</v>
      </c>
      <c r="D3556" s="11" t="str">
        <f t="shared" si="1"/>
        <v> </v>
      </c>
      <c r="E3556" s="11" t="str">
        <f t="shared" si="2"/>
        <v> </v>
      </c>
    </row>
    <row r="3557" ht="15.75" customHeight="1">
      <c r="A3557" s="11">
        <v>15127.0</v>
      </c>
      <c r="B3557" s="11" t="s">
        <v>3579</v>
      </c>
      <c r="C3557" s="12">
        <v>33993.0</v>
      </c>
      <c r="D3557" s="11" t="str">
        <f t="shared" si="1"/>
        <v> </v>
      </c>
      <c r="E3557" s="11" t="str">
        <f t="shared" si="2"/>
        <v> </v>
      </c>
    </row>
    <row r="3558" ht="15.75" customHeight="1">
      <c r="A3558" s="11">
        <v>15128.0</v>
      </c>
      <c r="B3558" s="11" t="s">
        <v>3580</v>
      </c>
      <c r="C3558" s="12">
        <v>18665.0</v>
      </c>
      <c r="D3558" s="11" t="str">
        <f t="shared" si="1"/>
        <v>Repeat</v>
      </c>
      <c r="E3558" s="11" t="str">
        <f t="shared" si="2"/>
        <v> </v>
      </c>
    </row>
    <row r="3559" ht="15.75" customHeight="1">
      <c r="A3559" s="11">
        <v>15129.0</v>
      </c>
      <c r="B3559" s="11" t="s">
        <v>3581</v>
      </c>
      <c r="C3559" s="12">
        <v>22829.0</v>
      </c>
      <c r="D3559" s="11" t="str">
        <f t="shared" si="1"/>
        <v> </v>
      </c>
      <c r="E3559" s="11" t="str">
        <f t="shared" si="2"/>
        <v> </v>
      </c>
    </row>
    <row r="3560" ht="15.75" customHeight="1">
      <c r="A3560" s="11">
        <v>15130.0</v>
      </c>
      <c r="B3560" s="11" t="s">
        <v>3582</v>
      </c>
      <c r="C3560" s="12">
        <v>28071.0</v>
      </c>
      <c r="D3560" s="11" t="str">
        <f t="shared" si="1"/>
        <v> </v>
      </c>
      <c r="E3560" s="11" t="str">
        <f t="shared" si="2"/>
        <v> </v>
      </c>
    </row>
    <row r="3561" ht="15.75" customHeight="1">
      <c r="A3561" s="11">
        <v>15131.0</v>
      </c>
      <c r="B3561" s="11" t="s">
        <v>3583</v>
      </c>
      <c r="C3561" s="12">
        <v>30469.0</v>
      </c>
      <c r="D3561" s="11" t="str">
        <f t="shared" si="1"/>
        <v> </v>
      </c>
      <c r="E3561" s="11" t="str">
        <f t="shared" si="2"/>
        <v> </v>
      </c>
    </row>
    <row r="3562" ht="15.75" customHeight="1">
      <c r="A3562" s="11">
        <v>15132.0</v>
      </c>
      <c r="B3562" s="11" t="s">
        <v>3584</v>
      </c>
      <c r="C3562" s="12">
        <v>24767.0</v>
      </c>
      <c r="D3562" s="11" t="str">
        <f t="shared" si="1"/>
        <v> </v>
      </c>
      <c r="E3562" s="11" t="str">
        <f t="shared" si="2"/>
        <v> </v>
      </c>
    </row>
    <row r="3563" ht="15.75" customHeight="1">
      <c r="A3563" s="11">
        <v>15137.0</v>
      </c>
      <c r="B3563" s="11" t="s">
        <v>3585</v>
      </c>
      <c r="C3563" s="12">
        <v>23319.0</v>
      </c>
      <c r="D3563" s="11" t="str">
        <f t="shared" si="1"/>
        <v> </v>
      </c>
      <c r="E3563" s="11" t="str">
        <f t="shared" si="2"/>
        <v> </v>
      </c>
    </row>
    <row r="3564" ht="15.75" customHeight="1">
      <c r="A3564" s="11">
        <v>15138.0</v>
      </c>
      <c r="B3564" s="11" t="s">
        <v>3586</v>
      </c>
      <c r="C3564" s="12">
        <v>29708.0</v>
      </c>
      <c r="D3564" s="11" t="str">
        <f t="shared" si="1"/>
        <v> </v>
      </c>
      <c r="E3564" s="11" t="str">
        <f t="shared" si="2"/>
        <v> </v>
      </c>
    </row>
    <row r="3565" ht="15.75" customHeight="1">
      <c r="A3565" s="11">
        <v>15140.0</v>
      </c>
      <c r="B3565" s="11" t="s">
        <v>3587</v>
      </c>
      <c r="C3565" s="12">
        <v>33545.0</v>
      </c>
      <c r="D3565" s="11" t="str">
        <f t="shared" si="1"/>
        <v> </v>
      </c>
      <c r="E3565" s="11" t="str">
        <f t="shared" si="2"/>
        <v> </v>
      </c>
    </row>
    <row r="3566" ht="15.75" customHeight="1">
      <c r="A3566" s="11">
        <v>15141.0</v>
      </c>
      <c r="B3566" s="11" t="s">
        <v>3588</v>
      </c>
      <c r="C3566" s="12">
        <v>36144.0</v>
      </c>
      <c r="D3566" s="11" t="str">
        <f t="shared" si="1"/>
        <v> </v>
      </c>
      <c r="E3566" s="11" t="str">
        <f t="shared" si="2"/>
        <v> </v>
      </c>
    </row>
    <row r="3567" ht="15.75" customHeight="1">
      <c r="A3567" s="11">
        <v>15142.0</v>
      </c>
      <c r="B3567" s="11" t="s">
        <v>3589</v>
      </c>
      <c r="C3567" s="12">
        <v>18887.0</v>
      </c>
      <c r="D3567" s="11" t="str">
        <f t="shared" si="1"/>
        <v> </v>
      </c>
      <c r="E3567" s="11" t="str">
        <f t="shared" si="2"/>
        <v> </v>
      </c>
    </row>
    <row r="3568" ht="15.75" customHeight="1">
      <c r="A3568" s="11">
        <v>15143.0</v>
      </c>
      <c r="B3568" s="11" t="s">
        <v>3590</v>
      </c>
      <c r="C3568" s="12">
        <v>32861.0</v>
      </c>
      <c r="D3568" s="11" t="str">
        <f t="shared" si="1"/>
        <v> </v>
      </c>
      <c r="E3568" s="11" t="str">
        <f t="shared" si="2"/>
        <v> </v>
      </c>
    </row>
    <row r="3569" ht="15.75" customHeight="1">
      <c r="A3569" s="11">
        <v>15144.0</v>
      </c>
      <c r="B3569" s="11" t="s">
        <v>3591</v>
      </c>
      <c r="C3569" s="12">
        <v>24423.0</v>
      </c>
      <c r="D3569" s="11" t="str">
        <f t="shared" si="1"/>
        <v> </v>
      </c>
      <c r="E3569" s="11" t="str">
        <f t="shared" si="2"/>
        <v> </v>
      </c>
    </row>
    <row r="3570" ht="15.75" customHeight="1">
      <c r="A3570" s="11">
        <v>15145.0</v>
      </c>
      <c r="B3570" s="11" t="s">
        <v>3592</v>
      </c>
      <c r="C3570" s="12">
        <v>18524.0</v>
      </c>
      <c r="D3570" s="11" t="str">
        <f t="shared" si="1"/>
        <v> </v>
      </c>
      <c r="E3570" s="11" t="str">
        <f t="shared" si="2"/>
        <v> </v>
      </c>
    </row>
    <row r="3571" ht="15.75" customHeight="1">
      <c r="A3571" s="11">
        <v>15146.0</v>
      </c>
      <c r="B3571" s="11" t="s">
        <v>3593</v>
      </c>
      <c r="C3571" s="12">
        <v>23030.0</v>
      </c>
      <c r="D3571" s="11" t="str">
        <f t="shared" si="1"/>
        <v> </v>
      </c>
      <c r="E3571" s="11" t="str">
        <f t="shared" si="2"/>
        <v> </v>
      </c>
    </row>
    <row r="3572" ht="15.75" customHeight="1">
      <c r="A3572" s="11">
        <v>15147.0</v>
      </c>
      <c r="B3572" s="11" t="s">
        <v>3594</v>
      </c>
      <c r="C3572" s="12">
        <v>27417.0</v>
      </c>
      <c r="D3572" s="11" t="str">
        <f t="shared" si="1"/>
        <v> </v>
      </c>
      <c r="E3572" s="11" t="str">
        <f t="shared" si="2"/>
        <v> </v>
      </c>
    </row>
    <row r="3573" ht="15.75" customHeight="1">
      <c r="A3573" s="11">
        <v>15148.0</v>
      </c>
      <c r="B3573" s="11" t="s">
        <v>3595</v>
      </c>
      <c r="C3573" s="12">
        <v>30621.0</v>
      </c>
      <c r="D3573" s="11" t="str">
        <f t="shared" si="1"/>
        <v> </v>
      </c>
      <c r="E3573" s="11" t="str">
        <f t="shared" si="2"/>
        <v> </v>
      </c>
    </row>
    <row r="3574" ht="15.75" customHeight="1">
      <c r="A3574" s="11">
        <v>15149.0</v>
      </c>
      <c r="B3574" s="11" t="s">
        <v>3596</v>
      </c>
      <c r="C3574" s="12">
        <v>23656.0</v>
      </c>
      <c r="D3574" s="11" t="str">
        <f t="shared" si="1"/>
        <v> </v>
      </c>
      <c r="E3574" s="11" t="str">
        <f t="shared" si="2"/>
        <v> </v>
      </c>
    </row>
    <row r="3575" ht="15.75" customHeight="1">
      <c r="A3575" s="11">
        <v>15151.0</v>
      </c>
      <c r="B3575" s="11" t="s">
        <v>3597</v>
      </c>
      <c r="C3575" s="12">
        <v>30503.0</v>
      </c>
      <c r="D3575" s="11" t="str">
        <f t="shared" si="1"/>
        <v> </v>
      </c>
      <c r="E3575" s="11" t="str">
        <f t="shared" si="2"/>
        <v> </v>
      </c>
    </row>
    <row r="3576" ht="15.75" customHeight="1">
      <c r="A3576" s="11">
        <v>15152.0</v>
      </c>
      <c r="B3576" s="11" t="s">
        <v>3598</v>
      </c>
      <c r="C3576" s="12">
        <v>26794.0</v>
      </c>
      <c r="D3576" s="11" t="str">
        <f t="shared" si="1"/>
        <v>Repeat</v>
      </c>
      <c r="E3576" s="11" t="str">
        <f t="shared" si="2"/>
        <v> </v>
      </c>
    </row>
    <row r="3577" ht="15.75" customHeight="1">
      <c r="A3577" s="11">
        <v>15154.0</v>
      </c>
      <c r="B3577" s="11" t="s">
        <v>3599</v>
      </c>
      <c r="C3577" s="12">
        <v>19976.0</v>
      </c>
      <c r="D3577" s="11" t="str">
        <f t="shared" si="1"/>
        <v> </v>
      </c>
      <c r="E3577" s="11" t="str">
        <f t="shared" si="2"/>
        <v> </v>
      </c>
    </row>
    <row r="3578" ht="15.75" customHeight="1">
      <c r="A3578" s="11">
        <v>15155.0</v>
      </c>
      <c r="B3578" s="11" t="s">
        <v>3600</v>
      </c>
      <c r="C3578" s="12">
        <v>20282.0</v>
      </c>
      <c r="D3578" s="11" t="str">
        <f t="shared" si="1"/>
        <v> </v>
      </c>
      <c r="E3578" s="11" t="str">
        <f t="shared" si="2"/>
        <v> </v>
      </c>
    </row>
    <row r="3579" ht="15.75" customHeight="1">
      <c r="A3579" s="11">
        <v>15157.0</v>
      </c>
      <c r="B3579" s="11" t="s">
        <v>3601</v>
      </c>
      <c r="C3579" s="12">
        <v>30883.0</v>
      </c>
      <c r="D3579" s="11" t="str">
        <f t="shared" si="1"/>
        <v>Repeat</v>
      </c>
      <c r="E3579" s="11" t="str">
        <f t="shared" si="2"/>
        <v> </v>
      </c>
    </row>
    <row r="3580" ht="15.75" customHeight="1">
      <c r="A3580" s="11">
        <v>15158.0</v>
      </c>
      <c r="B3580" s="11" t="s">
        <v>3602</v>
      </c>
      <c r="C3580" s="12">
        <v>22150.0</v>
      </c>
      <c r="D3580" s="11" t="str">
        <f t="shared" si="1"/>
        <v> </v>
      </c>
      <c r="E3580" s="11" t="str">
        <f t="shared" si="2"/>
        <v> </v>
      </c>
    </row>
    <row r="3581" ht="15.75" customHeight="1">
      <c r="A3581" s="11">
        <v>15159.0</v>
      </c>
      <c r="B3581" s="11" t="s">
        <v>3603</v>
      </c>
      <c r="C3581" s="12">
        <v>18926.0</v>
      </c>
      <c r="D3581" s="11" t="str">
        <f t="shared" si="1"/>
        <v> </v>
      </c>
      <c r="E3581" s="11" t="str">
        <f t="shared" si="2"/>
        <v> </v>
      </c>
    </row>
    <row r="3582" ht="15.75" customHeight="1">
      <c r="A3582" s="11">
        <v>15160.0</v>
      </c>
      <c r="B3582" s="11" t="s">
        <v>3604</v>
      </c>
      <c r="C3582" s="12">
        <v>29365.0</v>
      </c>
      <c r="D3582" s="11" t="str">
        <f t="shared" si="1"/>
        <v> </v>
      </c>
      <c r="E3582" s="11" t="str">
        <f t="shared" si="2"/>
        <v> </v>
      </c>
    </row>
    <row r="3583" ht="15.75" customHeight="1">
      <c r="A3583" s="11">
        <v>15161.0</v>
      </c>
      <c r="B3583" s="11" t="s">
        <v>3605</v>
      </c>
      <c r="C3583" s="12">
        <v>20281.0</v>
      </c>
      <c r="D3583" s="11" t="str">
        <f t="shared" si="1"/>
        <v> </v>
      </c>
      <c r="E3583" s="11" t="str">
        <f t="shared" si="2"/>
        <v> </v>
      </c>
    </row>
    <row r="3584" ht="15.75" customHeight="1">
      <c r="A3584" s="11">
        <v>15162.0</v>
      </c>
      <c r="B3584" s="11" t="s">
        <v>3606</v>
      </c>
      <c r="C3584" s="12">
        <v>27500.0</v>
      </c>
      <c r="D3584" s="11" t="str">
        <f t="shared" si="1"/>
        <v> </v>
      </c>
      <c r="E3584" s="11" t="str">
        <f t="shared" si="2"/>
        <v> </v>
      </c>
    </row>
    <row r="3585" ht="15.75" customHeight="1">
      <c r="A3585" s="11">
        <v>15163.0</v>
      </c>
      <c r="B3585" s="11" t="s">
        <v>3607</v>
      </c>
      <c r="C3585" s="12">
        <v>17848.0</v>
      </c>
      <c r="D3585" s="11" t="str">
        <f t="shared" si="1"/>
        <v> </v>
      </c>
      <c r="E3585" s="11" t="str">
        <f t="shared" si="2"/>
        <v> </v>
      </c>
    </row>
    <row r="3586" ht="15.75" customHeight="1">
      <c r="A3586" s="11">
        <v>15165.0</v>
      </c>
      <c r="B3586" s="11" t="s">
        <v>3608</v>
      </c>
      <c r="C3586" s="12">
        <v>29160.0</v>
      </c>
      <c r="D3586" s="11" t="str">
        <f t="shared" si="1"/>
        <v> </v>
      </c>
      <c r="E3586" s="11" t="str">
        <f t="shared" si="2"/>
        <v> </v>
      </c>
    </row>
    <row r="3587" ht="15.75" customHeight="1">
      <c r="A3587" s="11">
        <v>15166.0</v>
      </c>
      <c r="B3587" s="11" t="s">
        <v>3609</v>
      </c>
      <c r="C3587" s="12">
        <v>31734.0</v>
      </c>
      <c r="D3587" s="11" t="str">
        <f t="shared" si="1"/>
        <v> </v>
      </c>
      <c r="E3587" s="11" t="str">
        <f t="shared" si="2"/>
        <v> </v>
      </c>
    </row>
    <row r="3588" ht="15.75" customHeight="1">
      <c r="A3588" s="11">
        <v>15167.0</v>
      </c>
      <c r="B3588" s="11" t="s">
        <v>3610</v>
      </c>
      <c r="C3588" s="12">
        <v>23568.0</v>
      </c>
      <c r="D3588" s="11" t="str">
        <f t="shared" si="1"/>
        <v> </v>
      </c>
      <c r="E3588" s="11" t="str">
        <f t="shared" si="2"/>
        <v> </v>
      </c>
    </row>
    <row r="3589" ht="15.75" customHeight="1">
      <c r="A3589" s="11">
        <v>15168.0</v>
      </c>
      <c r="B3589" s="11" t="s">
        <v>3611</v>
      </c>
      <c r="C3589" s="12">
        <v>22447.0</v>
      </c>
      <c r="D3589" s="11" t="str">
        <f t="shared" si="1"/>
        <v> </v>
      </c>
      <c r="E3589" s="11" t="str">
        <f t="shared" si="2"/>
        <v> </v>
      </c>
    </row>
    <row r="3590" ht="15.75" customHeight="1">
      <c r="A3590" s="11">
        <v>15169.0</v>
      </c>
      <c r="B3590" s="11" t="s">
        <v>3612</v>
      </c>
      <c r="C3590" s="12">
        <v>15891.0</v>
      </c>
      <c r="D3590" s="11" t="str">
        <f t="shared" si="1"/>
        <v> </v>
      </c>
      <c r="E3590" s="11" t="str">
        <f t="shared" si="2"/>
        <v> </v>
      </c>
    </row>
    <row r="3591" ht="15.75" customHeight="1">
      <c r="A3591" s="11">
        <v>15170.0</v>
      </c>
      <c r="B3591" s="11" t="s">
        <v>3613</v>
      </c>
      <c r="C3591" s="12">
        <v>32692.0</v>
      </c>
      <c r="D3591" s="11" t="str">
        <f t="shared" si="1"/>
        <v> </v>
      </c>
      <c r="E3591" s="11" t="str">
        <f t="shared" si="2"/>
        <v> </v>
      </c>
    </row>
    <row r="3592" ht="15.75" customHeight="1">
      <c r="A3592" s="11">
        <v>15171.0</v>
      </c>
      <c r="B3592" s="11" t="s">
        <v>3614</v>
      </c>
      <c r="C3592" s="12">
        <v>24719.0</v>
      </c>
      <c r="D3592" s="11" t="str">
        <f t="shared" si="1"/>
        <v> </v>
      </c>
      <c r="E3592" s="11" t="str">
        <f t="shared" si="2"/>
        <v> </v>
      </c>
    </row>
    <row r="3593" ht="15.75" customHeight="1">
      <c r="A3593" s="11">
        <v>15172.0</v>
      </c>
      <c r="B3593" s="11" t="s">
        <v>3615</v>
      </c>
      <c r="C3593" s="12">
        <v>18118.0</v>
      </c>
      <c r="D3593" s="11" t="str">
        <f t="shared" si="1"/>
        <v> </v>
      </c>
      <c r="E3593" s="11" t="str">
        <f t="shared" si="2"/>
        <v> </v>
      </c>
    </row>
    <row r="3594" ht="15.75" customHeight="1">
      <c r="A3594" s="11">
        <v>15174.0</v>
      </c>
      <c r="B3594" s="11" t="s">
        <v>3616</v>
      </c>
      <c r="C3594" s="12">
        <v>29545.0</v>
      </c>
      <c r="D3594" s="11" t="str">
        <f t="shared" si="1"/>
        <v> </v>
      </c>
      <c r="E3594" s="11" t="str">
        <f t="shared" si="2"/>
        <v> </v>
      </c>
    </row>
    <row r="3595" ht="15.75" customHeight="1">
      <c r="A3595" s="11">
        <v>15175.0</v>
      </c>
      <c r="B3595" s="11" t="s">
        <v>3617</v>
      </c>
      <c r="C3595" s="12">
        <v>14364.0</v>
      </c>
      <c r="D3595" s="11" t="str">
        <f t="shared" si="1"/>
        <v> </v>
      </c>
      <c r="E3595" s="11" t="str">
        <f t="shared" si="2"/>
        <v> </v>
      </c>
    </row>
    <row r="3596" ht="15.75" customHeight="1">
      <c r="A3596" s="11">
        <v>15176.0</v>
      </c>
      <c r="B3596" s="11" t="s">
        <v>3618</v>
      </c>
      <c r="C3596" s="12">
        <v>26214.0</v>
      </c>
      <c r="D3596" s="11" t="str">
        <f t="shared" si="1"/>
        <v> </v>
      </c>
      <c r="E3596" s="11" t="str">
        <f t="shared" si="2"/>
        <v> </v>
      </c>
    </row>
    <row r="3597" ht="15.75" customHeight="1">
      <c r="A3597" s="11">
        <v>15177.0</v>
      </c>
      <c r="B3597" s="11" t="s">
        <v>3619</v>
      </c>
      <c r="C3597" s="12">
        <v>29204.0</v>
      </c>
      <c r="D3597" s="11" t="str">
        <f t="shared" si="1"/>
        <v> </v>
      </c>
      <c r="E3597" s="11" t="str">
        <f t="shared" si="2"/>
        <v> </v>
      </c>
    </row>
    <row r="3598" ht="15.75" customHeight="1">
      <c r="A3598" s="11">
        <v>15179.0</v>
      </c>
      <c r="B3598" s="11" t="s">
        <v>3620</v>
      </c>
      <c r="C3598" s="12">
        <v>30878.0</v>
      </c>
      <c r="D3598" s="11" t="str">
        <f t="shared" si="1"/>
        <v> </v>
      </c>
      <c r="E3598" s="11" t="str">
        <f t="shared" si="2"/>
        <v> </v>
      </c>
    </row>
    <row r="3599" ht="15.75" customHeight="1">
      <c r="A3599" s="11">
        <v>15180.0</v>
      </c>
      <c r="B3599" s="11" t="s">
        <v>3621</v>
      </c>
      <c r="C3599" s="12">
        <v>28162.0</v>
      </c>
      <c r="D3599" s="11" t="str">
        <f t="shared" si="1"/>
        <v> </v>
      </c>
      <c r="E3599" s="11" t="str">
        <f t="shared" si="2"/>
        <v> </v>
      </c>
    </row>
    <row r="3600" ht="15.75" customHeight="1">
      <c r="A3600" s="11">
        <v>15181.0</v>
      </c>
      <c r="B3600" s="11" t="s">
        <v>3622</v>
      </c>
      <c r="C3600" s="12">
        <v>25311.0</v>
      </c>
      <c r="D3600" s="11" t="str">
        <f t="shared" si="1"/>
        <v> </v>
      </c>
      <c r="E3600" s="11" t="str">
        <f t="shared" si="2"/>
        <v> </v>
      </c>
    </row>
    <row r="3601" ht="15.75" customHeight="1">
      <c r="A3601" s="11">
        <v>15182.0</v>
      </c>
      <c r="B3601" s="11" t="s">
        <v>3623</v>
      </c>
      <c r="C3601" s="12">
        <v>12291.0</v>
      </c>
      <c r="D3601" s="11" t="str">
        <f t="shared" si="1"/>
        <v> </v>
      </c>
      <c r="E3601" s="11" t="str">
        <f t="shared" si="2"/>
        <v> </v>
      </c>
    </row>
    <row r="3602" ht="15.75" customHeight="1">
      <c r="A3602" s="11">
        <v>15183.0</v>
      </c>
      <c r="B3602" s="11" t="s">
        <v>3624</v>
      </c>
      <c r="C3602" s="12">
        <v>28839.0</v>
      </c>
      <c r="D3602" s="11" t="str">
        <f t="shared" si="1"/>
        <v> </v>
      </c>
      <c r="E3602" s="11" t="str">
        <f t="shared" si="2"/>
        <v> </v>
      </c>
    </row>
    <row r="3603" ht="15.75" customHeight="1">
      <c r="A3603" s="11">
        <v>15184.0</v>
      </c>
      <c r="B3603" s="11" t="s">
        <v>3625</v>
      </c>
      <c r="C3603" s="12">
        <v>18432.0</v>
      </c>
      <c r="D3603" s="11" t="str">
        <f t="shared" si="1"/>
        <v> </v>
      </c>
      <c r="E3603" s="11" t="str">
        <f t="shared" si="2"/>
        <v> </v>
      </c>
    </row>
    <row r="3604" ht="15.75" customHeight="1">
      <c r="A3604" s="11">
        <v>15185.0</v>
      </c>
      <c r="B3604" s="11" t="s">
        <v>3626</v>
      </c>
      <c r="C3604" s="12">
        <v>29050.0</v>
      </c>
      <c r="D3604" s="11" t="str">
        <f t="shared" si="1"/>
        <v> </v>
      </c>
      <c r="E3604" s="11" t="str">
        <f t="shared" si="2"/>
        <v> </v>
      </c>
    </row>
    <row r="3605" ht="15.75" customHeight="1">
      <c r="A3605" s="11">
        <v>15187.0</v>
      </c>
      <c r="B3605" s="11" t="s">
        <v>3627</v>
      </c>
      <c r="C3605" s="12">
        <v>28292.0</v>
      </c>
      <c r="D3605" s="11" t="str">
        <f t="shared" si="1"/>
        <v> </v>
      </c>
      <c r="E3605" s="11" t="str">
        <f t="shared" si="2"/>
        <v> </v>
      </c>
    </row>
    <row r="3606" ht="15.75" customHeight="1">
      <c r="A3606" s="11">
        <v>15188.0</v>
      </c>
      <c r="B3606" s="11" t="s">
        <v>3628</v>
      </c>
      <c r="C3606" s="12">
        <v>18306.0</v>
      </c>
      <c r="D3606" s="11" t="str">
        <f t="shared" si="1"/>
        <v> </v>
      </c>
      <c r="E3606" s="11" t="str">
        <f t="shared" si="2"/>
        <v> </v>
      </c>
    </row>
    <row r="3607" ht="15.75" customHeight="1">
      <c r="A3607" s="11">
        <v>15189.0</v>
      </c>
      <c r="B3607" s="11" t="s">
        <v>3629</v>
      </c>
      <c r="C3607" s="12">
        <v>28852.0</v>
      </c>
      <c r="D3607" s="11" t="str">
        <f t="shared" si="1"/>
        <v> </v>
      </c>
      <c r="E3607" s="11" t="str">
        <f t="shared" si="2"/>
        <v> </v>
      </c>
    </row>
    <row r="3608" ht="15.75" customHeight="1">
      <c r="A3608" s="11">
        <v>15190.0</v>
      </c>
      <c r="B3608" s="11" t="s">
        <v>3630</v>
      </c>
      <c r="C3608" s="12">
        <v>11783.0</v>
      </c>
      <c r="D3608" s="11" t="str">
        <f t="shared" si="1"/>
        <v> </v>
      </c>
      <c r="E3608" s="11" t="str">
        <f t="shared" si="2"/>
        <v> </v>
      </c>
    </row>
    <row r="3609" ht="15.75" customHeight="1">
      <c r="A3609" s="11">
        <v>15192.0</v>
      </c>
      <c r="B3609" s="11" t="s">
        <v>3631</v>
      </c>
      <c r="C3609" s="12">
        <v>25618.0</v>
      </c>
      <c r="D3609" s="11" t="str">
        <f t="shared" si="1"/>
        <v> </v>
      </c>
      <c r="E3609" s="11" t="str">
        <f t="shared" si="2"/>
        <v> </v>
      </c>
    </row>
    <row r="3610" ht="15.75" customHeight="1">
      <c r="A3610" s="11">
        <v>15195.0</v>
      </c>
      <c r="B3610" s="11" t="s">
        <v>3632</v>
      </c>
      <c r="C3610" s="12">
        <v>33286.0</v>
      </c>
      <c r="D3610" s="11" t="str">
        <f t="shared" si="1"/>
        <v> </v>
      </c>
      <c r="E3610" s="11" t="str">
        <f t="shared" si="2"/>
        <v> </v>
      </c>
    </row>
    <row r="3611" ht="15.75" customHeight="1">
      <c r="A3611" s="11">
        <v>15196.0</v>
      </c>
      <c r="B3611" s="11" t="s">
        <v>3633</v>
      </c>
      <c r="C3611" s="12">
        <v>35144.0</v>
      </c>
      <c r="D3611" s="11" t="str">
        <f t="shared" si="1"/>
        <v> </v>
      </c>
      <c r="E3611" s="11" t="str">
        <f t="shared" si="2"/>
        <v> </v>
      </c>
    </row>
    <row r="3612" ht="15.75" customHeight="1">
      <c r="A3612" s="11">
        <v>15197.0</v>
      </c>
      <c r="B3612" s="11" t="s">
        <v>3634</v>
      </c>
      <c r="C3612" s="12">
        <v>26093.0</v>
      </c>
      <c r="D3612" s="11" t="str">
        <f t="shared" si="1"/>
        <v> </v>
      </c>
      <c r="E3612" s="11" t="str">
        <f t="shared" si="2"/>
        <v> </v>
      </c>
    </row>
    <row r="3613" ht="15.75" customHeight="1">
      <c r="A3613" s="11">
        <v>15198.0</v>
      </c>
      <c r="B3613" s="11" t="s">
        <v>3635</v>
      </c>
      <c r="C3613" s="12">
        <v>21482.0</v>
      </c>
      <c r="D3613" s="11" t="str">
        <f t="shared" si="1"/>
        <v> </v>
      </c>
      <c r="E3613" s="11" t="str">
        <f t="shared" si="2"/>
        <v> </v>
      </c>
    </row>
    <row r="3614" ht="15.75" customHeight="1">
      <c r="A3614" s="11">
        <v>15199.0</v>
      </c>
      <c r="B3614" s="11" t="s">
        <v>3636</v>
      </c>
      <c r="C3614" s="12">
        <v>24046.0</v>
      </c>
      <c r="D3614" s="11" t="str">
        <f t="shared" si="1"/>
        <v> </v>
      </c>
      <c r="E3614" s="11" t="str">
        <f t="shared" si="2"/>
        <v> </v>
      </c>
    </row>
    <row r="3615" ht="15.75" customHeight="1">
      <c r="A3615" s="11">
        <v>15201.0</v>
      </c>
      <c r="B3615" s="11" t="s">
        <v>3637</v>
      </c>
      <c r="C3615" s="12">
        <v>22096.0</v>
      </c>
      <c r="D3615" s="11" t="str">
        <f t="shared" si="1"/>
        <v> </v>
      </c>
      <c r="E3615" s="11" t="str">
        <f t="shared" si="2"/>
        <v> </v>
      </c>
    </row>
    <row r="3616" ht="15.75" customHeight="1">
      <c r="A3616" s="11">
        <v>15202.0</v>
      </c>
      <c r="B3616" s="11" t="s">
        <v>3638</v>
      </c>
      <c r="C3616" s="12">
        <v>28284.0</v>
      </c>
      <c r="D3616" s="11" t="str">
        <f t="shared" si="1"/>
        <v> </v>
      </c>
      <c r="E3616" s="11" t="str">
        <f t="shared" si="2"/>
        <v> </v>
      </c>
    </row>
    <row r="3617" ht="15.75" customHeight="1">
      <c r="A3617" s="11">
        <v>15203.0</v>
      </c>
      <c r="B3617" s="11" t="s">
        <v>3639</v>
      </c>
      <c r="C3617" s="12">
        <v>28280.0</v>
      </c>
      <c r="D3617" s="11" t="str">
        <f t="shared" si="1"/>
        <v> </v>
      </c>
      <c r="E3617" s="11" t="str">
        <f t="shared" si="2"/>
        <v> </v>
      </c>
    </row>
    <row r="3618" ht="15.75" customHeight="1">
      <c r="A3618" s="11">
        <v>15204.0</v>
      </c>
      <c r="B3618" s="11" t="s">
        <v>3640</v>
      </c>
      <c r="C3618" s="12">
        <v>16146.0</v>
      </c>
      <c r="D3618" s="11" t="str">
        <f t="shared" si="1"/>
        <v> </v>
      </c>
      <c r="E3618" s="11" t="str">
        <f t="shared" si="2"/>
        <v> </v>
      </c>
    </row>
    <row r="3619" ht="15.75" customHeight="1">
      <c r="A3619" s="11">
        <v>15205.0</v>
      </c>
      <c r="B3619" s="11" t="s">
        <v>3641</v>
      </c>
      <c r="C3619" s="12">
        <v>29436.0</v>
      </c>
      <c r="D3619" s="11" t="str">
        <f t="shared" si="1"/>
        <v> </v>
      </c>
      <c r="E3619" s="11" t="str">
        <f t="shared" si="2"/>
        <v> </v>
      </c>
    </row>
    <row r="3620" ht="15.75" customHeight="1">
      <c r="A3620" s="11">
        <v>15207.0</v>
      </c>
      <c r="B3620" s="11" t="s">
        <v>3642</v>
      </c>
      <c r="C3620" s="12">
        <v>20268.0</v>
      </c>
      <c r="D3620" s="11" t="str">
        <f t="shared" si="1"/>
        <v> </v>
      </c>
      <c r="E3620" s="11" t="str">
        <f t="shared" si="2"/>
        <v> </v>
      </c>
    </row>
    <row r="3621" ht="15.75" customHeight="1">
      <c r="A3621" s="11">
        <v>15209.0</v>
      </c>
      <c r="B3621" s="11" t="s">
        <v>3643</v>
      </c>
      <c r="C3621" s="12">
        <v>14594.0</v>
      </c>
      <c r="D3621" s="11" t="str">
        <f t="shared" si="1"/>
        <v> </v>
      </c>
      <c r="E3621" s="11" t="str">
        <f t="shared" si="2"/>
        <v> </v>
      </c>
    </row>
    <row r="3622" ht="15.75" customHeight="1">
      <c r="A3622" s="11">
        <v>15210.0</v>
      </c>
      <c r="B3622" s="11" t="s">
        <v>3644</v>
      </c>
      <c r="C3622" s="12">
        <v>32777.0</v>
      </c>
      <c r="D3622" s="11" t="str">
        <f t="shared" si="1"/>
        <v> </v>
      </c>
      <c r="E3622" s="11" t="str">
        <f t="shared" si="2"/>
        <v> </v>
      </c>
    </row>
    <row r="3623" ht="15.75" customHeight="1">
      <c r="A3623" s="11">
        <v>15211.0</v>
      </c>
      <c r="B3623" s="11" t="s">
        <v>3645</v>
      </c>
      <c r="C3623" s="12">
        <v>27444.0</v>
      </c>
      <c r="D3623" s="11" t="str">
        <f t="shared" si="1"/>
        <v> </v>
      </c>
      <c r="E3623" s="11" t="str">
        <f t="shared" si="2"/>
        <v> </v>
      </c>
    </row>
    <row r="3624" ht="15.75" customHeight="1">
      <c r="A3624" s="11">
        <v>15213.0</v>
      </c>
      <c r="B3624" s="11" t="s">
        <v>3646</v>
      </c>
      <c r="C3624" s="12">
        <v>18483.0</v>
      </c>
      <c r="D3624" s="11" t="str">
        <f t="shared" si="1"/>
        <v> </v>
      </c>
      <c r="E3624" s="11" t="str">
        <f t="shared" si="2"/>
        <v> </v>
      </c>
    </row>
    <row r="3625" ht="15.75" customHeight="1">
      <c r="A3625" s="11">
        <v>15214.0</v>
      </c>
      <c r="B3625" s="11" t="s">
        <v>3647</v>
      </c>
      <c r="C3625" s="12">
        <v>17411.0</v>
      </c>
      <c r="D3625" s="11" t="str">
        <f t="shared" si="1"/>
        <v> </v>
      </c>
      <c r="E3625" s="11" t="str">
        <f t="shared" si="2"/>
        <v> </v>
      </c>
    </row>
    <row r="3626" ht="15.75" customHeight="1">
      <c r="A3626" s="11">
        <v>15215.0</v>
      </c>
      <c r="B3626" s="11" t="s">
        <v>3648</v>
      </c>
      <c r="C3626" s="12">
        <v>13841.0</v>
      </c>
      <c r="D3626" s="11" t="str">
        <f t="shared" si="1"/>
        <v> </v>
      </c>
      <c r="E3626" s="11" t="str">
        <f t="shared" si="2"/>
        <v> </v>
      </c>
    </row>
    <row r="3627" ht="15.75" customHeight="1">
      <c r="A3627" s="11">
        <v>15216.0</v>
      </c>
      <c r="B3627" s="11" t="s">
        <v>3649</v>
      </c>
      <c r="C3627" s="12">
        <v>19488.0</v>
      </c>
      <c r="D3627" s="11" t="str">
        <f t="shared" si="1"/>
        <v> </v>
      </c>
      <c r="E3627" s="11" t="str">
        <f t="shared" si="2"/>
        <v> </v>
      </c>
    </row>
    <row r="3628" ht="15.75" customHeight="1">
      <c r="A3628" s="11">
        <v>15217.0</v>
      </c>
      <c r="B3628" s="11" t="s">
        <v>3650</v>
      </c>
      <c r="C3628" s="12">
        <v>19011.0</v>
      </c>
      <c r="D3628" s="11" t="str">
        <f t="shared" si="1"/>
        <v> </v>
      </c>
      <c r="E3628" s="11" t="str">
        <f t="shared" si="2"/>
        <v> </v>
      </c>
    </row>
    <row r="3629" ht="15.75" customHeight="1">
      <c r="A3629" s="11">
        <v>15218.0</v>
      </c>
      <c r="B3629" s="11" t="s">
        <v>3651</v>
      </c>
      <c r="C3629" s="12">
        <v>17528.0</v>
      </c>
      <c r="D3629" s="11" t="str">
        <f t="shared" si="1"/>
        <v> </v>
      </c>
      <c r="E3629" s="11" t="str">
        <f t="shared" si="2"/>
        <v> </v>
      </c>
    </row>
    <row r="3630" ht="15.75" customHeight="1">
      <c r="A3630" s="11">
        <v>15219.0</v>
      </c>
      <c r="B3630" s="11" t="s">
        <v>3652</v>
      </c>
      <c r="C3630" s="12">
        <v>20125.0</v>
      </c>
      <c r="D3630" s="11" t="str">
        <f t="shared" si="1"/>
        <v> </v>
      </c>
      <c r="E3630" s="11" t="str">
        <f t="shared" si="2"/>
        <v> </v>
      </c>
    </row>
    <row r="3631" ht="15.75" customHeight="1">
      <c r="A3631" s="11">
        <v>15220.0</v>
      </c>
      <c r="B3631" s="11" t="s">
        <v>3653</v>
      </c>
      <c r="C3631" s="12">
        <v>25165.0</v>
      </c>
      <c r="D3631" s="11" t="str">
        <f t="shared" si="1"/>
        <v> </v>
      </c>
      <c r="E3631" s="11" t="str">
        <f t="shared" si="2"/>
        <v> </v>
      </c>
    </row>
    <row r="3632" ht="15.75" customHeight="1">
      <c r="A3632" s="11">
        <v>15221.0</v>
      </c>
      <c r="B3632" s="11" t="s">
        <v>3654</v>
      </c>
      <c r="C3632" s="12">
        <v>23125.0</v>
      </c>
      <c r="D3632" s="11" t="str">
        <f t="shared" si="1"/>
        <v> </v>
      </c>
      <c r="E3632" s="11" t="str">
        <f t="shared" si="2"/>
        <v> </v>
      </c>
    </row>
    <row r="3633" ht="15.75" customHeight="1">
      <c r="A3633" s="11">
        <v>15222.0</v>
      </c>
      <c r="B3633" s="11" t="s">
        <v>3655</v>
      </c>
      <c r="C3633" s="12">
        <v>21335.0</v>
      </c>
      <c r="D3633" s="11" t="str">
        <f t="shared" si="1"/>
        <v> </v>
      </c>
      <c r="E3633" s="11" t="str">
        <f t="shared" si="2"/>
        <v> </v>
      </c>
    </row>
    <row r="3634" ht="15.75" customHeight="1">
      <c r="A3634" s="11">
        <v>15223.0</v>
      </c>
      <c r="B3634" s="11" t="s">
        <v>3656</v>
      </c>
      <c r="C3634" s="12">
        <v>13792.0</v>
      </c>
      <c r="D3634" s="11" t="str">
        <f t="shared" si="1"/>
        <v> </v>
      </c>
      <c r="E3634" s="11" t="str">
        <f t="shared" si="2"/>
        <v> </v>
      </c>
    </row>
    <row r="3635" ht="15.75" customHeight="1">
      <c r="A3635" s="11">
        <v>15224.0</v>
      </c>
      <c r="B3635" s="11" t="s">
        <v>3657</v>
      </c>
      <c r="C3635" s="12">
        <v>17042.0</v>
      </c>
      <c r="D3635" s="11" t="str">
        <f t="shared" si="1"/>
        <v> </v>
      </c>
      <c r="E3635" s="11" t="str">
        <f t="shared" si="2"/>
        <v> </v>
      </c>
    </row>
    <row r="3636" ht="15.75" customHeight="1">
      <c r="A3636" s="11">
        <v>15225.0</v>
      </c>
      <c r="B3636" s="11" t="s">
        <v>3658</v>
      </c>
      <c r="C3636" s="12">
        <v>19214.0</v>
      </c>
      <c r="D3636" s="11" t="str">
        <f t="shared" si="1"/>
        <v> </v>
      </c>
      <c r="E3636" s="11" t="str">
        <f t="shared" si="2"/>
        <v> </v>
      </c>
    </row>
    <row r="3637" ht="15.75" customHeight="1">
      <c r="A3637" s="11">
        <v>15226.0</v>
      </c>
      <c r="B3637" s="11" t="s">
        <v>3659</v>
      </c>
      <c r="C3637" s="12">
        <v>11328.0</v>
      </c>
      <c r="D3637" s="11" t="str">
        <f t="shared" si="1"/>
        <v> </v>
      </c>
      <c r="E3637" s="11" t="str">
        <f t="shared" si="2"/>
        <v> </v>
      </c>
    </row>
    <row r="3638" ht="15.75" customHeight="1">
      <c r="A3638" s="11">
        <v>15227.0</v>
      </c>
      <c r="B3638" s="11" t="s">
        <v>3660</v>
      </c>
      <c r="C3638" s="12">
        <v>27243.0</v>
      </c>
      <c r="D3638" s="11" t="str">
        <f t="shared" si="1"/>
        <v> </v>
      </c>
      <c r="E3638" s="11" t="str">
        <f t="shared" si="2"/>
        <v> </v>
      </c>
    </row>
    <row r="3639" ht="15.75" customHeight="1">
      <c r="A3639" s="11">
        <v>15228.0</v>
      </c>
      <c r="B3639" s="11" t="s">
        <v>3661</v>
      </c>
      <c r="C3639" s="12">
        <v>22233.0</v>
      </c>
      <c r="D3639" s="11" t="str">
        <f t="shared" si="1"/>
        <v> </v>
      </c>
      <c r="E3639" s="11" t="str">
        <f t="shared" si="2"/>
        <v> </v>
      </c>
    </row>
    <row r="3640" ht="15.75" customHeight="1">
      <c r="A3640" s="11">
        <v>15229.0</v>
      </c>
      <c r="B3640" s="11" t="s">
        <v>3662</v>
      </c>
      <c r="C3640" s="12">
        <v>26780.0</v>
      </c>
      <c r="D3640" s="11" t="str">
        <f t="shared" si="1"/>
        <v> </v>
      </c>
      <c r="E3640" s="11" t="str">
        <f t="shared" si="2"/>
        <v> </v>
      </c>
    </row>
    <row r="3641" ht="15.75" customHeight="1">
      <c r="A3641" s="11">
        <v>15230.0</v>
      </c>
      <c r="B3641" s="11" t="s">
        <v>3663</v>
      </c>
      <c r="C3641" s="12">
        <v>15698.0</v>
      </c>
      <c r="D3641" s="11" t="str">
        <f t="shared" si="1"/>
        <v> </v>
      </c>
      <c r="E3641" s="11" t="str">
        <f t="shared" si="2"/>
        <v> </v>
      </c>
    </row>
    <row r="3642" ht="15.75" customHeight="1">
      <c r="A3642" s="11">
        <v>15231.0</v>
      </c>
      <c r="B3642" s="11" t="s">
        <v>3664</v>
      </c>
      <c r="C3642" s="12">
        <v>22632.0</v>
      </c>
      <c r="D3642" s="11" t="str">
        <f t="shared" si="1"/>
        <v> </v>
      </c>
      <c r="E3642" s="11" t="str">
        <f t="shared" si="2"/>
        <v> </v>
      </c>
    </row>
    <row r="3643" ht="15.75" customHeight="1">
      <c r="A3643" s="11">
        <v>15232.0</v>
      </c>
      <c r="B3643" s="11" t="s">
        <v>3665</v>
      </c>
      <c r="C3643" s="12">
        <v>25678.0</v>
      </c>
      <c r="D3643" s="11" t="str">
        <f t="shared" si="1"/>
        <v> </v>
      </c>
      <c r="E3643" s="11" t="str">
        <f t="shared" si="2"/>
        <v> </v>
      </c>
    </row>
    <row r="3644" ht="15.75" customHeight="1">
      <c r="A3644" s="11">
        <v>15233.0</v>
      </c>
      <c r="B3644" s="11" t="s">
        <v>3666</v>
      </c>
      <c r="C3644" s="12">
        <v>8763.0</v>
      </c>
      <c r="D3644" s="11" t="str">
        <f t="shared" si="1"/>
        <v> </v>
      </c>
      <c r="E3644" s="11" t="str">
        <f t="shared" si="2"/>
        <v> </v>
      </c>
    </row>
    <row r="3645" ht="15.75" customHeight="1">
      <c r="A3645" s="11">
        <v>15234.0</v>
      </c>
      <c r="B3645" s="11" t="s">
        <v>3667</v>
      </c>
      <c r="C3645" s="12">
        <v>19634.0</v>
      </c>
      <c r="D3645" s="11" t="str">
        <f t="shared" si="1"/>
        <v> </v>
      </c>
      <c r="E3645" s="11" t="str">
        <f t="shared" si="2"/>
        <v> </v>
      </c>
    </row>
    <row r="3646" ht="15.75" customHeight="1">
      <c r="A3646" s="11">
        <v>15235.0</v>
      </c>
      <c r="B3646" s="11" t="s">
        <v>3668</v>
      </c>
      <c r="C3646" s="12">
        <v>22140.0</v>
      </c>
      <c r="D3646" s="11" t="str">
        <f t="shared" si="1"/>
        <v> </v>
      </c>
      <c r="E3646" s="11" t="str">
        <f t="shared" si="2"/>
        <v> </v>
      </c>
    </row>
    <row r="3647" ht="15.75" customHeight="1">
      <c r="A3647" s="11">
        <v>15238.0</v>
      </c>
      <c r="B3647" s="11" t="s">
        <v>3669</v>
      </c>
      <c r="C3647" s="12">
        <v>29113.0</v>
      </c>
      <c r="D3647" s="11" t="str">
        <f t="shared" si="1"/>
        <v> </v>
      </c>
      <c r="E3647" s="11" t="str">
        <f t="shared" si="2"/>
        <v> </v>
      </c>
    </row>
    <row r="3648" ht="15.75" customHeight="1">
      <c r="A3648" s="11">
        <v>15239.0</v>
      </c>
      <c r="B3648" s="11" t="s">
        <v>3670</v>
      </c>
      <c r="C3648" s="12">
        <v>14916.0</v>
      </c>
      <c r="D3648" s="11" t="str">
        <f t="shared" si="1"/>
        <v> </v>
      </c>
      <c r="E3648" s="11" t="str">
        <f t="shared" si="2"/>
        <v> </v>
      </c>
    </row>
    <row r="3649" ht="15.75" customHeight="1">
      <c r="A3649" s="11">
        <v>15240.0</v>
      </c>
      <c r="B3649" s="11" t="s">
        <v>3671</v>
      </c>
      <c r="C3649" s="12">
        <v>30311.0</v>
      </c>
      <c r="D3649" s="11" t="str">
        <f t="shared" si="1"/>
        <v> </v>
      </c>
      <c r="E3649" s="11" t="str">
        <f t="shared" si="2"/>
        <v> </v>
      </c>
    </row>
    <row r="3650" ht="15.75" customHeight="1">
      <c r="A3650" s="11">
        <v>15242.0</v>
      </c>
      <c r="B3650" s="11" t="s">
        <v>3672</v>
      </c>
      <c r="C3650" s="12">
        <v>27777.0</v>
      </c>
      <c r="D3650" s="11" t="str">
        <f t="shared" si="1"/>
        <v> </v>
      </c>
      <c r="E3650" s="11" t="str">
        <f t="shared" si="2"/>
        <v> </v>
      </c>
    </row>
    <row r="3651" ht="15.75" customHeight="1">
      <c r="A3651" s="11">
        <v>15243.0</v>
      </c>
      <c r="B3651" s="11" t="s">
        <v>3673</v>
      </c>
      <c r="C3651" s="12">
        <v>20661.0</v>
      </c>
      <c r="D3651" s="11" t="str">
        <f t="shared" si="1"/>
        <v> </v>
      </c>
      <c r="E3651" s="11" t="str">
        <f t="shared" si="2"/>
        <v> </v>
      </c>
    </row>
    <row r="3652" ht="15.75" customHeight="1">
      <c r="A3652" s="11">
        <v>15244.0</v>
      </c>
      <c r="B3652" s="11" t="s">
        <v>3674</v>
      </c>
      <c r="C3652" s="12">
        <v>22139.0</v>
      </c>
      <c r="D3652" s="11" t="str">
        <f t="shared" si="1"/>
        <v> </v>
      </c>
      <c r="E3652" s="11" t="str">
        <f t="shared" si="2"/>
        <v> </v>
      </c>
    </row>
    <row r="3653" ht="15.75" customHeight="1">
      <c r="A3653" s="11">
        <v>15245.0</v>
      </c>
      <c r="B3653" s="11" t="s">
        <v>3675</v>
      </c>
      <c r="C3653" s="12">
        <v>20404.0</v>
      </c>
      <c r="D3653" s="11" t="str">
        <f t="shared" si="1"/>
        <v> </v>
      </c>
      <c r="E3653" s="11" t="str">
        <f t="shared" si="2"/>
        <v> </v>
      </c>
    </row>
    <row r="3654" ht="15.75" customHeight="1">
      <c r="A3654" s="11">
        <v>15246.0</v>
      </c>
      <c r="B3654" s="11" t="s">
        <v>3676</v>
      </c>
      <c r="C3654" s="12">
        <v>23981.0</v>
      </c>
      <c r="D3654" s="11" t="str">
        <f t="shared" si="1"/>
        <v>Repeat</v>
      </c>
      <c r="E3654" s="11" t="str">
        <f t="shared" si="2"/>
        <v> </v>
      </c>
    </row>
    <row r="3655" ht="15.75" customHeight="1">
      <c r="A3655" s="11">
        <v>15247.0</v>
      </c>
      <c r="B3655" s="11" t="s">
        <v>3677</v>
      </c>
      <c r="C3655" s="12">
        <v>32081.0</v>
      </c>
      <c r="D3655" s="11" t="str">
        <f t="shared" si="1"/>
        <v> </v>
      </c>
      <c r="E3655" s="11" t="str">
        <f t="shared" si="2"/>
        <v> </v>
      </c>
    </row>
    <row r="3656" ht="15.75" customHeight="1">
      <c r="A3656" s="11">
        <v>15248.0</v>
      </c>
      <c r="B3656" s="11" t="s">
        <v>3678</v>
      </c>
      <c r="C3656" s="12">
        <v>21030.0</v>
      </c>
      <c r="D3656" s="11" t="str">
        <f t="shared" si="1"/>
        <v> </v>
      </c>
      <c r="E3656" s="11" t="str">
        <f t="shared" si="2"/>
        <v> </v>
      </c>
    </row>
    <row r="3657" ht="15.75" customHeight="1">
      <c r="A3657" s="11">
        <v>15249.0</v>
      </c>
      <c r="B3657" s="11" t="s">
        <v>3679</v>
      </c>
      <c r="C3657" s="12">
        <v>12017.0</v>
      </c>
      <c r="D3657" s="11" t="str">
        <f t="shared" si="1"/>
        <v> </v>
      </c>
      <c r="E3657" s="11" t="str">
        <f t="shared" si="2"/>
        <v> </v>
      </c>
    </row>
    <row r="3658" ht="15.75" customHeight="1">
      <c r="A3658" s="11">
        <v>15250.0</v>
      </c>
      <c r="B3658" s="11" t="s">
        <v>3680</v>
      </c>
      <c r="C3658" s="12">
        <v>14591.0</v>
      </c>
      <c r="D3658" s="11" t="str">
        <f t="shared" si="1"/>
        <v> </v>
      </c>
      <c r="E3658" s="11" t="str">
        <f t="shared" si="2"/>
        <v> </v>
      </c>
    </row>
    <row r="3659" ht="15.75" customHeight="1">
      <c r="A3659" s="11">
        <v>15251.0</v>
      </c>
      <c r="B3659" s="11" t="s">
        <v>3681</v>
      </c>
      <c r="C3659" s="12">
        <v>23171.0</v>
      </c>
      <c r="D3659" s="11" t="str">
        <f t="shared" si="1"/>
        <v> </v>
      </c>
      <c r="E3659" s="11" t="str">
        <f t="shared" si="2"/>
        <v> </v>
      </c>
    </row>
    <row r="3660" ht="15.75" customHeight="1">
      <c r="A3660" s="11">
        <v>15252.0</v>
      </c>
      <c r="B3660" s="11" t="s">
        <v>3682</v>
      </c>
      <c r="C3660" s="12">
        <v>21927.0</v>
      </c>
      <c r="D3660" s="11" t="str">
        <f t="shared" si="1"/>
        <v> </v>
      </c>
      <c r="E3660" s="11" t="str">
        <f t="shared" si="2"/>
        <v> </v>
      </c>
    </row>
    <row r="3661" ht="15.75" customHeight="1">
      <c r="A3661" s="11">
        <v>15253.0</v>
      </c>
      <c r="B3661" s="11" t="s">
        <v>3683</v>
      </c>
      <c r="C3661" s="12">
        <v>24706.0</v>
      </c>
      <c r="D3661" s="11" t="str">
        <f t="shared" si="1"/>
        <v> </v>
      </c>
      <c r="E3661" s="11" t="str">
        <f t="shared" si="2"/>
        <v> </v>
      </c>
    </row>
    <row r="3662" ht="15.75" customHeight="1">
      <c r="A3662" s="11">
        <v>15255.0</v>
      </c>
      <c r="B3662" s="11" t="s">
        <v>3684</v>
      </c>
      <c r="C3662" s="12">
        <v>23170.0</v>
      </c>
      <c r="D3662" s="11" t="str">
        <f t="shared" si="1"/>
        <v> </v>
      </c>
      <c r="E3662" s="11" t="str">
        <f t="shared" si="2"/>
        <v> </v>
      </c>
    </row>
    <row r="3663" ht="15.75" customHeight="1">
      <c r="A3663" s="11">
        <v>15257.0</v>
      </c>
      <c r="B3663" s="11" t="s">
        <v>3685</v>
      </c>
      <c r="C3663" s="12">
        <v>31923.0</v>
      </c>
      <c r="D3663" s="11" t="str">
        <f t="shared" si="1"/>
        <v> </v>
      </c>
      <c r="E3663" s="11" t="str">
        <f t="shared" si="2"/>
        <v> </v>
      </c>
    </row>
    <row r="3664" ht="15.75" customHeight="1">
      <c r="A3664" s="11">
        <v>15258.0</v>
      </c>
      <c r="B3664" s="11" t="s">
        <v>3686</v>
      </c>
      <c r="C3664" s="12">
        <v>20697.0</v>
      </c>
      <c r="D3664" s="11" t="str">
        <f t="shared" si="1"/>
        <v> </v>
      </c>
      <c r="E3664" s="11" t="str">
        <f t="shared" si="2"/>
        <v> </v>
      </c>
    </row>
    <row r="3665" ht="15.75" customHeight="1">
      <c r="A3665" s="11">
        <v>15259.0</v>
      </c>
      <c r="B3665" s="11" t="s">
        <v>3687</v>
      </c>
      <c r="C3665" s="12">
        <v>24504.0</v>
      </c>
      <c r="D3665" s="11" t="str">
        <f t="shared" si="1"/>
        <v> </v>
      </c>
      <c r="E3665" s="11" t="str">
        <f t="shared" si="2"/>
        <v> </v>
      </c>
    </row>
    <row r="3666" ht="15.75" customHeight="1">
      <c r="A3666" s="11">
        <v>15260.0</v>
      </c>
      <c r="B3666" s="11" t="s">
        <v>3688</v>
      </c>
      <c r="C3666" s="12">
        <v>17852.0</v>
      </c>
      <c r="D3666" s="11" t="str">
        <f t="shared" si="1"/>
        <v> </v>
      </c>
      <c r="E3666" s="11" t="str">
        <f t="shared" si="2"/>
        <v> </v>
      </c>
    </row>
    <row r="3667" ht="15.75" customHeight="1">
      <c r="A3667" s="11">
        <v>15261.0</v>
      </c>
      <c r="B3667" s="11" t="s">
        <v>3689</v>
      </c>
      <c r="C3667" s="12">
        <v>23249.0</v>
      </c>
      <c r="D3667" s="11" t="str">
        <f t="shared" si="1"/>
        <v> </v>
      </c>
      <c r="E3667" s="11" t="str">
        <f t="shared" si="2"/>
        <v> </v>
      </c>
    </row>
    <row r="3668" ht="15.75" customHeight="1">
      <c r="A3668" s="11">
        <v>15262.0</v>
      </c>
      <c r="B3668" s="11" t="s">
        <v>3690</v>
      </c>
      <c r="C3668" s="12">
        <v>25359.0</v>
      </c>
      <c r="D3668" s="11" t="str">
        <f t="shared" si="1"/>
        <v>Repeat</v>
      </c>
      <c r="E3668" s="11" t="str">
        <f t="shared" si="2"/>
        <v> </v>
      </c>
    </row>
    <row r="3669" ht="15.75" customHeight="1">
      <c r="A3669" s="11">
        <v>15263.0</v>
      </c>
      <c r="B3669" s="11" t="s">
        <v>3691</v>
      </c>
      <c r="C3669" s="12">
        <v>22129.0</v>
      </c>
      <c r="D3669" s="11" t="str">
        <f t="shared" si="1"/>
        <v> </v>
      </c>
      <c r="E3669" s="11" t="str">
        <f t="shared" si="2"/>
        <v> </v>
      </c>
    </row>
    <row r="3670" ht="15.75" customHeight="1">
      <c r="A3670" s="11">
        <v>15265.0</v>
      </c>
      <c r="B3670" s="11" t="s">
        <v>3692</v>
      </c>
      <c r="C3670" s="12">
        <v>26902.0</v>
      </c>
      <c r="D3670" s="11" t="str">
        <f t="shared" si="1"/>
        <v> </v>
      </c>
      <c r="E3670" s="11" t="str">
        <f t="shared" si="2"/>
        <v> </v>
      </c>
    </row>
    <row r="3671" ht="15.75" customHeight="1">
      <c r="A3671" s="11">
        <v>15266.0</v>
      </c>
      <c r="B3671" s="11" t="s">
        <v>3693</v>
      </c>
      <c r="C3671" s="12">
        <v>22479.0</v>
      </c>
      <c r="D3671" s="11" t="str">
        <f t="shared" si="1"/>
        <v> </v>
      </c>
      <c r="E3671" s="11" t="str">
        <f t="shared" si="2"/>
        <v> </v>
      </c>
    </row>
    <row r="3672" ht="15.75" customHeight="1">
      <c r="A3672" s="11">
        <v>15267.0</v>
      </c>
      <c r="B3672" s="11" t="s">
        <v>1899</v>
      </c>
      <c r="C3672" s="12">
        <v>33478.0</v>
      </c>
      <c r="D3672" s="11" t="str">
        <f t="shared" si="1"/>
        <v>Repeat</v>
      </c>
      <c r="E3672" s="11" t="str">
        <f t="shared" si="2"/>
        <v> </v>
      </c>
    </row>
    <row r="3673" ht="15.75" customHeight="1">
      <c r="A3673" s="11">
        <v>15268.0</v>
      </c>
      <c r="B3673" s="11" t="s">
        <v>3694</v>
      </c>
      <c r="C3673" s="12">
        <v>32607.0</v>
      </c>
      <c r="D3673" s="11" t="str">
        <f t="shared" si="1"/>
        <v> </v>
      </c>
      <c r="E3673" s="11" t="str">
        <f t="shared" si="2"/>
        <v> </v>
      </c>
    </row>
    <row r="3674" ht="15.75" customHeight="1">
      <c r="A3674" s="11">
        <v>15269.0</v>
      </c>
      <c r="B3674" s="11" t="s">
        <v>3695</v>
      </c>
      <c r="C3674" s="12">
        <v>35767.0</v>
      </c>
      <c r="D3674" s="11" t="str">
        <f t="shared" si="1"/>
        <v> </v>
      </c>
      <c r="E3674" s="11" t="str">
        <f t="shared" si="2"/>
        <v> </v>
      </c>
    </row>
    <row r="3675" ht="15.75" customHeight="1">
      <c r="A3675" s="11">
        <v>15270.0</v>
      </c>
      <c r="B3675" s="11" t="s">
        <v>3696</v>
      </c>
      <c r="C3675" s="12">
        <v>19633.0</v>
      </c>
      <c r="D3675" s="11" t="str">
        <f t="shared" si="1"/>
        <v> </v>
      </c>
      <c r="E3675" s="11" t="str">
        <f t="shared" si="2"/>
        <v> </v>
      </c>
    </row>
    <row r="3676" ht="15.75" customHeight="1">
      <c r="A3676" s="11">
        <v>15272.0</v>
      </c>
      <c r="B3676" s="11" t="s">
        <v>3697</v>
      </c>
      <c r="C3676" s="12">
        <v>20197.0</v>
      </c>
      <c r="D3676" s="11" t="str">
        <f t="shared" si="1"/>
        <v> </v>
      </c>
      <c r="E3676" s="11" t="str">
        <f t="shared" si="2"/>
        <v> </v>
      </c>
    </row>
    <row r="3677" ht="15.75" customHeight="1">
      <c r="A3677" s="11">
        <v>15273.0</v>
      </c>
      <c r="B3677" s="11" t="s">
        <v>3698</v>
      </c>
      <c r="C3677" s="12">
        <v>33383.0</v>
      </c>
      <c r="D3677" s="11" t="str">
        <f t="shared" si="1"/>
        <v> </v>
      </c>
      <c r="E3677" s="11" t="str">
        <f t="shared" si="2"/>
        <v> </v>
      </c>
    </row>
    <row r="3678" ht="15.75" customHeight="1">
      <c r="A3678" s="11">
        <v>15274.0</v>
      </c>
      <c r="B3678" s="11" t="s">
        <v>3699</v>
      </c>
      <c r="C3678" s="12">
        <v>21443.0</v>
      </c>
      <c r="D3678" s="11" t="str">
        <f t="shared" si="1"/>
        <v> </v>
      </c>
      <c r="E3678" s="11" t="str">
        <f t="shared" si="2"/>
        <v> </v>
      </c>
    </row>
    <row r="3679" ht="15.75" customHeight="1">
      <c r="A3679" s="11">
        <v>15276.0</v>
      </c>
      <c r="B3679" s="11" t="s">
        <v>3700</v>
      </c>
      <c r="C3679" s="12">
        <v>29784.0</v>
      </c>
      <c r="D3679" s="11" t="str">
        <f t="shared" si="1"/>
        <v> </v>
      </c>
      <c r="E3679" s="11" t="str">
        <f t="shared" si="2"/>
        <v> </v>
      </c>
    </row>
    <row r="3680" ht="15.75" customHeight="1">
      <c r="A3680" s="11">
        <v>15277.0</v>
      </c>
      <c r="B3680" s="11" t="s">
        <v>3701</v>
      </c>
      <c r="C3680" s="12">
        <v>12693.0</v>
      </c>
      <c r="D3680" s="11" t="str">
        <f t="shared" si="1"/>
        <v> </v>
      </c>
      <c r="E3680" s="11" t="str">
        <f t="shared" si="2"/>
        <v> </v>
      </c>
    </row>
    <row r="3681" ht="15.75" customHeight="1">
      <c r="A3681" s="11">
        <v>15278.0</v>
      </c>
      <c r="B3681" s="11" t="s">
        <v>3702</v>
      </c>
      <c r="C3681" s="12">
        <v>24532.0</v>
      </c>
      <c r="D3681" s="11" t="str">
        <f t="shared" si="1"/>
        <v> </v>
      </c>
      <c r="E3681" s="11" t="str">
        <f t="shared" si="2"/>
        <v> </v>
      </c>
    </row>
    <row r="3682" ht="15.75" customHeight="1">
      <c r="A3682" s="11">
        <v>15279.0</v>
      </c>
      <c r="B3682" s="11" t="s">
        <v>3703</v>
      </c>
      <c r="C3682" s="12">
        <v>15685.0</v>
      </c>
      <c r="D3682" s="11" t="str">
        <f t="shared" si="1"/>
        <v> </v>
      </c>
      <c r="E3682" s="11" t="str">
        <f t="shared" si="2"/>
        <v> </v>
      </c>
    </row>
    <row r="3683" ht="15.75" customHeight="1">
      <c r="A3683" s="11">
        <v>15280.0</v>
      </c>
      <c r="B3683" s="11" t="s">
        <v>3704</v>
      </c>
      <c r="C3683" s="12">
        <v>28986.0</v>
      </c>
      <c r="D3683" s="11" t="str">
        <f t="shared" si="1"/>
        <v> </v>
      </c>
      <c r="E3683" s="11" t="str">
        <f t="shared" si="2"/>
        <v> </v>
      </c>
    </row>
    <row r="3684" ht="15.75" customHeight="1">
      <c r="A3684" s="11">
        <v>15281.0</v>
      </c>
      <c r="B3684" s="11" t="s">
        <v>3705</v>
      </c>
      <c r="C3684" s="12">
        <v>27758.0</v>
      </c>
      <c r="D3684" s="11" t="str">
        <f t="shared" si="1"/>
        <v> </v>
      </c>
      <c r="E3684" s="11" t="str">
        <f t="shared" si="2"/>
        <v> </v>
      </c>
    </row>
    <row r="3685" ht="15.75" customHeight="1">
      <c r="A3685" s="11">
        <v>15282.0</v>
      </c>
      <c r="B3685" s="11" t="s">
        <v>3706</v>
      </c>
      <c r="C3685" s="12">
        <v>19078.0</v>
      </c>
      <c r="D3685" s="11" t="str">
        <f t="shared" si="1"/>
        <v> </v>
      </c>
      <c r="E3685" s="11" t="str">
        <f t="shared" si="2"/>
        <v> </v>
      </c>
    </row>
    <row r="3686" ht="15.75" customHeight="1">
      <c r="A3686" s="11">
        <v>15284.0</v>
      </c>
      <c r="B3686" s="11" t="s">
        <v>3707</v>
      </c>
      <c r="C3686" s="12">
        <v>11401.0</v>
      </c>
      <c r="D3686" s="11" t="str">
        <f t="shared" si="1"/>
        <v> </v>
      </c>
      <c r="E3686" s="11" t="str">
        <f t="shared" si="2"/>
        <v> </v>
      </c>
    </row>
    <row r="3687" ht="15.75" customHeight="1">
      <c r="A3687" s="11">
        <v>15285.0</v>
      </c>
      <c r="B3687" s="11" t="s">
        <v>3708</v>
      </c>
      <c r="C3687" s="12">
        <v>29130.0</v>
      </c>
      <c r="D3687" s="11" t="str">
        <f t="shared" si="1"/>
        <v> </v>
      </c>
      <c r="E3687" s="11" t="str">
        <f t="shared" si="2"/>
        <v> </v>
      </c>
    </row>
    <row r="3688" ht="15.75" customHeight="1">
      <c r="A3688" s="11">
        <v>15286.0</v>
      </c>
      <c r="B3688" s="11" t="s">
        <v>3709</v>
      </c>
      <c r="C3688" s="12">
        <v>23666.0</v>
      </c>
      <c r="D3688" s="11" t="str">
        <f t="shared" si="1"/>
        <v> </v>
      </c>
      <c r="E3688" s="11" t="str">
        <f t="shared" si="2"/>
        <v> </v>
      </c>
    </row>
    <row r="3689" ht="15.75" customHeight="1">
      <c r="A3689" s="11">
        <v>15287.0</v>
      </c>
      <c r="B3689" s="11" t="s">
        <v>3710</v>
      </c>
      <c r="C3689" s="12">
        <v>22295.0</v>
      </c>
      <c r="D3689" s="11" t="str">
        <f t="shared" si="1"/>
        <v> </v>
      </c>
      <c r="E3689" s="11" t="str">
        <f t="shared" si="2"/>
        <v> </v>
      </c>
    </row>
    <row r="3690" ht="15.75" customHeight="1">
      <c r="A3690" s="11">
        <v>15288.0</v>
      </c>
      <c r="B3690" s="11" t="s">
        <v>3711</v>
      </c>
      <c r="C3690" s="12">
        <v>20463.0</v>
      </c>
      <c r="D3690" s="11" t="str">
        <f t="shared" si="1"/>
        <v> </v>
      </c>
      <c r="E3690" s="11" t="str">
        <f t="shared" si="2"/>
        <v> </v>
      </c>
    </row>
    <row r="3691" ht="15.75" customHeight="1">
      <c r="A3691" s="11">
        <v>15290.0</v>
      </c>
      <c r="B3691" s="11" t="s">
        <v>3712</v>
      </c>
      <c r="C3691" s="12">
        <v>15075.0</v>
      </c>
      <c r="D3691" s="11" t="str">
        <f t="shared" si="1"/>
        <v> </v>
      </c>
      <c r="E3691" s="11" t="str">
        <f t="shared" si="2"/>
        <v> </v>
      </c>
    </row>
    <row r="3692" ht="15.75" customHeight="1">
      <c r="A3692" s="11">
        <v>15291.0</v>
      </c>
      <c r="B3692" s="11" t="s">
        <v>3713</v>
      </c>
      <c r="C3692" s="12">
        <v>16997.0</v>
      </c>
      <c r="D3692" s="11" t="str">
        <f t="shared" si="1"/>
        <v> </v>
      </c>
      <c r="E3692" s="11" t="str">
        <f t="shared" si="2"/>
        <v> </v>
      </c>
    </row>
    <row r="3693" ht="15.75" customHeight="1">
      <c r="A3693" s="11">
        <v>15292.0</v>
      </c>
      <c r="B3693" s="11" t="s">
        <v>3714</v>
      </c>
      <c r="C3693" s="12">
        <v>21891.0</v>
      </c>
      <c r="D3693" s="11" t="str">
        <f t="shared" si="1"/>
        <v> </v>
      </c>
      <c r="E3693" s="11" t="str">
        <f t="shared" si="2"/>
        <v> </v>
      </c>
    </row>
    <row r="3694" ht="15.75" customHeight="1">
      <c r="A3694" s="11">
        <v>15293.0</v>
      </c>
      <c r="B3694" s="11" t="s">
        <v>3715</v>
      </c>
      <c r="C3694" s="12">
        <v>15560.0</v>
      </c>
      <c r="D3694" s="11" t="str">
        <f t="shared" si="1"/>
        <v> </v>
      </c>
      <c r="E3694" s="11" t="str">
        <f t="shared" si="2"/>
        <v> </v>
      </c>
    </row>
    <row r="3695" ht="15.75" customHeight="1">
      <c r="A3695" s="11">
        <v>15294.0</v>
      </c>
      <c r="B3695" s="11" t="s">
        <v>3716</v>
      </c>
      <c r="C3695" s="12">
        <v>18656.0</v>
      </c>
      <c r="D3695" s="11" t="str">
        <f t="shared" si="1"/>
        <v> </v>
      </c>
      <c r="E3695" s="11" t="str">
        <f t="shared" si="2"/>
        <v> </v>
      </c>
    </row>
    <row r="3696" ht="15.75" customHeight="1">
      <c r="A3696" s="11">
        <v>15298.0</v>
      </c>
      <c r="B3696" s="11" t="s">
        <v>3717</v>
      </c>
      <c r="C3696" s="12">
        <v>28361.0</v>
      </c>
      <c r="D3696" s="11" t="str">
        <f t="shared" si="1"/>
        <v> </v>
      </c>
      <c r="E3696" s="11" t="str">
        <f t="shared" si="2"/>
        <v> </v>
      </c>
    </row>
    <row r="3697" ht="15.75" customHeight="1">
      <c r="A3697" s="11">
        <v>15299.0</v>
      </c>
      <c r="B3697" s="11" t="s">
        <v>3718</v>
      </c>
      <c r="C3697" s="12">
        <v>17784.0</v>
      </c>
      <c r="D3697" s="11" t="str">
        <f t="shared" si="1"/>
        <v> </v>
      </c>
      <c r="E3697" s="11" t="str">
        <f t="shared" si="2"/>
        <v> </v>
      </c>
    </row>
    <row r="3698" ht="15.75" customHeight="1">
      <c r="A3698" s="11">
        <v>15301.0</v>
      </c>
      <c r="B3698" s="11" t="s">
        <v>3719</v>
      </c>
      <c r="C3698" s="12">
        <v>10044.0</v>
      </c>
      <c r="D3698" s="11" t="str">
        <f t="shared" si="1"/>
        <v> </v>
      </c>
      <c r="E3698" s="11" t="str">
        <f t="shared" si="2"/>
        <v> </v>
      </c>
    </row>
    <row r="3699" ht="15.75" customHeight="1">
      <c r="A3699" s="11">
        <v>15302.0</v>
      </c>
      <c r="B3699" s="11" t="s">
        <v>3720</v>
      </c>
      <c r="C3699" s="12">
        <v>17959.0</v>
      </c>
      <c r="D3699" s="11" t="str">
        <f t="shared" si="1"/>
        <v> </v>
      </c>
      <c r="E3699" s="11" t="str">
        <f t="shared" si="2"/>
        <v> </v>
      </c>
    </row>
    <row r="3700" ht="15.75" customHeight="1">
      <c r="A3700" s="11">
        <v>15303.0</v>
      </c>
      <c r="B3700" s="11" t="s">
        <v>3721</v>
      </c>
      <c r="C3700" s="12">
        <v>17551.0</v>
      </c>
      <c r="D3700" s="11" t="str">
        <f t="shared" si="1"/>
        <v> </v>
      </c>
      <c r="E3700" s="11" t="str">
        <f t="shared" si="2"/>
        <v> </v>
      </c>
    </row>
    <row r="3701" ht="15.75" customHeight="1">
      <c r="A3701" s="11">
        <v>15304.0</v>
      </c>
      <c r="B3701" s="11" t="s">
        <v>3722</v>
      </c>
      <c r="C3701" s="12">
        <v>20357.0</v>
      </c>
      <c r="D3701" s="11" t="str">
        <f t="shared" si="1"/>
        <v> </v>
      </c>
      <c r="E3701" s="11" t="str">
        <f t="shared" si="2"/>
        <v> </v>
      </c>
    </row>
    <row r="3702" ht="15.75" customHeight="1">
      <c r="A3702" s="11">
        <v>15305.0</v>
      </c>
      <c r="B3702" s="11" t="s">
        <v>3723</v>
      </c>
      <c r="C3702" s="12">
        <v>17512.0</v>
      </c>
      <c r="D3702" s="11" t="str">
        <f t="shared" si="1"/>
        <v> </v>
      </c>
      <c r="E3702" s="11" t="str">
        <f t="shared" si="2"/>
        <v> </v>
      </c>
    </row>
    <row r="3703" ht="15.75" customHeight="1">
      <c r="A3703" s="11">
        <v>15306.0</v>
      </c>
      <c r="B3703" s="11" t="s">
        <v>3724</v>
      </c>
      <c r="C3703" s="12">
        <v>15750.0</v>
      </c>
      <c r="D3703" s="11" t="str">
        <f t="shared" si="1"/>
        <v> </v>
      </c>
      <c r="E3703" s="11" t="str">
        <f t="shared" si="2"/>
        <v> </v>
      </c>
    </row>
    <row r="3704" ht="15.75" customHeight="1">
      <c r="A3704" s="11">
        <v>15307.0</v>
      </c>
      <c r="B3704" s="11" t="s">
        <v>3725</v>
      </c>
      <c r="C3704" s="12">
        <v>21690.0</v>
      </c>
      <c r="D3704" s="11" t="str">
        <f t="shared" si="1"/>
        <v> </v>
      </c>
      <c r="E3704" s="11" t="str">
        <f t="shared" si="2"/>
        <v> </v>
      </c>
    </row>
    <row r="3705" ht="15.75" customHeight="1">
      <c r="A3705" s="11">
        <v>15309.0</v>
      </c>
      <c r="B3705" s="11" t="s">
        <v>3726</v>
      </c>
      <c r="C3705" s="12">
        <v>22714.0</v>
      </c>
      <c r="D3705" s="11" t="str">
        <f t="shared" si="1"/>
        <v> </v>
      </c>
      <c r="E3705" s="11" t="str">
        <f t="shared" si="2"/>
        <v> </v>
      </c>
    </row>
    <row r="3706" ht="15.75" customHeight="1">
      <c r="A3706" s="11">
        <v>15310.0</v>
      </c>
      <c r="B3706" s="11" t="s">
        <v>3727</v>
      </c>
      <c r="C3706" s="12">
        <v>24000.0</v>
      </c>
      <c r="D3706" s="11" t="str">
        <f t="shared" si="1"/>
        <v> </v>
      </c>
      <c r="E3706" s="11" t="str">
        <f t="shared" si="2"/>
        <v> </v>
      </c>
    </row>
    <row r="3707" ht="15.75" customHeight="1">
      <c r="A3707" s="11">
        <v>15311.0</v>
      </c>
      <c r="B3707" s="11" t="s">
        <v>3728</v>
      </c>
      <c r="C3707" s="12">
        <v>34728.0</v>
      </c>
      <c r="D3707" s="11" t="str">
        <f t="shared" si="1"/>
        <v> </v>
      </c>
      <c r="E3707" s="11" t="str">
        <f t="shared" si="2"/>
        <v> </v>
      </c>
    </row>
    <row r="3708" ht="15.75" customHeight="1">
      <c r="A3708" s="11">
        <v>15313.0</v>
      </c>
      <c r="B3708" s="11" t="s">
        <v>3729</v>
      </c>
      <c r="C3708" s="12">
        <v>22340.0</v>
      </c>
      <c r="D3708" s="11" t="str">
        <f t="shared" si="1"/>
        <v> </v>
      </c>
      <c r="E3708" s="11" t="str">
        <f t="shared" si="2"/>
        <v> </v>
      </c>
    </row>
    <row r="3709" ht="15.75" customHeight="1">
      <c r="A3709" s="11">
        <v>15315.0</v>
      </c>
      <c r="B3709" s="11" t="s">
        <v>3730</v>
      </c>
      <c r="C3709" s="12">
        <v>23045.0</v>
      </c>
      <c r="D3709" s="11" t="str">
        <f t="shared" si="1"/>
        <v> </v>
      </c>
      <c r="E3709" s="11" t="str">
        <f t="shared" si="2"/>
        <v> </v>
      </c>
    </row>
    <row r="3710" ht="15.75" customHeight="1">
      <c r="A3710" s="11">
        <v>15316.0</v>
      </c>
      <c r="B3710" s="11" t="s">
        <v>3731</v>
      </c>
      <c r="C3710" s="12">
        <v>22265.0</v>
      </c>
      <c r="D3710" s="11" t="str">
        <f t="shared" si="1"/>
        <v> </v>
      </c>
      <c r="E3710" s="11" t="str">
        <f t="shared" si="2"/>
        <v> </v>
      </c>
    </row>
    <row r="3711" ht="15.75" customHeight="1">
      <c r="A3711" s="11">
        <v>15317.0</v>
      </c>
      <c r="B3711" s="11" t="s">
        <v>3732</v>
      </c>
      <c r="C3711" s="12">
        <v>18445.0</v>
      </c>
      <c r="D3711" s="11" t="str">
        <f t="shared" si="1"/>
        <v> </v>
      </c>
      <c r="E3711" s="11" t="str">
        <f t="shared" si="2"/>
        <v> </v>
      </c>
    </row>
    <row r="3712" ht="15.75" customHeight="1">
      <c r="A3712" s="11">
        <v>15318.0</v>
      </c>
      <c r="B3712" s="11" t="s">
        <v>3733</v>
      </c>
      <c r="C3712" s="12">
        <v>27343.0</v>
      </c>
      <c r="D3712" s="11" t="str">
        <f t="shared" si="1"/>
        <v> </v>
      </c>
      <c r="E3712" s="11" t="str">
        <f t="shared" si="2"/>
        <v> </v>
      </c>
    </row>
    <row r="3713" ht="15.75" customHeight="1">
      <c r="A3713" s="11">
        <v>15321.0</v>
      </c>
      <c r="B3713" s="11" t="s">
        <v>3734</v>
      </c>
      <c r="C3713" s="12">
        <v>22826.0</v>
      </c>
      <c r="D3713" s="11" t="str">
        <f t="shared" si="1"/>
        <v> </v>
      </c>
      <c r="E3713" s="11" t="str">
        <f t="shared" si="2"/>
        <v> </v>
      </c>
    </row>
    <row r="3714" ht="15.75" customHeight="1">
      <c r="A3714" s="11">
        <v>15322.0</v>
      </c>
      <c r="B3714" s="11" t="s">
        <v>3735</v>
      </c>
      <c r="C3714" s="12">
        <v>16468.0</v>
      </c>
      <c r="D3714" s="11" t="str">
        <f t="shared" si="1"/>
        <v> </v>
      </c>
      <c r="E3714" s="11" t="str">
        <f t="shared" si="2"/>
        <v> </v>
      </c>
    </row>
    <row r="3715" ht="15.75" customHeight="1">
      <c r="A3715" s="11">
        <v>15324.0</v>
      </c>
      <c r="B3715" s="11" t="s">
        <v>3736</v>
      </c>
      <c r="C3715" s="12">
        <v>25994.0</v>
      </c>
      <c r="D3715" s="11" t="str">
        <f t="shared" si="1"/>
        <v> </v>
      </c>
      <c r="E3715" s="11" t="str">
        <f t="shared" si="2"/>
        <v> </v>
      </c>
    </row>
    <row r="3716" ht="15.75" customHeight="1">
      <c r="A3716" s="11">
        <v>15325.0</v>
      </c>
      <c r="B3716" s="11" t="s">
        <v>3737</v>
      </c>
      <c r="C3716" s="12">
        <v>28657.0</v>
      </c>
      <c r="D3716" s="11" t="str">
        <f t="shared" si="1"/>
        <v> </v>
      </c>
      <c r="E3716" s="11" t="str">
        <f t="shared" si="2"/>
        <v> </v>
      </c>
    </row>
    <row r="3717" ht="15.75" customHeight="1">
      <c r="A3717" s="11">
        <v>15326.0</v>
      </c>
      <c r="B3717" s="11" t="s">
        <v>3738</v>
      </c>
      <c r="C3717" s="12">
        <v>26038.0</v>
      </c>
      <c r="D3717" s="11" t="str">
        <f t="shared" si="1"/>
        <v> </v>
      </c>
      <c r="E3717" s="11" t="str">
        <f t="shared" si="2"/>
        <v> </v>
      </c>
    </row>
    <row r="3718" ht="15.75" customHeight="1">
      <c r="A3718" s="11">
        <v>15327.0</v>
      </c>
      <c r="B3718" s="11" t="s">
        <v>3739</v>
      </c>
      <c r="C3718" s="12">
        <v>13256.0</v>
      </c>
      <c r="D3718" s="11" t="str">
        <f t="shared" si="1"/>
        <v> </v>
      </c>
      <c r="E3718" s="11" t="str">
        <f t="shared" si="2"/>
        <v> </v>
      </c>
    </row>
    <row r="3719" ht="15.75" customHeight="1">
      <c r="A3719" s="11">
        <v>15328.0</v>
      </c>
      <c r="B3719" s="11" t="s">
        <v>3740</v>
      </c>
      <c r="C3719" s="12">
        <v>26212.0</v>
      </c>
      <c r="D3719" s="11" t="str">
        <f t="shared" si="1"/>
        <v> </v>
      </c>
      <c r="E3719" s="11" t="str">
        <f t="shared" si="2"/>
        <v> </v>
      </c>
    </row>
    <row r="3720" ht="15.75" customHeight="1">
      <c r="A3720" s="11">
        <v>15329.0</v>
      </c>
      <c r="B3720" s="11" t="s">
        <v>3741</v>
      </c>
      <c r="C3720" s="12">
        <v>26889.0</v>
      </c>
      <c r="D3720" s="11" t="str">
        <f t="shared" si="1"/>
        <v> </v>
      </c>
      <c r="E3720" s="11" t="str">
        <f t="shared" si="2"/>
        <v> </v>
      </c>
    </row>
    <row r="3721" ht="15.75" customHeight="1">
      <c r="A3721" s="11">
        <v>15330.0</v>
      </c>
      <c r="B3721" s="11" t="s">
        <v>3742</v>
      </c>
      <c r="C3721" s="12">
        <v>12342.0</v>
      </c>
      <c r="D3721" s="11" t="str">
        <f t="shared" si="1"/>
        <v> </v>
      </c>
      <c r="E3721" s="11" t="str">
        <f t="shared" si="2"/>
        <v> </v>
      </c>
    </row>
    <row r="3722" ht="15.75" customHeight="1">
      <c r="A3722" s="11">
        <v>15331.0</v>
      </c>
      <c r="B3722" s="11" t="s">
        <v>3743</v>
      </c>
      <c r="C3722" s="12">
        <v>23051.0</v>
      </c>
      <c r="D3722" s="11" t="str">
        <f t="shared" si="1"/>
        <v> </v>
      </c>
      <c r="E3722" s="11" t="str">
        <f t="shared" si="2"/>
        <v> </v>
      </c>
    </row>
    <row r="3723" ht="15.75" customHeight="1">
      <c r="A3723" s="11">
        <v>15333.0</v>
      </c>
      <c r="B3723" s="11" t="s">
        <v>3744</v>
      </c>
      <c r="C3723" s="12">
        <v>19284.0</v>
      </c>
      <c r="D3723" s="11" t="str">
        <f t="shared" si="1"/>
        <v> </v>
      </c>
      <c r="E3723" s="11" t="str">
        <f t="shared" si="2"/>
        <v> </v>
      </c>
    </row>
    <row r="3724" ht="15.75" customHeight="1">
      <c r="A3724" s="11">
        <v>15334.0</v>
      </c>
      <c r="B3724" s="11" t="s">
        <v>3745</v>
      </c>
      <c r="C3724" s="12">
        <v>25400.0</v>
      </c>
      <c r="D3724" s="11" t="str">
        <f t="shared" si="1"/>
        <v> </v>
      </c>
      <c r="E3724" s="11" t="str">
        <f t="shared" si="2"/>
        <v> </v>
      </c>
    </row>
    <row r="3725" ht="15.75" customHeight="1">
      <c r="A3725" s="11">
        <v>15335.0</v>
      </c>
      <c r="B3725" s="11" t="s">
        <v>3746</v>
      </c>
      <c r="C3725" s="12">
        <v>33029.0</v>
      </c>
      <c r="D3725" s="11" t="str">
        <f t="shared" si="1"/>
        <v> </v>
      </c>
      <c r="E3725" s="11" t="str">
        <f t="shared" si="2"/>
        <v> </v>
      </c>
    </row>
    <row r="3726" ht="15.75" customHeight="1">
      <c r="A3726" s="11">
        <v>15336.0</v>
      </c>
      <c r="B3726" s="11" t="s">
        <v>3747</v>
      </c>
      <c r="C3726" s="12">
        <v>23002.0</v>
      </c>
      <c r="D3726" s="11" t="str">
        <f t="shared" si="1"/>
        <v> </v>
      </c>
      <c r="E3726" s="11" t="str">
        <f t="shared" si="2"/>
        <v> </v>
      </c>
    </row>
    <row r="3727" ht="15.75" customHeight="1">
      <c r="A3727" s="11">
        <v>15337.0</v>
      </c>
      <c r="B3727" s="11" t="s">
        <v>3748</v>
      </c>
      <c r="C3727" s="12">
        <v>29323.0</v>
      </c>
      <c r="D3727" s="11" t="str">
        <f t="shared" si="1"/>
        <v> </v>
      </c>
      <c r="E3727" s="11" t="str">
        <f t="shared" si="2"/>
        <v> </v>
      </c>
    </row>
    <row r="3728" ht="15.75" customHeight="1">
      <c r="A3728" s="11">
        <v>15338.0</v>
      </c>
      <c r="B3728" s="11" t="s">
        <v>3749</v>
      </c>
      <c r="C3728" s="12">
        <v>23852.0</v>
      </c>
      <c r="D3728" s="11" t="str">
        <f t="shared" si="1"/>
        <v> </v>
      </c>
      <c r="E3728" s="11" t="str">
        <f t="shared" si="2"/>
        <v> </v>
      </c>
    </row>
    <row r="3729" ht="15.75" customHeight="1">
      <c r="A3729" s="11">
        <v>15339.0</v>
      </c>
      <c r="B3729" s="11" t="s">
        <v>3750</v>
      </c>
      <c r="C3729" s="12">
        <v>13992.0</v>
      </c>
      <c r="D3729" s="11" t="str">
        <f t="shared" si="1"/>
        <v> </v>
      </c>
      <c r="E3729" s="11" t="str">
        <f t="shared" si="2"/>
        <v> </v>
      </c>
    </row>
    <row r="3730" ht="15.75" customHeight="1">
      <c r="A3730" s="11">
        <v>15340.0</v>
      </c>
      <c r="B3730" s="11" t="s">
        <v>3751</v>
      </c>
      <c r="C3730" s="12">
        <v>20218.0</v>
      </c>
      <c r="D3730" s="11" t="str">
        <f t="shared" si="1"/>
        <v> </v>
      </c>
      <c r="E3730" s="11" t="str">
        <f t="shared" si="2"/>
        <v> </v>
      </c>
    </row>
    <row r="3731" ht="15.75" customHeight="1">
      <c r="A3731" s="11">
        <v>15341.0</v>
      </c>
      <c r="B3731" s="11" t="s">
        <v>3752</v>
      </c>
      <c r="C3731" s="12">
        <v>18032.0</v>
      </c>
      <c r="D3731" s="11" t="str">
        <f t="shared" si="1"/>
        <v> </v>
      </c>
      <c r="E3731" s="11" t="str">
        <f t="shared" si="2"/>
        <v> </v>
      </c>
    </row>
    <row r="3732" ht="15.75" customHeight="1">
      <c r="A3732" s="11">
        <v>15342.0</v>
      </c>
      <c r="B3732" s="11" t="s">
        <v>3753</v>
      </c>
      <c r="C3732" s="12">
        <v>20028.0</v>
      </c>
      <c r="D3732" s="11" t="str">
        <f t="shared" si="1"/>
        <v> </v>
      </c>
      <c r="E3732" s="11" t="str">
        <f t="shared" si="2"/>
        <v> </v>
      </c>
    </row>
    <row r="3733" ht="15.75" customHeight="1">
      <c r="A3733" s="11">
        <v>15343.0</v>
      </c>
      <c r="B3733" s="11" t="s">
        <v>3754</v>
      </c>
      <c r="C3733" s="12">
        <v>31003.0</v>
      </c>
      <c r="D3733" s="11" t="str">
        <f t="shared" si="1"/>
        <v> </v>
      </c>
      <c r="E3733" s="11" t="str">
        <f t="shared" si="2"/>
        <v> </v>
      </c>
    </row>
    <row r="3734" ht="15.75" customHeight="1">
      <c r="A3734" s="11">
        <v>15345.0</v>
      </c>
      <c r="B3734" s="11" t="s">
        <v>3755</v>
      </c>
      <c r="C3734" s="12">
        <v>22955.0</v>
      </c>
      <c r="D3734" s="11" t="str">
        <f t="shared" si="1"/>
        <v> </v>
      </c>
      <c r="E3734" s="11" t="str">
        <f t="shared" si="2"/>
        <v> </v>
      </c>
    </row>
    <row r="3735" ht="15.75" customHeight="1">
      <c r="A3735" s="11">
        <v>15346.0</v>
      </c>
      <c r="B3735" s="11" t="s">
        <v>3756</v>
      </c>
      <c r="C3735" s="12">
        <v>24452.0</v>
      </c>
      <c r="D3735" s="11" t="str">
        <f t="shared" si="1"/>
        <v> </v>
      </c>
      <c r="E3735" s="11" t="str">
        <f t="shared" si="2"/>
        <v> </v>
      </c>
    </row>
    <row r="3736" ht="15.75" customHeight="1">
      <c r="A3736" s="11">
        <v>15347.0</v>
      </c>
      <c r="B3736" s="11" t="s">
        <v>3757</v>
      </c>
      <c r="C3736" s="12">
        <v>17638.0</v>
      </c>
      <c r="D3736" s="11" t="str">
        <f t="shared" si="1"/>
        <v> </v>
      </c>
      <c r="E3736" s="11" t="str">
        <f t="shared" si="2"/>
        <v> </v>
      </c>
    </row>
    <row r="3737" ht="15.75" customHeight="1">
      <c r="A3737" s="11">
        <v>15348.0</v>
      </c>
      <c r="B3737" s="11" t="s">
        <v>3758</v>
      </c>
      <c r="C3737" s="12">
        <v>22242.0</v>
      </c>
      <c r="D3737" s="11" t="str">
        <f t="shared" si="1"/>
        <v> </v>
      </c>
      <c r="E3737" s="11" t="str">
        <f t="shared" si="2"/>
        <v> </v>
      </c>
    </row>
    <row r="3738" ht="15.75" customHeight="1">
      <c r="A3738" s="11">
        <v>15349.0</v>
      </c>
      <c r="B3738" s="11" t="s">
        <v>3759</v>
      </c>
      <c r="C3738" s="12">
        <v>25447.0</v>
      </c>
      <c r="D3738" s="11" t="str">
        <f t="shared" si="1"/>
        <v> </v>
      </c>
      <c r="E3738" s="11" t="str">
        <f t="shared" si="2"/>
        <v> </v>
      </c>
    </row>
    <row r="3739" ht="15.75" customHeight="1">
      <c r="A3739" s="11">
        <v>15350.0</v>
      </c>
      <c r="B3739" s="11" t="s">
        <v>3760</v>
      </c>
      <c r="C3739" s="12">
        <v>22833.0</v>
      </c>
      <c r="D3739" s="11" t="str">
        <f t="shared" si="1"/>
        <v> </v>
      </c>
      <c r="E3739" s="11" t="str">
        <f t="shared" si="2"/>
        <v> </v>
      </c>
    </row>
    <row r="3740" ht="15.75" customHeight="1">
      <c r="A3740" s="11">
        <v>15351.0</v>
      </c>
      <c r="B3740" s="11" t="s">
        <v>3761</v>
      </c>
      <c r="C3740" s="12">
        <v>26303.0</v>
      </c>
      <c r="D3740" s="11" t="str">
        <f t="shared" si="1"/>
        <v> </v>
      </c>
      <c r="E3740" s="11" t="str">
        <f t="shared" si="2"/>
        <v> </v>
      </c>
    </row>
    <row r="3741" ht="15.75" customHeight="1">
      <c r="A3741" s="11">
        <v>15352.0</v>
      </c>
      <c r="B3741" s="11" t="s">
        <v>3762</v>
      </c>
      <c r="C3741" s="12">
        <v>18942.0</v>
      </c>
      <c r="D3741" s="11" t="str">
        <f t="shared" si="1"/>
        <v>Repeat</v>
      </c>
      <c r="E3741" s="11" t="str">
        <f t="shared" si="2"/>
        <v> </v>
      </c>
    </row>
    <row r="3742" ht="15.75" customHeight="1">
      <c r="A3742" s="11">
        <v>15353.0</v>
      </c>
      <c r="B3742" s="11" t="s">
        <v>3763</v>
      </c>
      <c r="C3742" s="12">
        <v>14102.0</v>
      </c>
      <c r="D3742" s="11" t="str">
        <f t="shared" si="1"/>
        <v> </v>
      </c>
      <c r="E3742" s="11" t="str">
        <f t="shared" si="2"/>
        <v> </v>
      </c>
    </row>
    <row r="3743" ht="15.75" customHeight="1">
      <c r="A3743" s="11">
        <v>15354.0</v>
      </c>
      <c r="B3743" s="11" t="s">
        <v>3764</v>
      </c>
      <c r="C3743" s="12">
        <v>25160.0</v>
      </c>
      <c r="D3743" s="11" t="str">
        <f t="shared" si="1"/>
        <v> </v>
      </c>
      <c r="E3743" s="11" t="str">
        <f t="shared" si="2"/>
        <v> </v>
      </c>
    </row>
    <row r="3744" ht="15.75" customHeight="1">
      <c r="A3744" s="11">
        <v>15355.0</v>
      </c>
      <c r="B3744" s="11" t="s">
        <v>3765</v>
      </c>
      <c r="C3744" s="12">
        <v>17678.0</v>
      </c>
      <c r="D3744" s="11" t="str">
        <f t="shared" si="1"/>
        <v> </v>
      </c>
      <c r="E3744" s="11" t="str">
        <f t="shared" si="2"/>
        <v> </v>
      </c>
    </row>
    <row r="3745" ht="15.75" customHeight="1">
      <c r="A3745" s="11">
        <v>15356.0</v>
      </c>
      <c r="B3745" s="11" t="s">
        <v>3766</v>
      </c>
      <c r="C3745" s="12">
        <v>19211.0</v>
      </c>
      <c r="D3745" s="11" t="str">
        <f t="shared" si="1"/>
        <v>Repeat</v>
      </c>
      <c r="E3745" s="11" t="str">
        <f t="shared" si="2"/>
        <v> </v>
      </c>
    </row>
    <row r="3746" ht="15.75" customHeight="1">
      <c r="A3746" s="11">
        <v>15358.0</v>
      </c>
      <c r="B3746" s="11" t="s">
        <v>3767</v>
      </c>
      <c r="C3746" s="12">
        <v>26371.0</v>
      </c>
      <c r="D3746" s="11" t="str">
        <f t="shared" si="1"/>
        <v> </v>
      </c>
      <c r="E3746" s="11" t="str">
        <f t="shared" si="2"/>
        <v> </v>
      </c>
    </row>
    <row r="3747" ht="15.75" customHeight="1">
      <c r="A3747" s="11">
        <v>15359.0</v>
      </c>
      <c r="B3747" s="11" t="s">
        <v>3768</v>
      </c>
      <c r="C3747" s="12">
        <v>29328.0</v>
      </c>
      <c r="D3747" s="11" t="str">
        <f t="shared" si="1"/>
        <v> </v>
      </c>
      <c r="E3747" s="11" t="str">
        <f t="shared" si="2"/>
        <v> </v>
      </c>
    </row>
    <row r="3748" ht="15.75" customHeight="1">
      <c r="A3748" s="11">
        <v>15360.0</v>
      </c>
      <c r="B3748" s="11" t="s">
        <v>3769</v>
      </c>
      <c r="C3748" s="12">
        <v>28604.0</v>
      </c>
      <c r="D3748" s="11" t="str">
        <f t="shared" si="1"/>
        <v> </v>
      </c>
      <c r="E3748" s="11" t="str">
        <f t="shared" si="2"/>
        <v> </v>
      </c>
    </row>
    <row r="3749" ht="15.75" customHeight="1">
      <c r="A3749" s="11">
        <v>15361.0</v>
      </c>
      <c r="B3749" s="11" t="s">
        <v>3770</v>
      </c>
      <c r="C3749" s="12">
        <v>21945.0</v>
      </c>
      <c r="D3749" s="11" t="str">
        <f t="shared" si="1"/>
        <v> </v>
      </c>
      <c r="E3749" s="11" t="str">
        <f t="shared" si="2"/>
        <v> </v>
      </c>
    </row>
    <row r="3750" ht="15.75" customHeight="1">
      <c r="A3750" s="11">
        <v>15362.0</v>
      </c>
      <c r="B3750" s="11" t="s">
        <v>3771</v>
      </c>
      <c r="C3750" s="12">
        <v>23259.0</v>
      </c>
      <c r="D3750" s="11" t="str">
        <f t="shared" si="1"/>
        <v> </v>
      </c>
      <c r="E3750" s="11" t="str">
        <f t="shared" si="2"/>
        <v> </v>
      </c>
    </row>
    <row r="3751" ht="15.75" customHeight="1">
      <c r="A3751" s="11">
        <v>15363.0</v>
      </c>
      <c r="B3751" s="11" t="s">
        <v>3772</v>
      </c>
      <c r="C3751" s="12">
        <v>15602.0</v>
      </c>
      <c r="D3751" s="11" t="str">
        <f t="shared" si="1"/>
        <v> </v>
      </c>
      <c r="E3751" s="11" t="str">
        <f t="shared" si="2"/>
        <v> </v>
      </c>
    </row>
    <row r="3752" ht="15.75" customHeight="1">
      <c r="A3752" s="11">
        <v>15366.0</v>
      </c>
      <c r="B3752" s="11" t="s">
        <v>3773</v>
      </c>
      <c r="C3752" s="12">
        <v>34555.0</v>
      </c>
      <c r="D3752" s="11" t="str">
        <f t="shared" si="1"/>
        <v> </v>
      </c>
      <c r="E3752" s="11" t="str">
        <f t="shared" si="2"/>
        <v> </v>
      </c>
    </row>
    <row r="3753" ht="15.75" customHeight="1">
      <c r="A3753" s="11">
        <v>15367.0</v>
      </c>
      <c r="B3753" s="11" t="s">
        <v>3774</v>
      </c>
      <c r="C3753" s="12">
        <v>13516.0</v>
      </c>
      <c r="D3753" s="11" t="str">
        <f t="shared" si="1"/>
        <v> </v>
      </c>
      <c r="E3753" s="11" t="str">
        <f t="shared" si="2"/>
        <v> </v>
      </c>
    </row>
    <row r="3754" ht="15.75" customHeight="1">
      <c r="A3754" s="11">
        <v>15368.0</v>
      </c>
      <c r="B3754" s="11" t="s">
        <v>3775</v>
      </c>
      <c r="C3754" s="12">
        <v>14748.0</v>
      </c>
      <c r="D3754" s="11" t="str">
        <f t="shared" si="1"/>
        <v> </v>
      </c>
      <c r="E3754" s="11" t="str">
        <f t="shared" si="2"/>
        <v> </v>
      </c>
    </row>
    <row r="3755" ht="15.75" customHeight="1">
      <c r="A3755" s="11">
        <v>15369.0</v>
      </c>
      <c r="B3755" s="11" t="s">
        <v>3776</v>
      </c>
      <c r="C3755" s="12">
        <v>20429.0</v>
      </c>
      <c r="D3755" s="11" t="str">
        <f t="shared" si="1"/>
        <v> </v>
      </c>
      <c r="E3755" s="11" t="str">
        <f t="shared" si="2"/>
        <v> </v>
      </c>
    </row>
    <row r="3756" ht="15.75" customHeight="1">
      <c r="A3756" s="11">
        <v>15370.0</v>
      </c>
      <c r="B3756" s="11" t="s">
        <v>3777</v>
      </c>
      <c r="C3756" s="12">
        <v>17065.0</v>
      </c>
      <c r="D3756" s="11" t="str">
        <f t="shared" si="1"/>
        <v> </v>
      </c>
      <c r="E3756" s="11" t="str">
        <f t="shared" si="2"/>
        <v> </v>
      </c>
    </row>
    <row r="3757" ht="15.75" customHeight="1">
      <c r="A3757" s="11">
        <v>15371.0</v>
      </c>
      <c r="B3757" s="11" t="s">
        <v>3778</v>
      </c>
      <c r="C3757" s="12">
        <v>20440.0</v>
      </c>
      <c r="D3757" s="11" t="str">
        <f t="shared" si="1"/>
        <v> </v>
      </c>
      <c r="E3757" s="11" t="str">
        <f t="shared" si="2"/>
        <v> </v>
      </c>
    </row>
    <row r="3758" ht="15.75" customHeight="1">
      <c r="A3758" s="11">
        <v>15372.0</v>
      </c>
      <c r="B3758" s="11" t="s">
        <v>3779</v>
      </c>
      <c r="C3758" s="12">
        <v>17930.0</v>
      </c>
      <c r="D3758" s="11" t="str">
        <f t="shared" si="1"/>
        <v> </v>
      </c>
      <c r="E3758" s="11" t="str">
        <f t="shared" si="2"/>
        <v> </v>
      </c>
    </row>
    <row r="3759" ht="15.75" customHeight="1">
      <c r="A3759" s="11">
        <v>15374.0</v>
      </c>
      <c r="B3759" s="11" t="s">
        <v>3780</v>
      </c>
      <c r="C3759" s="12">
        <v>32583.0</v>
      </c>
      <c r="D3759" s="11" t="str">
        <f t="shared" si="1"/>
        <v> </v>
      </c>
      <c r="E3759" s="11" t="str">
        <f t="shared" si="2"/>
        <v> </v>
      </c>
    </row>
    <row r="3760" ht="15.75" customHeight="1">
      <c r="A3760" s="11">
        <v>15375.0</v>
      </c>
      <c r="B3760" s="11" t="s">
        <v>3781</v>
      </c>
      <c r="C3760" s="12">
        <v>26002.0</v>
      </c>
      <c r="D3760" s="11" t="str">
        <f t="shared" si="1"/>
        <v> </v>
      </c>
      <c r="E3760" s="11" t="str">
        <f t="shared" si="2"/>
        <v> </v>
      </c>
    </row>
    <row r="3761" ht="15.75" customHeight="1">
      <c r="A3761" s="11">
        <v>15376.0</v>
      </c>
      <c r="B3761" s="11" t="s">
        <v>3782</v>
      </c>
      <c r="C3761" s="12">
        <v>25959.0</v>
      </c>
      <c r="D3761" s="11" t="str">
        <f t="shared" si="1"/>
        <v> </v>
      </c>
      <c r="E3761" s="11" t="str">
        <f t="shared" si="2"/>
        <v> </v>
      </c>
    </row>
    <row r="3762" ht="15.75" customHeight="1">
      <c r="A3762" s="11">
        <v>15377.0</v>
      </c>
      <c r="B3762" s="11" t="s">
        <v>3783</v>
      </c>
      <c r="C3762" s="12">
        <v>20329.0</v>
      </c>
      <c r="D3762" s="11" t="str">
        <f t="shared" si="1"/>
        <v> </v>
      </c>
      <c r="E3762" s="11" t="str">
        <f t="shared" si="2"/>
        <v> </v>
      </c>
    </row>
    <row r="3763" ht="15.75" customHeight="1">
      <c r="A3763" s="11">
        <v>15378.0</v>
      </c>
      <c r="B3763" s="11" t="s">
        <v>3784</v>
      </c>
      <c r="C3763" s="12">
        <v>20866.0</v>
      </c>
      <c r="D3763" s="11" t="str">
        <f t="shared" si="1"/>
        <v> </v>
      </c>
      <c r="E3763" s="11" t="str">
        <f t="shared" si="2"/>
        <v> </v>
      </c>
    </row>
    <row r="3764" ht="15.75" customHeight="1">
      <c r="A3764" s="11">
        <v>15379.0</v>
      </c>
      <c r="B3764" s="11" t="s">
        <v>3785</v>
      </c>
      <c r="C3764" s="12">
        <v>17858.0</v>
      </c>
      <c r="D3764" s="11" t="str">
        <f t="shared" si="1"/>
        <v>Repeat</v>
      </c>
      <c r="E3764" s="11" t="str">
        <f t="shared" si="2"/>
        <v> </v>
      </c>
    </row>
    <row r="3765" ht="15.75" customHeight="1">
      <c r="A3765" s="11">
        <v>15380.0</v>
      </c>
      <c r="B3765" s="11" t="s">
        <v>3786</v>
      </c>
      <c r="C3765" s="12">
        <v>23270.0</v>
      </c>
      <c r="D3765" s="11" t="str">
        <f t="shared" si="1"/>
        <v> </v>
      </c>
      <c r="E3765" s="11" t="str">
        <f t="shared" si="2"/>
        <v> </v>
      </c>
    </row>
    <row r="3766" ht="15.75" customHeight="1">
      <c r="A3766" s="11">
        <v>15381.0</v>
      </c>
      <c r="B3766" s="11" t="s">
        <v>3787</v>
      </c>
      <c r="C3766" s="12">
        <v>16369.0</v>
      </c>
      <c r="D3766" s="11" t="str">
        <f t="shared" si="1"/>
        <v> </v>
      </c>
      <c r="E3766" s="11" t="str">
        <f t="shared" si="2"/>
        <v> </v>
      </c>
    </row>
    <row r="3767" ht="15.75" customHeight="1">
      <c r="A3767" s="11">
        <v>15382.0</v>
      </c>
      <c r="B3767" s="11" t="s">
        <v>3788</v>
      </c>
      <c r="C3767" s="12">
        <v>22192.0</v>
      </c>
      <c r="D3767" s="11" t="str">
        <f t="shared" si="1"/>
        <v> </v>
      </c>
      <c r="E3767" s="11" t="str">
        <f t="shared" si="2"/>
        <v> </v>
      </c>
    </row>
    <row r="3768" ht="15.75" customHeight="1">
      <c r="A3768" s="11">
        <v>15383.0</v>
      </c>
      <c r="B3768" s="11" t="s">
        <v>3789</v>
      </c>
      <c r="C3768" s="12">
        <v>18387.0</v>
      </c>
      <c r="D3768" s="11" t="str">
        <f t="shared" si="1"/>
        <v> </v>
      </c>
      <c r="E3768" s="11" t="str">
        <f t="shared" si="2"/>
        <v> </v>
      </c>
    </row>
    <row r="3769" ht="15.75" customHeight="1">
      <c r="A3769" s="11">
        <v>15384.0</v>
      </c>
      <c r="B3769" s="11" t="s">
        <v>3790</v>
      </c>
      <c r="C3769" s="12">
        <v>19744.0</v>
      </c>
      <c r="D3769" s="11" t="str">
        <f t="shared" si="1"/>
        <v> </v>
      </c>
      <c r="E3769" s="11" t="str">
        <f t="shared" si="2"/>
        <v> </v>
      </c>
    </row>
    <row r="3770" ht="15.75" customHeight="1">
      <c r="A3770" s="11">
        <v>15385.0</v>
      </c>
      <c r="B3770" s="11" t="s">
        <v>3791</v>
      </c>
      <c r="C3770" s="12">
        <v>33331.0</v>
      </c>
      <c r="D3770" s="11" t="str">
        <f t="shared" si="1"/>
        <v> </v>
      </c>
      <c r="E3770" s="11" t="str">
        <f t="shared" si="2"/>
        <v> </v>
      </c>
    </row>
    <row r="3771" ht="15.75" customHeight="1">
      <c r="A3771" s="11">
        <v>15386.0</v>
      </c>
      <c r="B3771" s="11" t="s">
        <v>3792</v>
      </c>
      <c r="C3771" s="12">
        <v>16780.0</v>
      </c>
      <c r="D3771" s="11" t="str">
        <f t="shared" si="1"/>
        <v> </v>
      </c>
      <c r="E3771" s="11" t="str">
        <f t="shared" si="2"/>
        <v> </v>
      </c>
    </row>
    <row r="3772" ht="15.75" customHeight="1">
      <c r="A3772" s="11">
        <v>15387.0</v>
      </c>
      <c r="B3772" s="11" t="s">
        <v>3793</v>
      </c>
      <c r="C3772" s="12">
        <v>30148.0</v>
      </c>
      <c r="D3772" s="11" t="str">
        <f t="shared" si="1"/>
        <v> </v>
      </c>
      <c r="E3772" s="11" t="str">
        <f t="shared" si="2"/>
        <v> </v>
      </c>
    </row>
    <row r="3773" ht="15.75" customHeight="1">
      <c r="A3773" s="11">
        <v>15388.0</v>
      </c>
      <c r="B3773" s="11" t="s">
        <v>3794</v>
      </c>
      <c r="C3773" s="12">
        <v>20125.0</v>
      </c>
      <c r="D3773" s="11" t="str">
        <f t="shared" si="1"/>
        <v> </v>
      </c>
      <c r="E3773" s="11" t="str">
        <f t="shared" si="2"/>
        <v> </v>
      </c>
    </row>
    <row r="3774" ht="15.75" customHeight="1">
      <c r="A3774" s="11">
        <v>15389.0</v>
      </c>
      <c r="B3774" s="11" t="s">
        <v>3795</v>
      </c>
      <c r="C3774" s="12">
        <v>15601.0</v>
      </c>
      <c r="D3774" s="11" t="str">
        <f t="shared" si="1"/>
        <v> </v>
      </c>
      <c r="E3774" s="11" t="str">
        <f t="shared" si="2"/>
        <v> </v>
      </c>
    </row>
    <row r="3775" ht="15.75" customHeight="1">
      <c r="A3775" s="11">
        <v>15390.0</v>
      </c>
      <c r="B3775" s="11" t="s">
        <v>3796</v>
      </c>
      <c r="C3775" s="12">
        <v>21294.0</v>
      </c>
      <c r="D3775" s="11" t="str">
        <f t="shared" si="1"/>
        <v> </v>
      </c>
      <c r="E3775" s="11" t="str">
        <f t="shared" si="2"/>
        <v> </v>
      </c>
    </row>
    <row r="3776" ht="15.75" customHeight="1">
      <c r="A3776" s="11">
        <v>15391.0</v>
      </c>
      <c r="B3776" s="11" t="s">
        <v>3797</v>
      </c>
      <c r="C3776" s="12">
        <v>29802.0</v>
      </c>
      <c r="D3776" s="11" t="str">
        <f t="shared" si="1"/>
        <v> </v>
      </c>
      <c r="E3776" s="11" t="str">
        <f t="shared" si="2"/>
        <v> </v>
      </c>
    </row>
    <row r="3777" ht="15.75" customHeight="1">
      <c r="A3777" s="11">
        <v>15392.0</v>
      </c>
      <c r="B3777" s="11" t="s">
        <v>3798</v>
      </c>
      <c r="C3777" s="12">
        <v>19488.0</v>
      </c>
      <c r="D3777" s="11" t="str">
        <f t="shared" si="1"/>
        <v> </v>
      </c>
      <c r="E3777" s="11" t="str">
        <f t="shared" si="2"/>
        <v> </v>
      </c>
    </row>
    <row r="3778" ht="15.75" customHeight="1">
      <c r="A3778" s="11">
        <v>15393.0</v>
      </c>
      <c r="B3778" s="11" t="s">
        <v>3799</v>
      </c>
      <c r="C3778" s="12">
        <v>24671.0</v>
      </c>
      <c r="D3778" s="11" t="str">
        <f t="shared" si="1"/>
        <v> </v>
      </c>
      <c r="E3778" s="11" t="str">
        <f t="shared" si="2"/>
        <v> </v>
      </c>
    </row>
    <row r="3779" ht="15.75" customHeight="1">
      <c r="A3779" s="11">
        <v>15394.0</v>
      </c>
      <c r="B3779" s="11" t="s">
        <v>3800</v>
      </c>
      <c r="C3779" s="12">
        <v>11812.0</v>
      </c>
      <c r="D3779" s="11" t="str">
        <f t="shared" si="1"/>
        <v> </v>
      </c>
      <c r="E3779" s="11" t="str">
        <f t="shared" si="2"/>
        <v> </v>
      </c>
    </row>
    <row r="3780" ht="15.75" customHeight="1">
      <c r="A3780" s="11">
        <v>15395.0</v>
      </c>
      <c r="B3780" s="11" t="s">
        <v>3801</v>
      </c>
      <c r="C3780" s="12">
        <v>22769.0</v>
      </c>
      <c r="D3780" s="11" t="str">
        <f t="shared" si="1"/>
        <v> </v>
      </c>
      <c r="E3780" s="11" t="str">
        <f t="shared" si="2"/>
        <v> </v>
      </c>
    </row>
    <row r="3781" ht="15.75" customHeight="1">
      <c r="A3781" s="11">
        <v>15396.0</v>
      </c>
      <c r="B3781" s="11" t="s">
        <v>3802</v>
      </c>
      <c r="C3781" s="12">
        <v>18121.0</v>
      </c>
      <c r="D3781" s="11" t="str">
        <f t="shared" si="1"/>
        <v> </v>
      </c>
      <c r="E3781" s="11" t="str">
        <f t="shared" si="2"/>
        <v> </v>
      </c>
    </row>
    <row r="3782" ht="15.75" customHeight="1">
      <c r="A3782" s="11">
        <v>15397.0</v>
      </c>
      <c r="B3782" s="11" t="s">
        <v>3803</v>
      </c>
      <c r="C3782" s="12">
        <v>14602.0</v>
      </c>
      <c r="D3782" s="11" t="str">
        <f t="shared" si="1"/>
        <v> </v>
      </c>
      <c r="E3782" s="11" t="str">
        <f t="shared" si="2"/>
        <v> </v>
      </c>
    </row>
    <row r="3783" ht="15.75" customHeight="1">
      <c r="A3783" s="11">
        <v>15398.0</v>
      </c>
      <c r="B3783" s="11" t="s">
        <v>3804</v>
      </c>
      <c r="C3783" s="12">
        <v>32565.0</v>
      </c>
      <c r="D3783" s="11" t="str">
        <f t="shared" si="1"/>
        <v> </v>
      </c>
      <c r="E3783" s="11" t="str">
        <f t="shared" si="2"/>
        <v> </v>
      </c>
    </row>
    <row r="3784" ht="15.75" customHeight="1">
      <c r="A3784" s="11">
        <v>15399.0</v>
      </c>
      <c r="B3784" s="11" t="s">
        <v>3805</v>
      </c>
      <c r="C3784" s="12">
        <v>28732.0</v>
      </c>
      <c r="D3784" s="11" t="str">
        <f t="shared" si="1"/>
        <v> </v>
      </c>
      <c r="E3784" s="11" t="str">
        <f t="shared" si="2"/>
        <v> </v>
      </c>
    </row>
    <row r="3785" ht="15.75" customHeight="1">
      <c r="A3785" s="11">
        <v>15400.0</v>
      </c>
      <c r="B3785" s="11" t="s">
        <v>3806</v>
      </c>
      <c r="C3785" s="12">
        <v>37959.0</v>
      </c>
      <c r="D3785" s="11" t="str">
        <f t="shared" si="1"/>
        <v> </v>
      </c>
      <c r="E3785" s="11" t="str">
        <f t="shared" si="2"/>
        <v> </v>
      </c>
    </row>
    <row r="3786" ht="15.75" customHeight="1">
      <c r="A3786" s="11">
        <v>15401.0</v>
      </c>
      <c r="B3786" s="11" t="s">
        <v>3807</v>
      </c>
      <c r="C3786" s="12">
        <v>15105.0</v>
      </c>
      <c r="D3786" s="11" t="str">
        <f t="shared" si="1"/>
        <v> </v>
      </c>
      <c r="E3786" s="11" t="str">
        <f t="shared" si="2"/>
        <v> </v>
      </c>
    </row>
    <row r="3787" ht="15.75" customHeight="1">
      <c r="A3787" s="11">
        <v>15402.0</v>
      </c>
      <c r="B3787" s="11" t="s">
        <v>3808</v>
      </c>
      <c r="C3787" s="12">
        <v>16062.0</v>
      </c>
      <c r="D3787" s="11" t="str">
        <f t="shared" si="1"/>
        <v> </v>
      </c>
      <c r="E3787" s="11" t="str">
        <f t="shared" si="2"/>
        <v> </v>
      </c>
    </row>
    <row r="3788" ht="15.75" customHeight="1">
      <c r="A3788" s="11">
        <v>15404.0</v>
      </c>
      <c r="B3788" s="11" t="s">
        <v>3809</v>
      </c>
      <c r="C3788" s="12">
        <v>18529.0</v>
      </c>
      <c r="D3788" s="11" t="str">
        <f t="shared" si="1"/>
        <v> </v>
      </c>
      <c r="E3788" s="11" t="str">
        <f t="shared" si="2"/>
        <v> </v>
      </c>
    </row>
    <row r="3789" ht="15.75" customHeight="1">
      <c r="A3789" s="11">
        <v>15405.0</v>
      </c>
      <c r="B3789" s="11" t="s">
        <v>3810</v>
      </c>
      <c r="C3789" s="12">
        <v>17394.0</v>
      </c>
      <c r="D3789" s="11" t="str">
        <f t="shared" si="1"/>
        <v> </v>
      </c>
      <c r="E3789" s="11" t="str">
        <f t="shared" si="2"/>
        <v> </v>
      </c>
    </row>
    <row r="3790" ht="15.75" customHeight="1">
      <c r="A3790" s="11">
        <v>15407.0</v>
      </c>
      <c r="B3790" s="11" t="s">
        <v>3811</v>
      </c>
      <c r="C3790" s="12">
        <v>29641.0</v>
      </c>
      <c r="D3790" s="11" t="str">
        <f t="shared" si="1"/>
        <v> </v>
      </c>
      <c r="E3790" s="11" t="str">
        <f t="shared" si="2"/>
        <v> </v>
      </c>
    </row>
    <row r="3791" ht="15.75" customHeight="1">
      <c r="A3791" s="11">
        <v>15409.0</v>
      </c>
      <c r="B3791" s="11" t="s">
        <v>3812</v>
      </c>
      <c r="C3791" s="12">
        <v>16055.0</v>
      </c>
      <c r="D3791" s="11" t="str">
        <f t="shared" si="1"/>
        <v> </v>
      </c>
      <c r="E3791" s="11" t="str">
        <f t="shared" si="2"/>
        <v> </v>
      </c>
    </row>
    <row r="3792" ht="15.75" customHeight="1">
      <c r="A3792" s="11">
        <v>16898.0</v>
      </c>
      <c r="B3792" s="11" t="s">
        <v>3813</v>
      </c>
      <c r="C3792" s="12">
        <v>31559.0</v>
      </c>
      <c r="D3792" s="11" t="str">
        <f t="shared" si="1"/>
        <v> </v>
      </c>
      <c r="E3792" s="11" t="str">
        <f t="shared" si="2"/>
        <v> </v>
      </c>
    </row>
    <row r="3793" ht="15.75" customHeight="1">
      <c r="A3793" s="11">
        <v>15413.0</v>
      </c>
      <c r="B3793" s="11" t="s">
        <v>3814</v>
      </c>
      <c r="C3793" s="12">
        <v>16906.0</v>
      </c>
      <c r="D3793" s="11" t="str">
        <f t="shared" si="1"/>
        <v> </v>
      </c>
      <c r="E3793" s="11" t="str">
        <f t="shared" si="2"/>
        <v> </v>
      </c>
    </row>
    <row r="3794" ht="15.75" customHeight="1">
      <c r="A3794" s="11">
        <v>15417.0</v>
      </c>
      <c r="B3794" s="11" t="s">
        <v>3815</v>
      </c>
      <c r="C3794" s="12">
        <v>31218.0</v>
      </c>
      <c r="D3794" s="11" t="str">
        <f t="shared" si="1"/>
        <v> </v>
      </c>
      <c r="E3794" s="11" t="str">
        <f t="shared" si="2"/>
        <v> </v>
      </c>
    </row>
    <row r="3795" ht="15.75" customHeight="1">
      <c r="A3795" s="11">
        <v>15418.0</v>
      </c>
      <c r="B3795" s="11" t="s">
        <v>3816</v>
      </c>
      <c r="C3795" s="12">
        <v>20563.0</v>
      </c>
      <c r="D3795" s="11" t="str">
        <f t="shared" si="1"/>
        <v> </v>
      </c>
      <c r="E3795" s="11" t="str">
        <f t="shared" si="2"/>
        <v> </v>
      </c>
    </row>
    <row r="3796" ht="15.75" customHeight="1">
      <c r="A3796" s="11">
        <v>15419.0</v>
      </c>
      <c r="B3796" s="11" t="s">
        <v>3817</v>
      </c>
      <c r="C3796" s="12">
        <v>21554.0</v>
      </c>
      <c r="D3796" s="11" t="str">
        <f t="shared" si="1"/>
        <v> </v>
      </c>
      <c r="E3796" s="11" t="str">
        <f t="shared" si="2"/>
        <v> </v>
      </c>
    </row>
    <row r="3797" ht="15.75" customHeight="1">
      <c r="A3797" s="11">
        <v>15420.0</v>
      </c>
      <c r="B3797" s="11" t="s">
        <v>3818</v>
      </c>
      <c r="C3797" s="12">
        <v>25687.0</v>
      </c>
      <c r="D3797" s="11" t="str">
        <f t="shared" si="1"/>
        <v> </v>
      </c>
      <c r="E3797" s="11" t="str">
        <f t="shared" si="2"/>
        <v> </v>
      </c>
    </row>
    <row r="3798" ht="15.75" customHeight="1">
      <c r="A3798" s="11">
        <v>15421.0</v>
      </c>
      <c r="B3798" s="11" t="s">
        <v>3819</v>
      </c>
      <c r="C3798" s="12">
        <v>23275.0</v>
      </c>
      <c r="D3798" s="11" t="str">
        <f t="shared" si="1"/>
        <v> </v>
      </c>
      <c r="E3798" s="11" t="str">
        <f t="shared" si="2"/>
        <v> </v>
      </c>
    </row>
    <row r="3799" ht="15.75" customHeight="1">
      <c r="A3799" s="11">
        <v>15422.0</v>
      </c>
      <c r="B3799" s="11" t="s">
        <v>3820</v>
      </c>
      <c r="C3799" s="12">
        <v>27560.0</v>
      </c>
      <c r="D3799" s="11" t="str">
        <f t="shared" si="1"/>
        <v> </v>
      </c>
      <c r="E3799" s="11" t="str">
        <f t="shared" si="2"/>
        <v> </v>
      </c>
    </row>
    <row r="3800" ht="15.75" customHeight="1">
      <c r="A3800" s="11">
        <v>15423.0</v>
      </c>
      <c r="B3800" s="11" t="s">
        <v>3821</v>
      </c>
      <c r="C3800" s="12">
        <v>24363.0</v>
      </c>
      <c r="D3800" s="11" t="str">
        <f t="shared" si="1"/>
        <v> </v>
      </c>
      <c r="E3800" s="11" t="str">
        <f t="shared" si="2"/>
        <v> </v>
      </c>
    </row>
    <row r="3801" ht="15.75" customHeight="1">
      <c r="A3801" s="11">
        <v>15425.0</v>
      </c>
      <c r="B3801" s="11" t="s">
        <v>3822</v>
      </c>
      <c r="C3801" s="12">
        <v>31223.0</v>
      </c>
      <c r="D3801" s="11" t="str">
        <f t="shared" si="1"/>
        <v> </v>
      </c>
      <c r="E3801" s="11" t="str">
        <f t="shared" si="2"/>
        <v> </v>
      </c>
    </row>
    <row r="3802" ht="15.75" customHeight="1">
      <c r="A3802" s="11">
        <v>15426.0</v>
      </c>
      <c r="B3802" s="11" t="s">
        <v>3823</v>
      </c>
      <c r="C3802" s="12">
        <v>18470.0</v>
      </c>
      <c r="D3802" s="11" t="str">
        <f t="shared" si="1"/>
        <v> </v>
      </c>
      <c r="E3802" s="11" t="str">
        <f t="shared" si="2"/>
        <v> </v>
      </c>
    </row>
    <row r="3803" ht="15.75" customHeight="1">
      <c r="A3803" s="11">
        <v>15427.0</v>
      </c>
      <c r="B3803" s="11" t="s">
        <v>3824</v>
      </c>
      <c r="C3803" s="12">
        <v>21365.0</v>
      </c>
      <c r="D3803" s="11" t="str">
        <f t="shared" si="1"/>
        <v> </v>
      </c>
      <c r="E3803" s="11" t="str">
        <f t="shared" si="2"/>
        <v> </v>
      </c>
    </row>
    <row r="3804" ht="15.75" customHeight="1">
      <c r="A3804" s="11">
        <v>15428.0</v>
      </c>
      <c r="B3804" s="11" t="s">
        <v>3825</v>
      </c>
      <c r="C3804" s="12">
        <v>30271.0</v>
      </c>
      <c r="D3804" s="11" t="str">
        <f t="shared" si="1"/>
        <v> </v>
      </c>
      <c r="E3804" s="11" t="str">
        <f t="shared" si="2"/>
        <v> </v>
      </c>
    </row>
    <row r="3805" ht="15.75" customHeight="1">
      <c r="A3805" s="11">
        <v>15430.0</v>
      </c>
      <c r="B3805" s="11" t="s">
        <v>3826</v>
      </c>
      <c r="C3805" s="12">
        <v>28929.0</v>
      </c>
      <c r="D3805" s="11" t="str">
        <f t="shared" si="1"/>
        <v> </v>
      </c>
      <c r="E3805" s="11" t="str">
        <f t="shared" si="2"/>
        <v> </v>
      </c>
    </row>
    <row r="3806" ht="15.75" customHeight="1">
      <c r="A3806" s="11">
        <v>15432.0</v>
      </c>
      <c r="B3806" s="11" t="s">
        <v>3827</v>
      </c>
      <c r="C3806" s="12">
        <v>22895.0</v>
      </c>
      <c r="D3806" s="11" t="str">
        <f t="shared" si="1"/>
        <v> </v>
      </c>
      <c r="E3806" s="11" t="str">
        <f t="shared" si="2"/>
        <v> </v>
      </c>
    </row>
    <row r="3807" ht="15.75" customHeight="1">
      <c r="A3807" s="11">
        <v>15435.0</v>
      </c>
      <c r="B3807" s="11" t="s">
        <v>3828</v>
      </c>
      <c r="C3807" s="12">
        <v>36773.0</v>
      </c>
      <c r="D3807" s="11" t="str">
        <f t="shared" si="1"/>
        <v> </v>
      </c>
      <c r="E3807" s="11" t="str">
        <f t="shared" si="2"/>
        <v> </v>
      </c>
    </row>
    <row r="3808" ht="15.75" customHeight="1">
      <c r="A3808" s="11">
        <v>15436.0</v>
      </c>
      <c r="B3808" s="11" t="s">
        <v>3829</v>
      </c>
      <c r="C3808" s="12">
        <v>10430.0</v>
      </c>
      <c r="D3808" s="11" t="str">
        <f t="shared" si="1"/>
        <v> </v>
      </c>
      <c r="E3808" s="11" t="str">
        <f t="shared" si="2"/>
        <v> </v>
      </c>
    </row>
    <row r="3809" ht="15.75" customHeight="1">
      <c r="A3809" s="11">
        <v>15437.0</v>
      </c>
      <c r="B3809" s="11" t="s">
        <v>3830</v>
      </c>
      <c r="C3809" s="12">
        <v>22134.0</v>
      </c>
      <c r="D3809" s="11" t="str">
        <f t="shared" si="1"/>
        <v> </v>
      </c>
      <c r="E3809" s="11" t="str">
        <f t="shared" si="2"/>
        <v> </v>
      </c>
    </row>
    <row r="3810" ht="15.75" customHeight="1">
      <c r="A3810" s="11">
        <v>15439.0</v>
      </c>
      <c r="B3810" s="11" t="s">
        <v>3831</v>
      </c>
      <c r="C3810" s="12">
        <v>20339.0</v>
      </c>
      <c r="D3810" s="11" t="str">
        <f t="shared" si="1"/>
        <v> </v>
      </c>
      <c r="E3810" s="11" t="str">
        <f t="shared" si="2"/>
        <v> </v>
      </c>
    </row>
    <row r="3811" ht="15.75" customHeight="1">
      <c r="A3811" s="11">
        <v>15440.0</v>
      </c>
      <c r="B3811" s="11" t="s">
        <v>3832</v>
      </c>
      <c r="C3811" s="12">
        <v>31083.0</v>
      </c>
      <c r="D3811" s="11" t="str">
        <f t="shared" si="1"/>
        <v> </v>
      </c>
      <c r="E3811" s="11" t="str">
        <f t="shared" si="2"/>
        <v> </v>
      </c>
    </row>
    <row r="3812" ht="15.75" customHeight="1">
      <c r="A3812" s="11">
        <v>15441.0</v>
      </c>
      <c r="B3812" s="11" t="s">
        <v>3833</v>
      </c>
      <c r="C3812" s="12">
        <v>22431.0</v>
      </c>
      <c r="D3812" s="11" t="str">
        <f t="shared" si="1"/>
        <v> </v>
      </c>
      <c r="E3812" s="11" t="str">
        <f t="shared" si="2"/>
        <v> </v>
      </c>
    </row>
    <row r="3813" ht="15.75" customHeight="1">
      <c r="A3813" s="11">
        <v>15442.0</v>
      </c>
      <c r="B3813" s="11" t="s">
        <v>3834</v>
      </c>
      <c r="C3813" s="12">
        <v>21832.0</v>
      </c>
      <c r="D3813" s="11" t="str">
        <f t="shared" si="1"/>
        <v> </v>
      </c>
      <c r="E3813" s="11" t="str">
        <f t="shared" si="2"/>
        <v> </v>
      </c>
    </row>
    <row r="3814" ht="15.75" customHeight="1">
      <c r="A3814" s="11">
        <v>15443.0</v>
      </c>
      <c r="B3814" s="11" t="s">
        <v>3835</v>
      </c>
      <c r="C3814" s="12">
        <v>22777.0</v>
      </c>
      <c r="D3814" s="11" t="str">
        <f t="shared" si="1"/>
        <v> </v>
      </c>
      <c r="E3814" s="11" t="str">
        <f t="shared" si="2"/>
        <v> </v>
      </c>
    </row>
    <row r="3815" ht="15.75" customHeight="1">
      <c r="A3815" s="11">
        <v>15445.0</v>
      </c>
      <c r="B3815" s="11" t="s">
        <v>3836</v>
      </c>
      <c r="C3815" s="12">
        <v>26528.0</v>
      </c>
      <c r="D3815" s="11" t="str">
        <f t="shared" si="1"/>
        <v> </v>
      </c>
      <c r="E3815" s="11" t="str">
        <f t="shared" si="2"/>
        <v> </v>
      </c>
    </row>
    <row r="3816" ht="15.75" customHeight="1">
      <c r="A3816" s="11">
        <v>15446.0</v>
      </c>
      <c r="B3816" s="11" t="s">
        <v>3837</v>
      </c>
      <c r="C3816" s="12">
        <v>25033.0</v>
      </c>
      <c r="D3816" s="11" t="str">
        <f t="shared" si="1"/>
        <v> </v>
      </c>
      <c r="E3816" s="11" t="str">
        <f t="shared" si="2"/>
        <v> </v>
      </c>
    </row>
    <row r="3817" ht="15.75" customHeight="1">
      <c r="A3817" s="11">
        <v>15447.0</v>
      </c>
      <c r="B3817" s="11" t="s">
        <v>3838</v>
      </c>
      <c r="C3817" s="12">
        <v>25112.0</v>
      </c>
      <c r="D3817" s="11" t="str">
        <f t="shared" si="1"/>
        <v> </v>
      </c>
      <c r="E3817" s="11" t="str">
        <f t="shared" si="2"/>
        <v> </v>
      </c>
    </row>
    <row r="3818" ht="15.75" customHeight="1">
      <c r="A3818" s="11">
        <v>15448.0</v>
      </c>
      <c r="B3818" s="11" t="s">
        <v>3839</v>
      </c>
      <c r="C3818" s="12">
        <v>24400.0</v>
      </c>
      <c r="D3818" s="11" t="str">
        <f t="shared" si="1"/>
        <v> </v>
      </c>
      <c r="E3818" s="11" t="str">
        <f t="shared" si="2"/>
        <v> </v>
      </c>
    </row>
    <row r="3819" ht="15.75" customHeight="1">
      <c r="A3819" s="11">
        <v>15449.0</v>
      </c>
      <c r="B3819" s="11" t="s">
        <v>3840</v>
      </c>
      <c r="C3819" s="12">
        <v>25779.0</v>
      </c>
      <c r="D3819" s="11" t="str">
        <f t="shared" si="1"/>
        <v> </v>
      </c>
      <c r="E3819" s="11" t="str">
        <f t="shared" si="2"/>
        <v> </v>
      </c>
    </row>
    <row r="3820" ht="15.75" customHeight="1">
      <c r="A3820" s="11">
        <v>15450.0</v>
      </c>
      <c r="B3820" s="11" t="s">
        <v>3841</v>
      </c>
      <c r="C3820" s="12">
        <v>15506.0</v>
      </c>
      <c r="D3820" s="11" t="str">
        <f t="shared" si="1"/>
        <v> </v>
      </c>
      <c r="E3820" s="11" t="str">
        <f t="shared" si="2"/>
        <v> </v>
      </c>
    </row>
    <row r="3821" ht="15.75" customHeight="1">
      <c r="A3821" s="11">
        <v>15451.0</v>
      </c>
      <c r="B3821" s="11" t="s">
        <v>3842</v>
      </c>
      <c r="C3821" s="12">
        <v>34099.0</v>
      </c>
      <c r="D3821" s="11" t="str">
        <f t="shared" si="1"/>
        <v> </v>
      </c>
      <c r="E3821" s="11" t="str">
        <f t="shared" si="2"/>
        <v> </v>
      </c>
    </row>
    <row r="3822" ht="15.75" customHeight="1">
      <c r="A3822" s="11">
        <v>15452.0</v>
      </c>
      <c r="B3822" s="11" t="s">
        <v>3843</v>
      </c>
      <c r="C3822" s="12">
        <v>32550.0</v>
      </c>
      <c r="D3822" s="11" t="str">
        <f t="shared" si="1"/>
        <v> </v>
      </c>
      <c r="E3822" s="11" t="str">
        <f t="shared" si="2"/>
        <v> </v>
      </c>
    </row>
    <row r="3823" ht="15.75" customHeight="1">
      <c r="A3823" s="11">
        <v>15453.0</v>
      </c>
      <c r="B3823" s="11" t="s">
        <v>3844</v>
      </c>
      <c r="C3823" s="12">
        <v>34624.0</v>
      </c>
      <c r="D3823" s="11" t="str">
        <f t="shared" si="1"/>
        <v> </v>
      </c>
      <c r="E3823" s="11" t="str">
        <f t="shared" si="2"/>
        <v> </v>
      </c>
    </row>
    <row r="3824" ht="15.75" customHeight="1">
      <c r="A3824" s="11">
        <v>15454.0</v>
      </c>
      <c r="B3824" s="11" t="s">
        <v>3845</v>
      </c>
      <c r="C3824" s="12">
        <v>13311.0</v>
      </c>
      <c r="D3824" s="11" t="str">
        <f t="shared" si="1"/>
        <v> </v>
      </c>
      <c r="E3824" s="11" t="str">
        <f t="shared" si="2"/>
        <v> </v>
      </c>
    </row>
    <row r="3825" ht="15.75" customHeight="1">
      <c r="A3825" s="11">
        <v>15455.0</v>
      </c>
      <c r="B3825" s="11" t="s">
        <v>3846</v>
      </c>
      <c r="C3825" s="12">
        <v>28193.0</v>
      </c>
      <c r="D3825" s="11" t="str">
        <f t="shared" si="1"/>
        <v> </v>
      </c>
      <c r="E3825" s="11" t="str">
        <f t="shared" si="2"/>
        <v> </v>
      </c>
    </row>
    <row r="3826" ht="15.75" customHeight="1">
      <c r="A3826" s="11">
        <v>15456.0</v>
      </c>
      <c r="B3826" s="11" t="s">
        <v>3847</v>
      </c>
      <c r="C3826" s="12">
        <v>19131.0</v>
      </c>
      <c r="D3826" s="11" t="str">
        <f t="shared" si="1"/>
        <v> </v>
      </c>
      <c r="E3826" s="11" t="str">
        <f t="shared" si="2"/>
        <v> </v>
      </c>
    </row>
    <row r="3827" ht="15.75" customHeight="1">
      <c r="A3827" s="11">
        <v>15458.0</v>
      </c>
      <c r="B3827" s="11" t="s">
        <v>3848</v>
      </c>
      <c r="C3827" s="12">
        <v>17103.0</v>
      </c>
      <c r="D3827" s="11" t="str">
        <f t="shared" si="1"/>
        <v> </v>
      </c>
      <c r="E3827" s="11" t="str">
        <f t="shared" si="2"/>
        <v> </v>
      </c>
    </row>
    <row r="3828" ht="15.75" customHeight="1">
      <c r="A3828" s="11">
        <v>15459.0</v>
      </c>
      <c r="B3828" s="11" t="s">
        <v>3849</v>
      </c>
      <c r="C3828" s="12">
        <v>15499.0</v>
      </c>
      <c r="D3828" s="11" t="str">
        <f t="shared" si="1"/>
        <v> </v>
      </c>
      <c r="E3828" s="11" t="str">
        <f t="shared" si="2"/>
        <v> </v>
      </c>
    </row>
    <row r="3829" ht="15.75" customHeight="1">
      <c r="A3829" s="11">
        <v>15460.0</v>
      </c>
      <c r="B3829" s="11" t="s">
        <v>3850</v>
      </c>
      <c r="C3829" s="12">
        <v>15143.0</v>
      </c>
      <c r="D3829" s="11" t="str">
        <f t="shared" si="1"/>
        <v> </v>
      </c>
      <c r="E3829" s="11" t="str">
        <f t="shared" si="2"/>
        <v> </v>
      </c>
    </row>
    <row r="3830" ht="15.75" customHeight="1">
      <c r="A3830" s="11">
        <v>15461.0</v>
      </c>
      <c r="B3830" s="11" t="s">
        <v>3851</v>
      </c>
      <c r="C3830" s="12">
        <v>13322.0</v>
      </c>
      <c r="D3830" s="11" t="str">
        <f t="shared" si="1"/>
        <v> </v>
      </c>
      <c r="E3830" s="11" t="str">
        <f t="shared" si="2"/>
        <v> </v>
      </c>
    </row>
    <row r="3831" ht="15.75" customHeight="1">
      <c r="A3831" s="11">
        <v>15462.0</v>
      </c>
      <c r="B3831" s="11" t="s">
        <v>3852</v>
      </c>
      <c r="C3831" s="12">
        <v>15026.0</v>
      </c>
      <c r="D3831" s="11" t="str">
        <f t="shared" si="1"/>
        <v> </v>
      </c>
      <c r="E3831" s="11" t="str">
        <f t="shared" si="2"/>
        <v> </v>
      </c>
    </row>
    <row r="3832" ht="15.75" customHeight="1">
      <c r="A3832" s="11">
        <v>15463.0</v>
      </c>
      <c r="B3832" s="11" t="s">
        <v>3853</v>
      </c>
      <c r="C3832" s="12">
        <v>16153.0</v>
      </c>
      <c r="D3832" s="11" t="str">
        <f t="shared" si="1"/>
        <v> </v>
      </c>
      <c r="E3832" s="11" t="str">
        <f t="shared" si="2"/>
        <v> </v>
      </c>
    </row>
    <row r="3833" ht="15.75" customHeight="1">
      <c r="A3833" s="11">
        <v>15464.0</v>
      </c>
      <c r="B3833" s="11" t="s">
        <v>3854</v>
      </c>
      <c r="C3833" s="12">
        <v>19884.0</v>
      </c>
      <c r="D3833" s="11" t="str">
        <f t="shared" si="1"/>
        <v> </v>
      </c>
      <c r="E3833" s="11" t="str">
        <f t="shared" si="2"/>
        <v> </v>
      </c>
    </row>
    <row r="3834" ht="15.75" customHeight="1">
      <c r="A3834" s="11">
        <v>15465.0</v>
      </c>
      <c r="B3834" s="11" t="s">
        <v>3855</v>
      </c>
      <c r="C3834" s="12">
        <v>11889.0</v>
      </c>
      <c r="D3834" s="11" t="str">
        <f t="shared" si="1"/>
        <v> </v>
      </c>
      <c r="E3834" s="11" t="str">
        <f t="shared" si="2"/>
        <v> </v>
      </c>
    </row>
    <row r="3835" ht="15.75" customHeight="1">
      <c r="A3835" s="11">
        <v>15466.0</v>
      </c>
      <c r="B3835" s="11" t="s">
        <v>3856</v>
      </c>
      <c r="C3835" s="12">
        <v>15405.0</v>
      </c>
      <c r="D3835" s="11" t="str">
        <f t="shared" si="1"/>
        <v> </v>
      </c>
      <c r="E3835" s="11" t="str">
        <f t="shared" si="2"/>
        <v> </v>
      </c>
    </row>
    <row r="3836" ht="15.75" customHeight="1">
      <c r="A3836" s="11">
        <v>15467.0</v>
      </c>
      <c r="B3836" s="11" t="s">
        <v>3857</v>
      </c>
      <c r="C3836" s="12">
        <v>16101.0</v>
      </c>
      <c r="D3836" s="11" t="str">
        <f t="shared" si="1"/>
        <v> </v>
      </c>
      <c r="E3836" s="11" t="str">
        <f t="shared" si="2"/>
        <v> </v>
      </c>
    </row>
    <row r="3837" ht="15.75" customHeight="1">
      <c r="A3837" s="11">
        <v>15468.0</v>
      </c>
      <c r="B3837" s="11" t="s">
        <v>3858</v>
      </c>
      <c r="C3837" s="12">
        <v>22800.0</v>
      </c>
      <c r="D3837" s="11" t="str">
        <f t="shared" si="1"/>
        <v> </v>
      </c>
      <c r="E3837" s="11" t="str">
        <f t="shared" si="2"/>
        <v> </v>
      </c>
    </row>
    <row r="3838" ht="15.75" customHeight="1">
      <c r="A3838" s="11">
        <v>15469.0</v>
      </c>
      <c r="B3838" s="11" t="s">
        <v>3859</v>
      </c>
      <c r="C3838" s="12">
        <v>18802.0</v>
      </c>
      <c r="D3838" s="11" t="str">
        <f t="shared" si="1"/>
        <v> </v>
      </c>
      <c r="E3838" s="11" t="str">
        <f t="shared" si="2"/>
        <v> </v>
      </c>
    </row>
    <row r="3839" ht="15.75" customHeight="1">
      <c r="A3839" s="11">
        <v>15470.0</v>
      </c>
      <c r="B3839" s="11" t="s">
        <v>3860</v>
      </c>
      <c r="C3839" s="12">
        <v>35429.0</v>
      </c>
      <c r="D3839" s="11" t="str">
        <f t="shared" si="1"/>
        <v> </v>
      </c>
      <c r="E3839" s="11" t="str">
        <f t="shared" si="2"/>
        <v> </v>
      </c>
    </row>
    <row r="3840" ht="15.75" customHeight="1">
      <c r="A3840" s="11">
        <v>15471.0</v>
      </c>
      <c r="B3840" s="11" t="s">
        <v>3861</v>
      </c>
      <c r="C3840" s="12">
        <v>17854.0</v>
      </c>
      <c r="D3840" s="11" t="str">
        <f t="shared" si="1"/>
        <v>Repeat</v>
      </c>
      <c r="E3840" s="11" t="str">
        <f t="shared" si="2"/>
        <v> </v>
      </c>
    </row>
    <row r="3841" ht="15.75" customHeight="1">
      <c r="A3841" s="11">
        <v>15472.0</v>
      </c>
      <c r="B3841" s="11" t="s">
        <v>3862</v>
      </c>
      <c r="C3841" s="12">
        <v>20328.0</v>
      </c>
      <c r="D3841" s="11" t="str">
        <f t="shared" si="1"/>
        <v> </v>
      </c>
      <c r="E3841" s="11" t="str">
        <f t="shared" si="2"/>
        <v> </v>
      </c>
    </row>
    <row r="3842" ht="15.75" customHeight="1">
      <c r="A3842" s="11">
        <v>15473.0</v>
      </c>
      <c r="B3842" s="11" t="s">
        <v>3863</v>
      </c>
      <c r="C3842" s="12">
        <v>34603.0</v>
      </c>
      <c r="D3842" s="11" t="str">
        <f t="shared" si="1"/>
        <v> </v>
      </c>
      <c r="E3842" s="11" t="str">
        <f t="shared" si="2"/>
        <v> </v>
      </c>
    </row>
    <row r="3843" ht="15.75" customHeight="1">
      <c r="A3843" s="11">
        <v>15474.0</v>
      </c>
      <c r="B3843" s="11" t="s">
        <v>3864</v>
      </c>
      <c r="C3843" s="12">
        <v>18329.0</v>
      </c>
      <c r="D3843" s="11" t="str">
        <f t="shared" si="1"/>
        <v> </v>
      </c>
      <c r="E3843" s="11" t="str">
        <f t="shared" si="2"/>
        <v> </v>
      </c>
    </row>
    <row r="3844" ht="15.75" customHeight="1">
      <c r="A3844" s="11">
        <v>15475.0</v>
      </c>
      <c r="B3844" s="11" t="s">
        <v>3865</v>
      </c>
      <c r="C3844" s="12">
        <v>23419.0</v>
      </c>
      <c r="D3844" s="11" t="str">
        <f t="shared" si="1"/>
        <v> </v>
      </c>
      <c r="E3844" s="11" t="str">
        <f t="shared" si="2"/>
        <v> </v>
      </c>
    </row>
    <row r="3845" ht="15.75" customHeight="1">
      <c r="A3845" s="11">
        <v>15476.0</v>
      </c>
      <c r="B3845" s="11" t="s">
        <v>3866</v>
      </c>
      <c r="C3845" s="12">
        <v>29727.0</v>
      </c>
      <c r="D3845" s="11" t="str">
        <f t="shared" si="1"/>
        <v> </v>
      </c>
      <c r="E3845" s="11" t="str">
        <f t="shared" si="2"/>
        <v> </v>
      </c>
    </row>
    <row r="3846" ht="15.75" customHeight="1">
      <c r="A3846" s="11">
        <v>15478.0</v>
      </c>
      <c r="B3846" s="11" t="s">
        <v>3867</v>
      </c>
      <c r="C3846" s="12">
        <v>19831.0</v>
      </c>
      <c r="D3846" s="11" t="str">
        <f t="shared" si="1"/>
        <v> </v>
      </c>
      <c r="E3846" s="11" t="str">
        <f t="shared" si="2"/>
        <v> </v>
      </c>
    </row>
    <row r="3847" ht="15.75" customHeight="1">
      <c r="A3847" s="11">
        <v>15479.0</v>
      </c>
      <c r="B3847" s="11" t="s">
        <v>3868</v>
      </c>
      <c r="C3847" s="12">
        <v>28397.0</v>
      </c>
      <c r="D3847" s="11" t="str">
        <f t="shared" si="1"/>
        <v> </v>
      </c>
      <c r="E3847" s="11" t="str">
        <f t="shared" si="2"/>
        <v> </v>
      </c>
    </row>
    <row r="3848" ht="15.75" customHeight="1">
      <c r="A3848" s="11">
        <v>15480.0</v>
      </c>
      <c r="B3848" s="11" t="s">
        <v>3869</v>
      </c>
      <c r="C3848" s="12">
        <v>33456.0</v>
      </c>
      <c r="D3848" s="11" t="str">
        <f t="shared" si="1"/>
        <v> </v>
      </c>
      <c r="E3848" s="11" t="str">
        <f t="shared" si="2"/>
        <v> </v>
      </c>
    </row>
    <row r="3849" ht="15.75" customHeight="1">
      <c r="A3849" s="11">
        <v>15481.0</v>
      </c>
      <c r="B3849" s="11" t="s">
        <v>3870</v>
      </c>
      <c r="C3849" s="12">
        <v>30967.0</v>
      </c>
      <c r="D3849" s="11" t="str">
        <f t="shared" si="1"/>
        <v> </v>
      </c>
      <c r="E3849" s="11" t="str">
        <f t="shared" si="2"/>
        <v> </v>
      </c>
    </row>
    <row r="3850" ht="15.75" customHeight="1">
      <c r="A3850" s="11">
        <v>15482.0</v>
      </c>
      <c r="B3850" s="11" t="s">
        <v>3871</v>
      </c>
      <c r="C3850" s="12">
        <v>20789.0</v>
      </c>
      <c r="D3850" s="11" t="str">
        <f t="shared" si="1"/>
        <v> </v>
      </c>
      <c r="E3850" s="11" t="str">
        <f t="shared" si="2"/>
        <v> </v>
      </c>
    </row>
    <row r="3851" ht="15.75" customHeight="1">
      <c r="A3851" s="11">
        <v>15483.0</v>
      </c>
      <c r="B3851" s="11" t="s">
        <v>3544</v>
      </c>
      <c r="C3851" s="12">
        <v>27630.0</v>
      </c>
      <c r="D3851" s="11" t="str">
        <f t="shared" si="1"/>
        <v>Repeat</v>
      </c>
      <c r="E3851" s="11" t="str">
        <f t="shared" si="2"/>
        <v> </v>
      </c>
    </row>
    <row r="3852" ht="15.75" customHeight="1">
      <c r="A3852" s="11">
        <v>15485.0</v>
      </c>
      <c r="B3852" s="11" t="s">
        <v>3872</v>
      </c>
      <c r="C3852" s="12">
        <v>22499.0</v>
      </c>
      <c r="D3852" s="11" t="str">
        <f t="shared" si="1"/>
        <v> </v>
      </c>
      <c r="E3852" s="11" t="str">
        <f t="shared" si="2"/>
        <v> </v>
      </c>
    </row>
    <row r="3853" ht="15.75" customHeight="1">
      <c r="A3853" s="11">
        <v>15486.0</v>
      </c>
      <c r="B3853" s="11" t="s">
        <v>3873</v>
      </c>
      <c r="C3853" s="12">
        <v>20661.0</v>
      </c>
      <c r="D3853" s="11" t="str">
        <f t="shared" si="1"/>
        <v> </v>
      </c>
      <c r="E3853" s="11" t="str">
        <f t="shared" si="2"/>
        <v> </v>
      </c>
    </row>
    <row r="3854" ht="15.75" customHeight="1">
      <c r="A3854" s="11">
        <v>15488.0</v>
      </c>
      <c r="B3854" s="11" t="s">
        <v>3874</v>
      </c>
      <c r="C3854" s="12">
        <v>20339.0</v>
      </c>
      <c r="D3854" s="11" t="str">
        <f t="shared" si="1"/>
        <v> </v>
      </c>
      <c r="E3854" s="11" t="str">
        <f t="shared" si="2"/>
        <v> </v>
      </c>
    </row>
    <row r="3855" ht="15.75" customHeight="1">
      <c r="A3855" s="11">
        <v>15489.0</v>
      </c>
      <c r="B3855" s="11" t="s">
        <v>3875</v>
      </c>
      <c r="C3855" s="12">
        <v>11661.0</v>
      </c>
      <c r="D3855" s="11" t="str">
        <f t="shared" si="1"/>
        <v> </v>
      </c>
      <c r="E3855" s="11" t="str">
        <f t="shared" si="2"/>
        <v> </v>
      </c>
    </row>
    <row r="3856" ht="15.75" customHeight="1">
      <c r="A3856" s="11">
        <v>15490.0</v>
      </c>
      <c r="B3856" s="11" t="s">
        <v>3876</v>
      </c>
      <c r="C3856" s="12">
        <v>31492.0</v>
      </c>
      <c r="D3856" s="11" t="str">
        <f t="shared" si="1"/>
        <v> </v>
      </c>
      <c r="E3856" s="11" t="str">
        <f t="shared" si="2"/>
        <v> </v>
      </c>
    </row>
    <row r="3857" ht="15.75" customHeight="1">
      <c r="A3857" s="11">
        <v>15491.0</v>
      </c>
      <c r="B3857" s="11" t="s">
        <v>3877</v>
      </c>
      <c r="C3857" s="12">
        <v>17962.0</v>
      </c>
      <c r="D3857" s="11" t="str">
        <f t="shared" si="1"/>
        <v> </v>
      </c>
      <c r="E3857" s="11" t="str">
        <f t="shared" si="2"/>
        <v> </v>
      </c>
    </row>
    <row r="3858" ht="15.75" customHeight="1">
      <c r="A3858" s="11">
        <v>15492.0</v>
      </c>
      <c r="B3858" s="11" t="s">
        <v>3878</v>
      </c>
      <c r="C3858" s="12">
        <v>27449.0</v>
      </c>
      <c r="D3858" s="11" t="str">
        <f t="shared" si="1"/>
        <v> </v>
      </c>
      <c r="E3858" s="11" t="str">
        <f t="shared" si="2"/>
        <v> </v>
      </c>
    </row>
    <row r="3859" ht="15.75" customHeight="1">
      <c r="A3859" s="11">
        <v>15493.0</v>
      </c>
      <c r="B3859" s="11" t="s">
        <v>3879</v>
      </c>
      <c r="C3859" s="12">
        <v>19689.0</v>
      </c>
      <c r="D3859" s="11" t="str">
        <f t="shared" si="1"/>
        <v> </v>
      </c>
      <c r="E3859" s="11" t="str">
        <f t="shared" si="2"/>
        <v> </v>
      </c>
    </row>
    <row r="3860" ht="15.75" customHeight="1">
      <c r="A3860" s="11">
        <v>15494.0</v>
      </c>
      <c r="B3860" s="11" t="s">
        <v>3880</v>
      </c>
      <c r="C3860" s="12">
        <v>23782.0</v>
      </c>
      <c r="D3860" s="11" t="str">
        <f t="shared" si="1"/>
        <v> </v>
      </c>
      <c r="E3860" s="11" t="str">
        <f t="shared" si="2"/>
        <v> </v>
      </c>
    </row>
    <row r="3861" ht="15.75" customHeight="1">
      <c r="A3861" s="11">
        <v>15495.0</v>
      </c>
      <c r="B3861" s="11" t="s">
        <v>3881</v>
      </c>
      <c r="C3861" s="12">
        <v>21593.0</v>
      </c>
      <c r="D3861" s="11" t="str">
        <f t="shared" si="1"/>
        <v> </v>
      </c>
      <c r="E3861" s="11" t="str">
        <f t="shared" si="2"/>
        <v> </v>
      </c>
    </row>
    <row r="3862" ht="15.75" customHeight="1">
      <c r="A3862" s="11">
        <v>15496.0</v>
      </c>
      <c r="B3862" s="11" t="s">
        <v>3882</v>
      </c>
      <c r="C3862" s="12">
        <v>26354.0</v>
      </c>
      <c r="D3862" s="11" t="str">
        <f t="shared" si="1"/>
        <v> </v>
      </c>
      <c r="E3862" s="11" t="str">
        <f t="shared" si="2"/>
        <v> </v>
      </c>
    </row>
    <row r="3863" ht="15.75" customHeight="1">
      <c r="A3863" s="11">
        <v>15497.0</v>
      </c>
      <c r="B3863" s="11" t="s">
        <v>2179</v>
      </c>
      <c r="C3863" s="12">
        <v>24897.0</v>
      </c>
      <c r="D3863" s="11" t="str">
        <f t="shared" si="1"/>
        <v>Repeat</v>
      </c>
      <c r="E3863" s="11" t="str">
        <f t="shared" si="2"/>
        <v> </v>
      </c>
    </row>
    <row r="3864" ht="15.75" customHeight="1">
      <c r="A3864" s="11">
        <v>15498.0</v>
      </c>
      <c r="B3864" s="11" t="s">
        <v>3883</v>
      </c>
      <c r="C3864" s="12">
        <v>22507.0</v>
      </c>
      <c r="D3864" s="11" t="str">
        <f t="shared" si="1"/>
        <v> </v>
      </c>
      <c r="E3864" s="11" t="str">
        <f t="shared" si="2"/>
        <v> </v>
      </c>
    </row>
    <row r="3865" ht="15.75" customHeight="1">
      <c r="A3865" s="11">
        <v>15499.0</v>
      </c>
      <c r="B3865" s="11" t="s">
        <v>3884</v>
      </c>
      <c r="C3865" s="12">
        <v>18868.0</v>
      </c>
      <c r="D3865" s="11" t="str">
        <f t="shared" si="1"/>
        <v> </v>
      </c>
      <c r="E3865" s="11" t="str">
        <f t="shared" si="2"/>
        <v> </v>
      </c>
    </row>
    <row r="3866" ht="15.75" customHeight="1">
      <c r="A3866" s="11">
        <v>15500.0</v>
      </c>
      <c r="B3866" s="11" t="s">
        <v>3885</v>
      </c>
      <c r="C3866" s="12">
        <v>17848.0</v>
      </c>
      <c r="D3866" s="11" t="str">
        <f t="shared" si="1"/>
        <v> </v>
      </c>
      <c r="E3866" s="11" t="str">
        <f t="shared" si="2"/>
        <v> </v>
      </c>
    </row>
    <row r="3867" ht="15.75" customHeight="1">
      <c r="A3867" s="11">
        <v>15501.0</v>
      </c>
      <c r="B3867" s="11" t="s">
        <v>3886</v>
      </c>
      <c r="C3867" s="12">
        <v>22023.0</v>
      </c>
      <c r="D3867" s="11" t="str">
        <f t="shared" si="1"/>
        <v> </v>
      </c>
      <c r="E3867" s="11" t="str">
        <f t="shared" si="2"/>
        <v> </v>
      </c>
    </row>
    <row r="3868" ht="15.75" customHeight="1">
      <c r="A3868" s="11">
        <v>15502.0</v>
      </c>
      <c r="B3868" s="11" t="s">
        <v>3887</v>
      </c>
      <c r="C3868" s="12">
        <v>22188.0</v>
      </c>
      <c r="D3868" s="11" t="str">
        <f t="shared" si="1"/>
        <v> </v>
      </c>
      <c r="E3868" s="11" t="str">
        <f t="shared" si="2"/>
        <v> </v>
      </c>
    </row>
    <row r="3869" ht="15.75" customHeight="1">
      <c r="A3869" s="11">
        <v>15503.0</v>
      </c>
      <c r="B3869" s="11" t="s">
        <v>3888</v>
      </c>
      <c r="C3869" s="12">
        <v>18910.0</v>
      </c>
      <c r="D3869" s="11" t="str">
        <f t="shared" si="1"/>
        <v> </v>
      </c>
      <c r="E3869" s="11" t="str">
        <f t="shared" si="2"/>
        <v> </v>
      </c>
    </row>
    <row r="3870" ht="15.75" customHeight="1">
      <c r="A3870" s="11">
        <v>15504.0</v>
      </c>
      <c r="B3870" s="11" t="s">
        <v>3889</v>
      </c>
      <c r="C3870" s="12">
        <v>16756.0</v>
      </c>
      <c r="D3870" s="11" t="str">
        <f t="shared" si="1"/>
        <v> </v>
      </c>
      <c r="E3870" s="11" t="str">
        <f t="shared" si="2"/>
        <v> </v>
      </c>
    </row>
    <row r="3871" ht="15.75" customHeight="1">
      <c r="A3871" s="11">
        <v>15505.0</v>
      </c>
      <c r="B3871" s="11" t="s">
        <v>3890</v>
      </c>
      <c r="C3871" s="12">
        <v>15615.0</v>
      </c>
      <c r="D3871" s="11" t="str">
        <f t="shared" si="1"/>
        <v> </v>
      </c>
      <c r="E3871" s="11" t="str">
        <f t="shared" si="2"/>
        <v> </v>
      </c>
    </row>
    <row r="3872" ht="15.75" customHeight="1">
      <c r="A3872" s="11">
        <v>15506.0</v>
      </c>
      <c r="B3872" s="11" t="s">
        <v>3891</v>
      </c>
      <c r="C3872" s="12">
        <v>28738.0</v>
      </c>
      <c r="D3872" s="11" t="str">
        <f t="shared" si="1"/>
        <v> </v>
      </c>
      <c r="E3872" s="11" t="str">
        <f t="shared" si="2"/>
        <v> </v>
      </c>
    </row>
    <row r="3873" ht="15.75" customHeight="1">
      <c r="A3873" s="11">
        <v>15507.0</v>
      </c>
      <c r="B3873" s="11" t="s">
        <v>3892</v>
      </c>
      <c r="C3873" s="12">
        <v>25442.0</v>
      </c>
      <c r="D3873" s="11" t="str">
        <f t="shared" si="1"/>
        <v> </v>
      </c>
      <c r="E3873" s="11" t="str">
        <f t="shared" si="2"/>
        <v> </v>
      </c>
    </row>
    <row r="3874" ht="15.75" customHeight="1">
      <c r="A3874" s="11">
        <v>15510.0</v>
      </c>
      <c r="B3874" s="11" t="s">
        <v>3893</v>
      </c>
      <c r="C3874" s="12">
        <v>27654.0</v>
      </c>
      <c r="D3874" s="11" t="str">
        <f t="shared" si="1"/>
        <v> </v>
      </c>
      <c r="E3874" s="11" t="str">
        <f t="shared" si="2"/>
        <v> </v>
      </c>
    </row>
    <row r="3875" ht="15.75" customHeight="1">
      <c r="A3875" s="11">
        <v>15511.0</v>
      </c>
      <c r="B3875" s="11" t="s">
        <v>3894</v>
      </c>
      <c r="C3875" s="12">
        <v>23040.0</v>
      </c>
      <c r="D3875" s="11" t="str">
        <f t="shared" si="1"/>
        <v> </v>
      </c>
      <c r="E3875" s="11" t="str">
        <f t="shared" si="2"/>
        <v> </v>
      </c>
    </row>
    <row r="3876" ht="15.75" customHeight="1">
      <c r="A3876" s="11">
        <v>15513.0</v>
      </c>
      <c r="B3876" s="11" t="s">
        <v>3895</v>
      </c>
      <c r="C3876" s="12">
        <v>15863.0</v>
      </c>
      <c r="D3876" s="11" t="str">
        <f t="shared" si="1"/>
        <v> </v>
      </c>
      <c r="E3876" s="11" t="str">
        <f t="shared" si="2"/>
        <v> </v>
      </c>
    </row>
    <row r="3877" ht="15.75" customHeight="1">
      <c r="A3877" s="11">
        <v>15514.0</v>
      </c>
      <c r="B3877" s="11" t="s">
        <v>3896</v>
      </c>
      <c r="C3877" s="12">
        <v>11897.0</v>
      </c>
      <c r="D3877" s="11" t="str">
        <f t="shared" si="1"/>
        <v> </v>
      </c>
      <c r="E3877" s="11" t="str">
        <f t="shared" si="2"/>
        <v> </v>
      </c>
    </row>
    <row r="3878" ht="15.75" customHeight="1">
      <c r="A3878" s="11">
        <v>15515.0</v>
      </c>
      <c r="B3878" s="11" t="s">
        <v>3897</v>
      </c>
      <c r="C3878" s="12">
        <v>26046.0</v>
      </c>
      <c r="D3878" s="11" t="str">
        <f t="shared" si="1"/>
        <v> </v>
      </c>
      <c r="E3878" s="11" t="str">
        <f t="shared" si="2"/>
        <v> </v>
      </c>
    </row>
    <row r="3879" ht="15.75" customHeight="1">
      <c r="A3879" s="11">
        <v>15516.0</v>
      </c>
      <c r="B3879" s="11" t="s">
        <v>3898</v>
      </c>
      <c r="C3879" s="12">
        <v>10312.0</v>
      </c>
      <c r="D3879" s="11" t="str">
        <f t="shared" si="1"/>
        <v> </v>
      </c>
      <c r="E3879" s="11" t="str">
        <f t="shared" si="2"/>
        <v> </v>
      </c>
    </row>
    <row r="3880" ht="15.75" customHeight="1">
      <c r="A3880" s="11">
        <v>15517.0</v>
      </c>
      <c r="B3880" s="11" t="s">
        <v>3899</v>
      </c>
      <c r="C3880" s="12">
        <v>16334.0</v>
      </c>
      <c r="D3880" s="11" t="str">
        <f t="shared" si="1"/>
        <v> </v>
      </c>
      <c r="E3880" s="11" t="str">
        <f t="shared" si="2"/>
        <v> </v>
      </c>
    </row>
    <row r="3881" ht="15.75" customHeight="1">
      <c r="A3881" s="11">
        <v>15518.0</v>
      </c>
      <c r="B3881" s="11" t="s">
        <v>3900</v>
      </c>
      <c r="C3881" s="12">
        <v>36832.0</v>
      </c>
      <c r="D3881" s="11" t="str">
        <f t="shared" si="1"/>
        <v> </v>
      </c>
      <c r="E3881" s="11" t="str">
        <f t="shared" si="2"/>
        <v> </v>
      </c>
    </row>
    <row r="3882" ht="15.75" customHeight="1">
      <c r="A3882" s="11">
        <v>15519.0</v>
      </c>
      <c r="B3882" s="11" t="s">
        <v>3901</v>
      </c>
      <c r="C3882" s="12">
        <v>32543.0</v>
      </c>
      <c r="D3882" s="11" t="str">
        <f t="shared" si="1"/>
        <v> </v>
      </c>
      <c r="E3882" s="11" t="str">
        <f t="shared" si="2"/>
        <v> </v>
      </c>
    </row>
    <row r="3883" ht="15.75" customHeight="1">
      <c r="A3883" s="11">
        <v>15520.0</v>
      </c>
      <c r="B3883" s="11" t="s">
        <v>3902</v>
      </c>
      <c r="C3883" s="12">
        <v>18142.0</v>
      </c>
      <c r="D3883" s="11" t="str">
        <f t="shared" si="1"/>
        <v> </v>
      </c>
      <c r="E3883" s="11" t="str">
        <f t="shared" si="2"/>
        <v> </v>
      </c>
    </row>
    <row r="3884" ht="15.75" customHeight="1">
      <c r="A3884" s="11">
        <v>15521.0</v>
      </c>
      <c r="B3884" s="11" t="s">
        <v>3903</v>
      </c>
      <c r="C3884" s="12">
        <v>27379.0</v>
      </c>
      <c r="D3884" s="11" t="str">
        <f t="shared" si="1"/>
        <v> </v>
      </c>
      <c r="E3884" s="11" t="str">
        <f t="shared" si="2"/>
        <v> </v>
      </c>
    </row>
    <row r="3885" ht="15.75" customHeight="1">
      <c r="A3885" s="11">
        <v>15522.0</v>
      </c>
      <c r="B3885" s="11" t="s">
        <v>3904</v>
      </c>
      <c r="C3885" s="12">
        <v>19197.0</v>
      </c>
      <c r="D3885" s="11" t="str">
        <f t="shared" si="1"/>
        <v> </v>
      </c>
      <c r="E3885" s="11" t="str">
        <f t="shared" si="2"/>
        <v> </v>
      </c>
    </row>
    <row r="3886" ht="15.75" customHeight="1">
      <c r="A3886" s="11">
        <v>15523.0</v>
      </c>
      <c r="B3886" s="11" t="s">
        <v>3905</v>
      </c>
      <c r="C3886" s="12">
        <v>31472.0</v>
      </c>
      <c r="D3886" s="11" t="str">
        <f t="shared" si="1"/>
        <v> </v>
      </c>
      <c r="E3886" s="11" t="str">
        <f t="shared" si="2"/>
        <v> </v>
      </c>
    </row>
    <row r="3887" ht="15.75" customHeight="1">
      <c r="A3887" s="11">
        <v>15524.0</v>
      </c>
      <c r="B3887" s="11" t="s">
        <v>3906</v>
      </c>
      <c r="C3887" s="12">
        <v>19310.0</v>
      </c>
      <c r="D3887" s="11" t="str">
        <f t="shared" si="1"/>
        <v> </v>
      </c>
      <c r="E3887" s="11" t="str">
        <f t="shared" si="2"/>
        <v> </v>
      </c>
    </row>
    <row r="3888" ht="15.75" customHeight="1">
      <c r="A3888" s="11">
        <v>15525.0</v>
      </c>
      <c r="B3888" s="11" t="s">
        <v>3907</v>
      </c>
      <c r="C3888" s="12">
        <v>20331.0</v>
      </c>
      <c r="D3888" s="11" t="str">
        <f t="shared" si="1"/>
        <v> </v>
      </c>
      <c r="E3888" s="11" t="str">
        <f t="shared" si="2"/>
        <v> </v>
      </c>
    </row>
    <row r="3889" ht="15.75" customHeight="1">
      <c r="A3889" s="11">
        <v>15526.0</v>
      </c>
      <c r="B3889" s="11" t="s">
        <v>3908</v>
      </c>
      <c r="C3889" s="12">
        <v>21023.0</v>
      </c>
      <c r="D3889" s="11" t="str">
        <f t="shared" si="1"/>
        <v> </v>
      </c>
      <c r="E3889" s="11" t="str">
        <f t="shared" si="2"/>
        <v> </v>
      </c>
    </row>
    <row r="3890" ht="15.75" customHeight="1">
      <c r="A3890" s="11">
        <v>15527.0</v>
      </c>
      <c r="B3890" s="11" t="s">
        <v>3909</v>
      </c>
      <c r="C3890" s="12">
        <v>29227.0</v>
      </c>
      <c r="D3890" s="11" t="str">
        <f t="shared" si="1"/>
        <v> </v>
      </c>
      <c r="E3890" s="11" t="str">
        <f t="shared" si="2"/>
        <v> </v>
      </c>
    </row>
    <row r="3891" ht="15.75" customHeight="1">
      <c r="A3891" s="11">
        <v>15528.0</v>
      </c>
      <c r="B3891" s="11" t="s">
        <v>3910</v>
      </c>
      <c r="C3891" s="12">
        <v>20134.0</v>
      </c>
      <c r="D3891" s="11" t="str">
        <f t="shared" si="1"/>
        <v> </v>
      </c>
      <c r="E3891" s="11" t="str">
        <f t="shared" si="2"/>
        <v> </v>
      </c>
    </row>
    <row r="3892" ht="15.75" customHeight="1">
      <c r="A3892" s="11">
        <v>15529.0</v>
      </c>
      <c r="B3892" s="11" t="s">
        <v>3911</v>
      </c>
      <c r="C3892" s="12">
        <v>24662.0</v>
      </c>
      <c r="D3892" s="11" t="str">
        <f t="shared" si="1"/>
        <v> </v>
      </c>
      <c r="E3892" s="11" t="str">
        <f t="shared" si="2"/>
        <v> </v>
      </c>
    </row>
    <row r="3893" ht="15.75" customHeight="1">
      <c r="A3893" s="11">
        <v>15530.0</v>
      </c>
      <c r="B3893" s="11" t="s">
        <v>3912</v>
      </c>
      <c r="C3893" s="12">
        <v>16683.0</v>
      </c>
      <c r="D3893" s="11" t="str">
        <f t="shared" si="1"/>
        <v> </v>
      </c>
      <c r="E3893" s="11" t="str">
        <f t="shared" si="2"/>
        <v> </v>
      </c>
    </row>
    <row r="3894" ht="15.75" customHeight="1">
      <c r="A3894" s="11">
        <v>15531.0</v>
      </c>
      <c r="B3894" s="11" t="s">
        <v>3913</v>
      </c>
      <c r="C3894" s="12">
        <v>19806.0</v>
      </c>
      <c r="D3894" s="11" t="str">
        <f t="shared" si="1"/>
        <v> </v>
      </c>
      <c r="E3894" s="11" t="str">
        <f t="shared" si="2"/>
        <v> </v>
      </c>
    </row>
    <row r="3895" ht="15.75" customHeight="1">
      <c r="A3895" s="11">
        <v>15532.0</v>
      </c>
      <c r="B3895" s="11" t="s">
        <v>3914</v>
      </c>
      <c r="C3895" s="12">
        <v>28192.0</v>
      </c>
      <c r="D3895" s="11" t="str">
        <f t="shared" si="1"/>
        <v> </v>
      </c>
      <c r="E3895" s="11" t="str">
        <f t="shared" si="2"/>
        <v> </v>
      </c>
    </row>
    <row r="3896" ht="15.75" customHeight="1">
      <c r="A3896" s="11">
        <v>15533.0</v>
      </c>
      <c r="B3896" s="11" t="s">
        <v>3915</v>
      </c>
      <c r="C3896" s="12">
        <v>21163.0</v>
      </c>
      <c r="D3896" s="11" t="str">
        <f t="shared" si="1"/>
        <v> </v>
      </c>
      <c r="E3896" s="11" t="str">
        <f t="shared" si="2"/>
        <v> </v>
      </c>
    </row>
    <row r="3897" ht="15.75" customHeight="1">
      <c r="A3897" s="11">
        <v>15534.0</v>
      </c>
      <c r="B3897" s="11" t="s">
        <v>3916</v>
      </c>
      <c r="C3897" s="12">
        <v>23905.0</v>
      </c>
      <c r="D3897" s="11" t="str">
        <f t="shared" si="1"/>
        <v> </v>
      </c>
      <c r="E3897" s="11" t="str">
        <f t="shared" si="2"/>
        <v> </v>
      </c>
    </row>
    <row r="3898" ht="15.75" customHeight="1">
      <c r="A3898" s="11">
        <v>15535.0</v>
      </c>
      <c r="B3898" s="11" t="s">
        <v>3917</v>
      </c>
      <c r="C3898" s="12">
        <v>17227.0</v>
      </c>
      <c r="D3898" s="11" t="str">
        <f t="shared" si="1"/>
        <v> </v>
      </c>
      <c r="E3898" s="11" t="str">
        <f t="shared" si="2"/>
        <v> </v>
      </c>
    </row>
    <row r="3899" ht="15.75" customHeight="1">
      <c r="A3899" s="11">
        <v>15536.0</v>
      </c>
      <c r="B3899" s="11" t="s">
        <v>3918</v>
      </c>
      <c r="C3899" s="12">
        <v>21822.0</v>
      </c>
      <c r="D3899" s="11" t="str">
        <f t="shared" si="1"/>
        <v> </v>
      </c>
      <c r="E3899" s="11" t="str">
        <f t="shared" si="2"/>
        <v> </v>
      </c>
    </row>
    <row r="3900" ht="15.75" customHeight="1">
      <c r="A3900" s="11">
        <v>15537.0</v>
      </c>
      <c r="B3900" s="11" t="s">
        <v>3919</v>
      </c>
      <c r="C3900" s="12">
        <v>21607.0</v>
      </c>
      <c r="D3900" s="11" t="str">
        <f t="shared" si="1"/>
        <v> </v>
      </c>
      <c r="E3900" s="11" t="str">
        <f t="shared" si="2"/>
        <v> </v>
      </c>
    </row>
    <row r="3901" ht="15.75" customHeight="1">
      <c r="A3901" s="11">
        <v>15538.0</v>
      </c>
      <c r="B3901" s="11" t="s">
        <v>3920</v>
      </c>
      <c r="C3901" s="12">
        <v>20920.0</v>
      </c>
      <c r="D3901" s="11" t="str">
        <f t="shared" si="1"/>
        <v> </v>
      </c>
      <c r="E3901" s="11" t="str">
        <f t="shared" si="2"/>
        <v> </v>
      </c>
    </row>
    <row r="3902" ht="15.75" customHeight="1">
      <c r="A3902" s="11">
        <v>15539.0</v>
      </c>
      <c r="B3902" s="11" t="s">
        <v>3921</v>
      </c>
      <c r="C3902" s="12">
        <v>23413.0</v>
      </c>
      <c r="D3902" s="11" t="str">
        <f t="shared" si="1"/>
        <v> </v>
      </c>
      <c r="E3902" s="11" t="str">
        <f t="shared" si="2"/>
        <v> </v>
      </c>
    </row>
    <row r="3903" ht="15.75" customHeight="1">
      <c r="A3903" s="11">
        <v>15540.0</v>
      </c>
      <c r="B3903" s="11" t="s">
        <v>3922</v>
      </c>
      <c r="C3903" s="12">
        <v>23559.0</v>
      </c>
      <c r="D3903" s="11" t="str">
        <f t="shared" si="1"/>
        <v> </v>
      </c>
      <c r="E3903" s="11" t="str">
        <f t="shared" si="2"/>
        <v> </v>
      </c>
    </row>
    <row r="3904" ht="15.75" customHeight="1">
      <c r="A3904" s="11">
        <v>15541.0</v>
      </c>
      <c r="B3904" s="11" t="s">
        <v>3923</v>
      </c>
      <c r="C3904" s="12">
        <v>18850.0</v>
      </c>
      <c r="D3904" s="11" t="str">
        <f t="shared" si="1"/>
        <v> </v>
      </c>
      <c r="E3904" s="11" t="str">
        <f t="shared" si="2"/>
        <v> </v>
      </c>
    </row>
    <row r="3905" ht="15.75" customHeight="1">
      <c r="A3905" s="11">
        <v>15542.0</v>
      </c>
      <c r="B3905" s="11" t="s">
        <v>3924</v>
      </c>
      <c r="C3905" s="12">
        <v>15399.0</v>
      </c>
      <c r="D3905" s="11" t="str">
        <f t="shared" si="1"/>
        <v> </v>
      </c>
      <c r="E3905" s="11" t="str">
        <f t="shared" si="2"/>
        <v> </v>
      </c>
    </row>
    <row r="3906" ht="15.75" customHeight="1">
      <c r="A3906" s="11">
        <v>15543.0</v>
      </c>
      <c r="B3906" s="11" t="s">
        <v>3925</v>
      </c>
      <c r="C3906" s="12">
        <v>21330.0</v>
      </c>
      <c r="D3906" s="11" t="str">
        <f t="shared" si="1"/>
        <v> </v>
      </c>
      <c r="E3906" s="11" t="str">
        <f t="shared" si="2"/>
        <v> </v>
      </c>
    </row>
    <row r="3907" ht="15.75" customHeight="1">
      <c r="A3907" s="11">
        <v>15544.0</v>
      </c>
      <c r="B3907" s="11" t="s">
        <v>3926</v>
      </c>
      <c r="C3907" s="12">
        <v>33593.0</v>
      </c>
      <c r="D3907" s="11" t="str">
        <f t="shared" si="1"/>
        <v>Repeat</v>
      </c>
      <c r="E3907" s="11" t="str">
        <f t="shared" si="2"/>
        <v>Repeat</v>
      </c>
    </row>
    <row r="3908" ht="15.75" customHeight="1">
      <c r="A3908" s="11">
        <v>15545.0</v>
      </c>
      <c r="B3908" s="11" t="s">
        <v>3927</v>
      </c>
      <c r="C3908" s="12">
        <v>23937.0</v>
      </c>
      <c r="D3908" s="11" t="str">
        <f t="shared" si="1"/>
        <v> </v>
      </c>
      <c r="E3908" s="11" t="str">
        <f t="shared" si="2"/>
        <v> </v>
      </c>
    </row>
    <row r="3909" ht="15.75" customHeight="1">
      <c r="A3909" s="11">
        <v>15546.0</v>
      </c>
      <c r="B3909" s="11" t="s">
        <v>3928</v>
      </c>
      <c r="C3909" s="12">
        <v>17992.0</v>
      </c>
      <c r="D3909" s="11" t="str">
        <f t="shared" si="1"/>
        <v>Repeat</v>
      </c>
      <c r="E3909" s="11" t="str">
        <f t="shared" si="2"/>
        <v> </v>
      </c>
    </row>
    <row r="3910" ht="15.75" customHeight="1">
      <c r="A3910" s="11">
        <v>15547.0</v>
      </c>
      <c r="B3910" s="11" t="s">
        <v>3929</v>
      </c>
      <c r="C3910" s="12">
        <v>33310.0</v>
      </c>
      <c r="D3910" s="11" t="str">
        <f t="shared" si="1"/>
        <v> </v>
      </c>
      <c r="E3910" s="11" t="str">
        <f t="shared" si="2"/>
        <v> </v>
      </c>
    </row>
    <row r="3911" ht="15.75" customHeight="1">
      <c r="A3911" s="11">
        <v>15548.0</v>
      </c>
      <c r="B3911" s="11" t="s">
        <v>3930</v>
      </c>
      <c r="C3911" s="12">
        <v>25310.0</v>
      </c>
      <c r="D3911" s="11" t="str">
        <f t="shared" si="1"/>
        <v> </v>
      </c>
      <c r="E3911" s="11" t="str">
        <f t="shared" si="2"/>
        <v> </v>
      </c>
    </row>
    <row r="3912" ht="15.75" customHeight="1">
      <c r="A3912" s="11">
        <v>15549.0</v>
      </c>
      <c r="B3912" s="11" t="s">
        <v>3931</v>
      </c>
      <c r="C3912" s="12">
        <v>27220.0</v>
      </c>
      <c r="D3912" s="11" t="str">
        <f t="shared" si="1"/>
        <v> </v>
      </c>
      <c r="E3912" s="11" t="str">
        <f t="shared" si="2"/>
        <v> </v>
      </c>
    </row>
    <row r="3913" ht="15.75" customHeight="1">
      <c r="A3913" s="11">
        <v>15550.0</v>
      </c>
      <c r="B3913" s="11" t="s">
        <v>3932</v>
      </c>
      <c r="C3913" s="12">
        <v>23663.0</v>
      </c>
      <c r="D3913" s="11" t="str">
        <f t="shared" si="1"/>
        <v> </v>
      </c>
      <c r="E3913" s="11" t="str">
        <f t="shared" si="2"/>
        <v> </v>
      </c>
    </row>
    <row r="3914" ht="15.75" customHeight="1">
      <c r="A3914" s="11">
        <v>15551.0</v>
      </c>
      <c r="B3914" s="11" t="s">
        <v>3933</v>
      </c>
      <c r="C3914" s="12">
        <v>23723.0</v>
      </c>
      <c r="D3914" s="11" t="str">
        <f t="shared" si="1"/>
        <v> </v>
      </c>
      <c r="E3914" s="11" t="str">
        <f t="shared" si="2"/>
        <v> </v>
      </c>
    </row>
    <row r="3915" ht="15.75" customHeight="1">
      <c r="A3915" s="11">
        <v>15552.0</v>
      </c>
      <c r="B3915" s="11" t="s">
        <v>3934</v>
      </c>
      <c r="C3915" s="12">
        <v>18702.0</v>
      </c>
      <c r="D3915" s="11" t="str">
        <f t="shared" si="1"/>
        <v> </v>
      </c>
      <c r="E3915" s="11" t="str">
        <f t="shared" si="2"/>
        <v> </v>
      </c>
    </row>
    <row r="3916" ht="15.75" customHeight="1">
      <c r="A3916" s="11">
        <v>15553.0</v>
      </c>
      <c r="B3916" s="11" t="s">
        <v>3935</v>
      </c>
      <c r="C3916" s="12">
        <v>24645.0</v>
      </c>
      <c r="D3916" s="11" t="str">
        <f t="shared" si="1"/>
        <v> </v>
      </c>
      <c r="E3916" s="11" t="str">
        <f t="shared" si="2"/>
        <v> </v>
      </c>
    </row>
    <row r="3917" ht="15.75" customHeight="1">
      <c r="A3917" s="11">
        <v>15554.0</v>
      </c>
      <c r="B3917" s="11" t="s">
        <v>3936</v>
      </c>
      <c r="C3917" s="12">
        <v>21508.0</v>
      </c>
      <c r="D3917" s="11" t="str">
        <f t="shared" si="1"/>
        <v> </v>
      </c>
      <c r="E3917" s="11" t="str">
        <f t="shared" si="2"/>
        <v> </v>
      </c>
    </row>
    <row r="3918" ht="15.75" customHeight="1">
      <c r="A3918" s="11">
        <v>15555.0</v>
      </c>
      <c r="B3918" s="11" t="s">
        <v>3937</v>
      </c>
      <c r="C3918" s="12">
        <v>20542.0</v>
      </c>
      <c r="D3918" s="11" t="str">
        <f t="shared" si="1"/>
        <v> </v>
      </c>
      <c r="E3918" s="11" t="str">
        <f t="shared" si="2"/>
        <v> </v>
      </c>
    </row>
    <row r="3919" ht="15.75" customHeight="1">
      <c r="A3919" s="11">
        <v>15556.0</v>
      </c>
      <c r="B3919" s="11" t="s">
        <v>3938</v>
      </c>
      <c r="C3919" s="12">
        <v>12814.0</v>
      </c>
      <c r="D3919" s="11" t="str">
        <f t="shared" si="1"/>
        <v> </v>
      </c>
      <c r="E3919" s="11" t="str">
        <f t="shared" si="2"/>
        <v>Repeat</v>
      </c>
    </row>
    <row r="3920" ht="15.75" customHeight="1">
      <c r="A3920" s="11">
        <v>15557.0</v>
      </c>
      <c r="B3920" s="11" t="s">
        <v>3939</v>
      </c>
      <c r="C3920" s="12">
        <v>13652.0</v>
      </c>
      <c r="D3920" s="11" t="str">
        <f t="shared" si="1"/>
        <v> </v>
      </c>
      <c r="E3920" s="11" t="str">
        <f t="shared" si="2"/>
        <v> </v>
      </c>
    </row>
    <row r="3921" ht="15.75" customHeight="1">
      <c r="A3921" s="11">
        <v>15559.0</v>
      </c>
      <c r="B3921" s="11" t="s">
        <v>3940</v>
      </c>
      <c r="C3921" s="12">
        <v>15668.0</v>
      </c>
      <c r="D3921" s="11" t="str">
        <f t="shared" si="1"/>
        <v> </v>
      </c>
      <c r="E3921" s="11" t="str">
        <f t="shared" si="2"/>
        <v> </v>
      </c>
    </row>
    <row r="3922" ht="15.75" customHeight="1">
      <c r="A3922" s="11">
        <v>15560.0</v>
      </c>
      <c r="B3922" s="11" t="s">
        <v>3941</v>
      </c>
      <c r="C3922" s="12">
        <v>22819.0</v>
      </c>
      <c r="D3922" s="11" t="str">
        <f t="shared" si="1"/>
        <v> </v>
      </c>
      <c r="E3922" s="11" t="str">
        <f t="shared" si="2"/>
        <v> </v>
      </c>
    </row>
    <row r="3923" ht="15.75" customHeight="1">
      <c r="A3923" s="11">
        <v>15561.0</v>
      </c>
      <c r="B3923" s="11" t="s">
        <v>3942</v>
      </c>
      <c r="C3923" s="12">
        <v>27589.0</v>
      </c>
      <c r="D3923" s="11" t="str">
        <f t="shared" si="1"/>
        <v> </v>
      </c>
      <c r="E3923" s="11" t="str">
        <f t="shared" si="2"/>
        <v> </v>
      </c>
    </row>
    <row r="3924" ht="15.75" customHeight="1">
      <c r="A3924" s="11">
        <v>15563.0</v>
      </c>
      <c r="B3924" s="11" t="s">
        <v>3943</v>
      </c>
      <c r="C3924" s="12">
        <v>32426.0</v>
      </c>
      <c r="D3924" s="11" t="str">
        <f t="shared" si="1"/>
        <v> </v>
      </c>
      <c r="E3924" s="11" t="str">
        <f t="shared" si="2"/>
        <v> </v>
      </c>
    </row>
    <row r="3925" ht="15.75" customHeight="1">
      <c r="A3925" s="11">
        <v>15564.0</v>
      </c>
      <c r="B3925" s="11" t="s">
        <v>3944</v>
      </c>
      <c r="C3925" s="12">
        <v>26420.0</v>
      </c>
      <c r="D3925" s="11" t="str">
        <f t="shared" si="1"/>
        <v> </v>
      </c>
      <c r="E3925" s="11" t="str">
        <f t="shared" si="2"/>
        <v> </v>
      </c>
    </row>
    <row r="3926" ht="15.75" customHeight="1">
      <c r="A3926" s="11">
        <v>15566.0</v>
      </c>
      <c r="B3926" s="11" t="s">
        <v>3945</v>
      </c>
      <c r="C3926" s="12">
        <v>25661.0</v>
      </c>
      <c r="D3926" s="11" t="str">
        <f t="shared" si="1"/>
        <v> </v>
      </c>
      <c r="E3926" s="11" t="str">
        <f t="shared" si="2"/>
        <v> </v>
      </c>
    </row>
    <row r="3927" ht="15.75" customHeight="1">
      <c r="A3927" s="11">
        <v>15567.0</v>
      </c>
      <c r="B3927" s="11" t="s">
        <v>3946</v>
      </c>
      <c r="C3927" s="12">
        <v>26384.0</v>
      </c>
      <c r="D3927" s="11" t="str">
        <f t="shared" si="1"/>
        <v> </v>
      </c>
      <c r="E3927" s="11" t="str">
        <f t="shared" si="2"/>
        <v> </v>
      </c>
    </row>
    <row r="3928" ht="15.75" customHeight="1">
      <c r="A3928" s="11">
        <v>15569.0</v>
      </c>
      <c r="B3928" s="11" t="s">
        <v>3947</v>
      </c>
      <c r="C3928" s="12">
        <v>25170.0</v>
      </c>
      <c r="D3928" s="11" t="str">
        <f t="shared" si="1"/>
        <v> </v>
      </c>
      <c r="E3928" s="11" t="str">
        <f t="shared" si="2"/>
        <v> </v>
      </c>
    </row>
    <row r="3929" ht="15.75" customHeight="1">
      <c r="A3929" s="11">
        <v>15570.0</v>
      </c>
      <c r="B3929" s="11" t="s">
        <v>3948</v>
      </c>
      <c r="C3929" s="12">
        <v>19023.0</v>
      </c>
      <c r="D3929" s="11" t="str">
        <f t="shared" si="1"/>
        <v>Repeat</v>
      </c>
      <c r="E3929" s="11" t="str">
        <f t="shared" si="2"/>
        <v> </v>
      </c>
    </row>
    <row r="3930" ht="15.75" customHeight="1">
      <c r="A3930" s="11">
        <v>15571.0</v>
      </c>
      <c r="B3930" s="11" t="s">
        <v>3949</v>
      </c>
      <c r="C3930" s="12">
        <v>26997.0</v>
      </c>
      <c r="D3930" s="11" t="str">
        <f t="shared" si="1"/>
        <v> </v>
      </c>
      <c r="E3930" s="11" t="str">
        <f t="shared" si="2"/>
        <v> </v>
      </c>
    </row>
    <row r="3931" ht="15.75" customHeight="1">
      <c r="A3931" s="11">
        <v>15572.0</v>
      </c>
      <c r="B3931" s="11" t="s">
        <v>3950</v>
      </c>
      <c r="C3931" s="12">
        <v>21761.0</v>
      </c>
      <c r="D3931" s="11" t="str">
        <f t="shared" si="1"/>
        <v> </v>
      </c>
      <c r="E3931" s="11" t="str">
        <f t="shared" si="2"/>
        <v> </v>
      </c>
    </row>
    <row r="3932" ht="15.75" customHeight="1">
      <c r="A3932" s="11">
        <v>15573.0</v>
      </c>
      <c r="B3932" s="11" t="s">
        <v>3951</v>
      </c>
      <c r="C3932" s="12">
        <v>26123.0</v>
      </c>
      <c r="D3932" s="11" t="str">
        <f t="shared" si="1"/>
        <v> </v>
      </c>
      <c r="E3932" s="11" t="str">
        <f t="shared" si="2"/>
        <v> </v>
      </c>
    </row>
    <row r="3933" ht="15.75" customHeight="1">
      <c r="A3933" s="11">
        <v>15574.0</v>
      </c>
      <c r="B3933" s="11" t="s">
        <v>3952</v>
      </c>
      <c r="C3933" s="12">
        <v>24427.0</v>
      </c>
      <c r="D3933" s="11" t="str">
        <f t="shared" si="1"/>
        <v> </v>
      </c>
      <c r="E3933" s="11" t="str">
        <f t="shared" si="2"/>
        <v> </v>
      </c>
    </row>
    <row r="3934" ht="15.75" customHeight="1">
      <c r="A3934" s="11">
        <v>15575.0</v>
      </c>
      <c r="B3934" s="11" t="s">
        <v>3953</v>
      </c>
      <c r="C3934" s="12">
        <v>25072.0</v>
      </c>
      <c r="D3934" s="11" t="str">
        <f t="shared" si="1"/>
        <v> </v>
      </c>
      <c r="E3934" s="11" t="str">
        <f t="shared" si="2"/>
        <v> </v>
      </c>
    </row>
    <row r="3935" ht="15.75" customHeight="1">
      <c r="A3935" s="11">
        <v>15576.0</v>
      </c>
      <c r="B3935" s="11" t="s">
        <v>3954</v>
      </c>
      <c r="C3935" s="12">
        <v>17409.0</v>
      </c>
      <c r="D3935" s="11" t="str">
        <f t="shared" si="1"/>
        <v> </v>
      </c>
      <c r="E3935" s="11" t="str">
        <f t="shared" si="2"/>
        <v> </v>
      </c>
    </row>
    <row r="3936" ht="15.75" customHeight="1">
      <c r="A3936" s="11">
        <v>15577.0</v>
      </c>
      <c r="B3936" s="11" t="s">
        <v>3955</v>
      </c>
      <c r="C3936" s="12">
        <v>20101.0</v>
      </c>
      <c r="D3936" s="11" t="str">
        <f t="shared" si="1"/>
        <v> </v>
      </c>
      <c r="E3936" s="11" t="str">
        <f t="shared" si="2"/>
        <v> </v>
      </c>
    </row>
    <row r="3937" ht="15.75" customHeight="1">
      <c r="A3937" s="11">
        <v>15578.0</v>
      </c>
      <c r="B3937" s="11" t="s">
        <v>3956</v>
      </c>
      <c r="C3937" s="12">
        <v>24337.0</v>
      </c>
      <c r="D3937" s="11" t="str">
        <f t="shared" si="1"/>
        <v> </v>
      </c>
      <c r="E3937" s="11" t="str">
        <f t="shared" si="2"/>
        <v> </v>
      </c>
    </row>
    <row r="3938" ht="15.75" customHeight="1">
      <c r="A3938" s="11">
        <v>15579.0</v>
      </c>
      <c r="B3938" s="11" t="s">
        <v>3957</v>
      </c>
      <c r="C3938" s="12">
        <v>18488.0</v>
      </c>
      <c r="D3938" s="11" t="str">
        <f t="shared" si="1"/>
        <v> </v>
      </c>
      <c r="E3938" s="11" t="str">
        <f t="shared" si="2"/>
        <v> </v>
      </c>
    </row>
    <row r="3939" ht="15.75" customHeight="1">
      <c r="A3939" s="11">
        <v>15580.0</v>
      </c>
      <c r="B3939" s="11" t="s">
        <v>760</v>
      </c>
      <c r="C3939" s="12">
        <v>19803.0</v>
      </c>
      <c r="D3939" s="11" t="str">
        <f t="shared" si="1"/>
        <v>Repeat</v>
      </c>
      <c r="E3939" s="11" t="str">
        <f t="shared" si="2"/>
        <v> </v>
      </c>
    </row>
    <row r="3940" ht="15.75" customHeight="1">
      <c r="A3940" s="11">
        <v>15581.0</v>
      </c>
      <c r="B3940" s="11" t="s">
        <v>3958</v>
      </c>
      <c r="C3940" s="12">
        <v>21424.0</v>
      </c>
      <c r="D3940" s="11" t="str">
        <f t="shared" si="1"/>
        <v> </v>
      </c>
      <c r="E3940" s="11" t="str">
        <f t="shared" si="2"/>
        <v> </v>
      </c>
    </row>
    <row r="3941" ht="15.75" customHeight="1">
      <c r="A3941" s="11">
        <v>15582.0</v>
      </c>
      <c r="B3941" s="11" t="s">
        <v>3959</v>
      </c>
      <c r="C3941" s="12">
        <v>21611.0</v>
      </c>
      <c r="D3941" s="11" t="str">
        <f t="shared" si="1"/>
        <v> </v>
      </c>
      <c r="E3941" s="11" t="str">
        <f t="shared" si="2"/>
        <v> </v>
      </c>
    </row>
    <row r="3942" ht="15.75" customHeight="1">
      <c r="A3942" s="11">
        <v>15583.0</v>
      </c>
      <c r="B3942" s="11" t="s">
        <v>3960</v>
      </c>
      <c r="C3942" s="12">
        <v>16991.0</v>
      </c>
      <c r="D3942" s="11" t="str">
        <f t="shared" si="1"/>
        <v> </v>
      </c>
      <c r="E3942" s="11" t="str">
        <f t="shared" si="2"/>
        <v> </v>
      </c>
    </row>
    <row r="3943" ht="15.75" customHeight="1">
      <c r="A3943" s="11">
        <v>15584.0</v>
      </c>
      <c r="B3943" s="11" t="s">
        <v>215</v>
      </c>
      <c r="C3943" s="12">
        <v>25194.0</v>
      </c>
      <c r="D3943" s="11" t="str">
        <f t="shared" si="1"/>
        <v>Repeat</v>
      </c>
      <c r="E3943" s="11" t="str">
        <f t="shared" si="2"/>
        <v> </v>
      </c>
    </row>
    <row r="3944" ht="15.75" customHeight="1">
      <c r="A3944" s="11">
        <v>15585.0</v>
      </c>
      <c r="B3944" s="11" t="s">
        <v>3961</v>
      </c>
      <c r="C3944" s="12">
        <v>22641.0</v>
      </c>
      <c r="D3944" s="11" t="str">
        <f t="shared" si="1"/>
        <v> </v>
      </c>
      <c r="E3944" s="11" t="str">
        <f t="shared" si="2"/>
        <v> </v>
      </c>
    </row>
    <row r="3945" ht="15.75" customHeight="1">
      <c r="A3945" s="11">
        <v>15586.0</v>
      </c>
      <c r="B3945" s="11" t="s">
        <v>3962</v>
      </c>
      <c r="C3945" s="12">
        <v>16770.0</v>
      </c>
      <c r="D3945" s="11" t="str">
        <f t="shared" si="1"/>
        <v> </v>
      </c>
      <c r="E3945" s="11" t="str">
        <f t="shared" si="2"/>
        <v> </v>
      </c>
    </row>
    <row r="3946" ht="15.75" customHeight="1">
      <c r="A3946" s="11">
        <v>15587.0</v>
      </c>
      <c r="B3946" s="11" t="s">
        <v>3473</v>
      </c>
      <c r="C3946" s="12">
        <v>20536.0</v>
      </c>
      <c r="D3946" s="11" t="str">
        <f t="shared" si="1"/>
        <v>Repeat</v>
      </c>
      <c r="E3946" s="11" t="str">
        <f t="shared" si="2"/>
        <v> </v>
      </c>
    </row>
    <row r="3947" ht="15.75" customHeight="1">
      <c r="A3947" s="11">
        <v>15588.0</v>
      </c>
      <c r="B3947" s="11" t="s">
        <v>3963</v>
      </c>
      <c r="C3947" s="12">
        <v>21458.0</v>
      </c>
      <c r="D3947" s="11" t="str">
        <f t="shared" si="1"/>
        <v>Repeat</v>
      </c>
      <c r="E3947" s="11" t="str">
        <f t="shared" si="2"/>
        <v> </v>
      </c>
    </row>
    <row r="3948" ht="15.75" customHeight="1">
      <c r="A3948" s="11">
        <v>15589.0</v>
      </c>
      <c r="B3948" s="11" t="s">
        <v>3964</v>
      </c>
      <c r="C3948" s="12">
        <v>24482.0</v>
      </c>
      <c r="D3948" s="11" t="str">
        <f t="shared" si="1"/>
        <v> </v>
      </c>
      <c r="E3948" s="11" t="str">
        <f t="shared" si="2"/>
        <v> </v>
      </c>
    </row>
    <row r="3949" ht="15.75" customHeight="1">
      <c r="A3949" s="11">
        <v>15590.0</v>
      </c>
      <c r="B3949" s="11" t="s">
        <v>3965</v>
      </c>
      <c r="C3949" s="12">
        <v>26883.0</v>
      </c>
      <c r="D3949" s="11" t="str">
        <f t="shared" si="1"/>
        <v> </v>
      </c>
      <c r="E3949" s="11" t="str">
        <f t="shared" si="2"/>
        <v> </v>
      </c>
    </row>
    <row r="3950" ht="15.75" customHeight="1">
      <c r="A3950" s="11">
        <v>15591.0</v>
      </c>
      <c r="B3950" s="11" t="s">
        <v>3966</v>
      </c>
      <c r="C3950" s="12">
        <v>21357.0</v>
      </c>
      <c r="D3950" s="11" t="str">
        <f t="shared" si="1"/>
        <v> </v>
      </c>
      <c r="E3950" s="11" t="str">
        <f t="shared" si="2"/>
        <v> </v>
      </c>
    </row>
    <row r="3951" ht="15.75" customHeight="1">
      <c r="A3951" s="11">
        <v>15592.0</v>
      </c>
      <c r="B3951" s="11" t="s">
        <v>3967</v>
      </c>
      <c r="C3951" s="12">
        <v>17154.0</v>
      </c>
      <c r="D3951" s="11" t="str">
        <f t="shared" si="1"/>
        <v> </v>
      </c>
      <c r="E3951" s="11" t="str">
        <f t="shared" si="2"/>
        <v> </v>
      </c>
    </row>
    <row r="3952" ht="15.75" customHeight="1">
      <c r="A3952" s="11">
        <v>15593.0</v>
      </c>
      <c r="B3952" s="11" t="s">
        <v>3968</v>
      </c>
      <c r="C3952" s="12">
        <v>26161.0</v>
      </c>
      <c r="D3952" s="11" t="str">
        <f t="shared" si="1"/>
        <v> </v>
      </c>
      <c r="E3952" s="11" t="str">
        <f t="shared" si="2"/>
        <v> </v>
      </c>
    </row>
    <row r="3953" ht="15.75" customHeight="1">
      <c r="A3953" s="11">
        <v>15595.0</v>
      </c>
      <c r="B3953" s="11" t="s">
        <v>3969</v>
      </c>
      <c r="C3953" s="12">
        <v>16882.0</v>
      </c>
      <c r="D3953" s="11" t="str">
        <f t="shared" si="1"/>
        <v> </v>
      </c>
      <c r="E3953" s="11" t="str">
        <f t="shared" si="2"/>
        <v> </v>
      </c>
    </row>
    <row r="3954" ht="15.75" customHeight="1">
      <c r="A3954" s="11">
        <v>15596.0</v>
      </c>
      <c r="B3954" s="11" t="s">
        <v>3970</v>
      </c>
      <c r="C3954" s="12">
        <v>17769.0</v>
      </c>
      <c r="D3954" s="11" t="str">
        <f t="shared" si="1"/>
        <v> </v>
      </c>
      <c r="E3954" s="11" t="str">
        <f t="shared" si="2"/>
        <v> </v>
      </c>
    </row>
    <row r="3955" ht="15.75" customHeight="1">
      <c r="A3955" s="11">
        <v>15597.0</v>
      </c>
      <c r="B3955" s="11" t="s">
        <v>3971</v>
      </c>
      <c r="C3955" s="12">
        <v>16309.0</v>
      </c>
      <c r="D3955" s="11" t="str">
        <f t="shared" si="1"/>
        <v> </v>
      </c>
      <c r="E3955" s="11" t="str">
        <f t="shared" si="2"/>
        <v> </v>
      </c>
    </row>
    <row r="3956" ht="15.75" customHeight="1">
      <c r="A3956" s="11">
        <v>15598.0</v>
      </c>
      <c r="B3956" s="11" t="s">
        <v>3972</v>
      </c>
      <c r="C3956" s="12">
        <v>20029.0</v>
      </c>
      <c r="D3956" s="11" t="str">
        <f t="shared" si="1"/>
        <v> </v>
      </c>
      <c r="E3956" s="11" t="str">
        <f t="shared" si="2"/>
        <v> </v>
      </c>
    </row>
    <row r="3957" ht="15.75" customHeight="1">
      <c r="A3957" s="11">
        <v>15599.0</v>
      </c>
      <c r="B3957" s="11" t="s">
        <v>3973</v>
      </c>
      <c r="C3957" s="12">
        <v>20668.0</v>
      </c>
      <c r="D3957" s="11" t="str">
        <f t="shared" si="1"/>
        <v> </v>
      </c>
      <c r="E3957" s="11" t="str">
        <f t="shared" si="2"/>
        <v> </v>
      </c>
    </row>
    <row r="3958" ht="15.75" customHeight="1">
      <c r="A3958" s="11">
        <v>15600.0</v>
      </c>
      <c r="B3958" s="11" t="s">
        <v>3974</v>
      </c>
      <c r="C3958" s="12">
        <v>18638.0</v>
      </c>
      <c r="D3958" s="11" t="str">
        <f t="shared" si="1"/>
        <v> </v>
      </c>
      <c r="E3958" s="11" t="str">
        <f t="shared" si="2"/>
        <v> </v>
      </c>
    </row>
    <row r="3959" ht="15.75" customHeight="1">
      <c r="A3959" s="11">
        <v>15601.0</v>
      </c>
      <c r="B3959" s="11" t="s">
        <v>3975</v>
      </c>
      <c r="C3959" s="12">
        <v>20014.0</v>
      </c>
      <c r="D3959" s="11" t="str">
        <f t="shared" si="1"/>
        <v> </v>
      </c>
      <c r="E3959" s="11" t="str">
        <f t="shared" si="2"/>
        <v> </v>
      </c>
    </row>
    <row r="3960" ht="15.75" customHeight="1">
      <c r="A3960" s="11">
        <v>15602.0</v>
      </c>
      <c r="B3960" s="11" t="s">
        <v>3976</v>
      </c>
      <c r="C3960" s="12">
        <v>21253.0</v>
      </c>
      <c r="D3960" s="11" t="str">
        <f t="shared" si="1"/>
        <v> </v>
      </c>
      <c r="E3960" s="11" t="str">
        <f t="shared" si="2"/>
        <v> </v>
      </c>
    </row>
    <row r="3961" ht="15.75" customHeight="1">
      <c r="A3961" s="11">
        <v>15603.0</v>
      </c>
      <c r="B3961" s="11" t="s">
        <v>3977</v>
      </c>
      <c r="C3961" s="12">
        <v>21691.0</v>
      </c>
      <c r="D3961" s="11" t="str">
        <f t="shared" si="1"/>
        <v> </v>
      </c>
      <c r="E3961" s="11" t="str">
        <f t="shared" si="2"/>
        <v> </v>
      </c>
    </row>
    <row r="3962" ht="15.75" customHeight="1">
      <c r="A3962" s="11">
        <v>15604.0</v>
      </c>
      <c r="B3962" s="11" t="s">
        <v>3978</v>
      </c>
      <c r="C3962" s="12">
        <v>20476.0</v>
      </c>
      <c r="D3962" s="11" t="str">
        <f t="shared" si="1"/>
        <v> </v>
      </c>
      <c r="E3962" s="11" t="str">
        <f t="shared" si="2"/>
        <v> </v>
      </c>
    </row>
    <row r="3963" ht="15.75" customHeight="1">
      <c r="A3963" s="11">
        <v>15605.0</v>
      </c>
      <c r="B3963" s="11" t="s">
        <v>3979</v>
      </c>
      <c r="C3963" s="12">
        <v>25642.0</v>
      </c>
      <c r="D3963" s="11" t="str">
        <f t="shared" si="1"/>
        <v> </v>
      </c>
      <c r="E3963" s="11" t="str">
        <f t="shared" si="2"/>
        <v> </v>
      </c>
    </row>
    <row r="3964" ht="15.75" customHeight="1">
      <c r="A3964" s="11">
        <v>15606.0</v>
      </c>
      <c r="B3964" s="11" t="s">
        <v>3980</v>
      </c>
      <c r="C3964" s="12">
        <v>21464.0</v>
      </c>
      <c r="D3964" s="11" t="str">
        <f t="shared" si="1"/>
        <v> </v>
      </c>
      <c r="E3964" s="11" t="str">
        <f t="shared" si="2"/>
        <v> </v>
      </c>
    </row>
    <row r="3965" ht="15.75" customHeight="1">
      <c r="A3965" s="11">
        <v>15607.0</v>
      </c>
      <c r="B3965" s="11" t="s">
        <v>3981</v>
      </c>
      <c r="C3965" s="12">
        <v>13040.0</v>
      </c>
      <c r="D3965" s="11" t="str">
        <f t="shared" si="1"/>
        <v> </v>
      </c>
      <c r="E3965" s="11" t="str">
        <f t="shared" si="2"/>
        <v> </v>
      </c>
    </row>
    <row r="3966" ht="15.75" customHeight="1">
      <c r="A3966" s="11">
        <v>15608.0</v>
      </c>
      <c r="B3966" s="11" t="s">
        <v>3982</v>
      </c>
      <c r="C3966" s="12">
        <v>20238.0</v>
      </c>
      <c r="D3966" s="11" t="str">
        <f t="shared" si="1"/>
        <v> </v>
      </c>
      <c r="E3966" s="11" t="str">
        <f t="shared" si="2"/>
        <v> </v>
      </c>
    </row>
    <row r="3967" ht="15.75" customHeight="1">
      <c r="A3967" s="11">
        <v>15609.0</v>
      </c>
      <c r="B3967" s="11" t="s">
        <v>3983</v>
      </c>
      <c r="C3967" s="12">
        <v>28149.0</v>
      </c>
      <c r="D3967" s="11" t="str">
        <f t="shared" si="1"/>
        <v> </v>
      </c>
      <c r="E3967" s="11" t="str">
        <f t="shared" si="2"/>
        <v> </v>
      </c>
    </row>
    <row r="3968" ht="15.75" customHeight="1">
      <c r="A3968" s="11">
        <v>15610.0</v>
      </c>
      <c r="B3968" s="11" t="s">
        <v>3984</v>
      </c>
      <c r="C3968" s="12">
        <v>25594.0</v>
      </c>
      <c r="D3968" s="11" t="str">
        <f t="shared" si="1"/>
        <v> </v>
      </c>
      <c r="E3968" s="11" t="str">
        <f t="shared" si="2"/>
        <v> </v>
      </c>
    </row>
    <row r="3969" ht="15.75" customHeight="1">
      <c r="A3969" s="11">
        <v>15611.0</v>
      </c>
      <c r="B3969" s="11" t="s">
        <v>3985</v>
      </c>
      <c r="C3969" s="12">
        <v>21765.0</v>
      </c>
      <c r="D3969" s="11" t="str">
        <f t="shared" si="1"/>
        <v> </v>
      </c>
      <c r="E3969" s="11" t="str">
        <f t="shared" si="2"/>
        <v> </v>
      </c>
    </row>
    <row r="3970" ht="15.75" customHeight="1">
      <c r="A3970" s="11">
        <v>15612.0</v>
      </c>
      <c r="B3970" s="11" t="s">
        <v>3986</v>
      </c>
      <c r="C3970" s="12">
        <v>18396.0</v>
      </c>
      <c r="D3970" s="11" t="str">
        <f t="shared" si="1"/>
        <v> </v>
      </c>
      <c r="E3970" s="11" t="str">
        <f t="shared" si="2"/>
        <v> </v>
      </c>
    </row>
    <row r="3971" ht="15.75" customHeight="1">
      <c r="A3971" s="11">
        <v>15613.0</v>
      </c>
      <c r="B3971" s="11" t="s">
        <v>3987</v>
      </c>
      <c r="C3971" s="12">
        <v>22685.0</v>
      </c>
      <c r="D3971" s="11" t="str">
        <f t="shared" si="1"/>
        <v> </v>
      </c>
      <c r="E3971" s="11" t="str">
        <f t="shared" si="2"/>
        <v> </v>
      </c>
    </row>
    <row r="3972" ht="15.75" customHeight="1">
      <c r="A3972" s="11">
        <v>15614.0</v>
      </c>
      <c r="B3972" s="11" t="s">
        <v>3988</v>
      </c>
      <c r="C3972" s="12">
        <v>22255.0</v>
      </c>
      <c r="D3972" s="11" t="str">
        <f t="shared" si="1"/>
        <v> </v>
      </c>
      <c r="E3972" s="11" t="str">
        <f t="shared" si="2"/>
        <v> </v>
      </c>
    </row>
    <row r="3973" ht="15.75" customHeight="1">
      <c r="A3973" s="11">
        <v>15615.0</v>
      </c>
      <c r="B3973" s="11" t="s">
        <v>3989</v>
      </c>
      <c r="C3973" s="12">
        <v>32142.0</v>
      </c>
      <c r="D3973" s="11" t="str">
        <f t="shared" si="1"/>
        <v> </v>
      </c>
      <c r="E3973" s="11" t="str">
        <f t="shared" si="2"/>
        <v> </v>
      </c>
    </row>
    <row r="3974" ht="15.75" customHeight="1">
      <c r="A3974" s="11">
        <v>15616.0</v>
      </c>
      <c r="B3974" s="11" t="s">
        <v>3990</v>
      </c>
      <c r="C3974" s="12">
        <v>15867.0</v>
      </c>
      <c r="D3974" s="11" t="str">
        <f t="shared" si="1"/>
        <v> </v>
      </c>
      <c r="E3974" s="11" t="str">
        <f t="shared" si="2"/>
        <v> </v>
      </c>
    </row>
    <row r="3975" ht="15.75" customHeight="1">
      <c r="A3975" s="11">
        <v>15617.0</v>
      </c>
      <c r="B3975" s="11" t="s">
        <v>3991</v>
      </c>
      <c r="C3975" s="12">
        <v>25625.0</v>
      </c>
      <c r="D3975" s="11" t="str">
        <f t="shared" si="1"/>
        <v> </v>
      </c>
      <c r="E3975" s="11" t="str">
        <f t="shared" si="2"/>
        <v> </v>
      </c>
    </row>
    <row r="3976" ht="15.75" customHeight="1">
      <c r="A3976" s="11">
        <v>15619.0</v>
      </c>
      <c r="B3976" s="11" t="s">
        <v>3992</v>
      </c>
      <c r="C3976" s="12">
        <v>18134.0</v>
      </c>
      <c r="D3976" s="11" t="str">
        <f t="shared" si="1"/>
        <v> </v>
      </c>
      <c r="E3976" s="11" t="str">
        <f t="shared" si="2"/>
        <v> </v>
      </c>
    </row>
    <row r="3977" ht="15.75" customHeight="1">
      <c r="A3977" s="11">
        <v>15620.0</v>
      </c>
      <c r="B3977" s="11" t="s">
        <v>3993</v>
      </c>
      <c r="C3977" s="12">
        <v>19311.0</v>
      </c>
      <c r="D3977" s="11" t="str">
        <f t="shared" si="1"/>
        <v> </v>
      </c>
      <c r="E3977" s="11" t="str">
        <f t="shared" si="2"/>
        <v> </v>
      </c>
    </row>
    <row r="3978" ht="15.75" customHeight="1">
      <c r="A3978" s="11">
        <v>15621.0</v>
      </c>
      <c r="B3978" s="11" t="s">
        <v>3994</v>
      </c>
      <c r="C3978" s="12">
        <v>21011.0</v>
      </c>
      <c r="D3978" s="11" t="str">
        <f t="shared" si="1"/>
        <v> </v>
      </c>
      <c r="E3978" s="11" t="str">
        <f t="shared" si="2"/>
        <v> </v>
      </c>
    </row>
    <row r="3979" ht="15.75" customHeight="1">
      <c r="A3979" s="11">
        <v>15622.0</v>
      </c>
      <c r="B3979" s="11" t="s">
        <v>3995</v>
      </c>
      <c r="C3979" s="12">
        <v>27572.0</v>
      </c>
      <c r="D3979" s="11" t="str">
        <f t="shared" si="1"/>
        <v> </v>
      </c>
      <c r="E3979" s="11" t="str">
        <f t="shared" si="2"/>
        <v> </v>
      </c>
    </row>
    <row r="3980" ht="15.75" customHeight="1">
      <c r="A3980" s="11">
        <v>15623.0</v>
      </c>
      <c r="B3980" s="11" t="s">
        <v>3996</v>
      </c>
      <c r="C3980" s="12">
        <v>24495.0</v>
      </c>
      <c r="D3980" s="11" t="str">
        <f t="shared" si="1"/>
        <v> </v>
      </c>
      <c r="E3980" s="11" t="str">
        <f t="shared" si="2"/>
        <v> </v>
      </c>
    </row>
    <row r="3981" ht="15.75" customHeight="1">
      <c r="A3981" s="11">
        <v>15625.0</v>
      </c>
      <c r="B3981" s="11" t="s">
        <v>3997</v>
      </c>
      <c r="C3981" s="12">
        <v>21436.0</v>
      </c>
      <c r="D3981" s="11" t="str">
        <f t="shared" si="1"/>
        <v> </v>
      </c>
      <c r="E3981" s="11" t="str">
        <f t="shared" si="2"/>
        <v> </v>
      </c>
    </row>
    <row r="3982" ht="15.75" customHeight="1">
      <c r="A3982" s="11">
        <v>15626.0</v>
      </c>
      <c r="B3982" s="11" t="s">
        <v>3998</v>
      </c>
      <c r="C3982" s="12">
        <v>13658.0</v>
      </c>
      <c r="D3982" s="11" t="str">
        <f t="shared" si="1"/>
        <v> </v>
      </c>
      <c r="E3982" s="11" t="str">
        <f t="shared" si="2"/>
        <v> </v>
      </c>
    </row>
    <row r="3983" ht="15.75" customHeight="1">
      <c r="A3983" s="11">
        <v>15627.0</v>
      </c>
      <c r="B3983" s="11" t="s">
        <v>3999</v>
      </c>
      <c r="C3983" s="12">
        <v>15805.0</v>
      </c>
      <c r="D3983" s="11" t="str">
        <f t="shared" si="1"/>
        <v> </v>
      </c>
      <c r="E3983" s="11" t="str">
        <f t="shared" si="2"/>
        <v> </v>
      </c>
    </row>
    <row r="3984" ht="15.75" customHeight="1">
      <c r="A3984" s="11">
        <v>15628.0</v>
      </c>
      <c r="B3984" s="11" t="s">
        <v>4000</v>
      </c>
      <c r="C3984" s="12">
        <v>25832.0</v>
      </c>
      <c r="D3984" s="11" t="str">
        <f t="shared" si="1"/>
        <v> </v>
      </c>
      <c r="E3984" s="11" t="str">
        <f t="shared" si="2"/>
        <v> </v>
      </c>
    </row>
    <row r="3985" ht="15.75" customHeight="1">
      <c r="A3985" s="11">
        <v>15629.0</v>
      </c>
      <c r="B3985" s="11" t="s">
        <v>4001</v>
      </c>
      <c r="C3985" s="12">
        <v>14499.0</v>
      </c>
      <c r="D3985" s="11" t="str">
        <f t="shared" si="1"/>
        <v> </v>
      </c>
      <c r="E3985" s="11" t="str">
        <f t="shared" si="2"/>
        <v> </v>
      </c>
    </row>
    <row r="3986" ht="15.75" customHeight="1">
      <c r="A3986" s="11">
        <v>15631.0</v>
      </c>
      <c r="B3986" s="11" t="s">
        <v>4002</v>
      </c>
      <c r="C3986" s="12">
        <v>15838.0</v>
      </c>
      <c r="D3986" s="11" t="str">
        <f t="shared" si="1"/>
        <v> </v>
      </c>
      <c r="E3986" s="11" t="str">
        <f t="shared" si="2"/>
        <v> </v>
      </c>
    </row>
    <row r="3987" ht="15.75" customHeight="1">
      <c r="A3987" s="11">
        <v>15632.0</v>
      </c>
      <c r="B3987" s="11" t="s">
        <v>4003</v>
      </c>
      <c r="C3987" s="12">
        <v>23874.0</v>
      </c>
      <c r="D3987" s="11" t="str">
        <f t="shared" si="1"/>
        <v> </v>
      </c>
      <c r="E3987" s="11" t="str">
        <f t="shared" si="2"/>
        <v> </v>
      </c>
    </row>
    <row r="3988" ht="15.75" customHeight="1">
      <c r="A3988" s="11">
        <v>15633.0</v>
      </c>
      <c r="B3988" s="11" t="s">
        <v>4004</v>
      </c>
      <c r="C3988" s="12">
        <v>20974.0</v>
      </c>
      <c r="D3988" s="11" t="str">
        <f t="shared" si="1"/>
        <v> </v>
      </c>
      <c r="E3988" s="11" t="str">
        <f t="shared" si="2"/>
        <v> </v>
      </c>
    </row>
    <row r="3989" ht="15.75" customHeight="1">
      <c r="A3989" s="11">
        <v>15634.0</v>
      </c>
      <c r="B3989" s="11" t="s">
        <v>4005</v>
      </c>
      <c r="C3989" s="12">
        <v>18780.0</v>
      </c>
      <c r="D3989" s="11" t="str">
        <f t="shared" si="1"/>
        <v> </v>
      </c>
      <c r="E3989" s="11" t="str">
        <f t="shared" si="2"/>
        <v> </v>
      </c>
    </row>
    <row r="3990" ht="15.75" customHeight="1">
      <c r="A3990" s="11">
        <v>15635.0</v>
      </c>
      <c r="B3990" s="11" t="s">
        <v>4006</v>
      </c>
      <c r="C3990" s="12">
        <v>20122.0</v>
      </c>
      <c r="D3990" s="11" t="str">
        <f t="shared" si="1"/>
        <v> </v>
      </c>
      <c r="E3990" s="11" t="str">
        <f t="shared" si="2"/>
        <v> </v>
      </c>
    </row>
    <row r="3991" ht="15.75" customHeight="1">
      <c r="A3991" s="11">
        <v>15637.0</v>
      </c>
      <c r="B3991" s="11" t="s">
        <v>4007</v>
      </c>
      <c r="C3991" s="12">
        <v>25033.0</v>
      </c>
      <c r="D3991" s="11" t="str">
        <f t="shared" si="1"/>
        <v> </v>
      </c>
      <c r="E3991" s="11" t="str">
        <f t="shared" si="2"/>
        <v> </v>
      </c>
    </row>
    <row r="3992" ht="15.75" customHeight="1">
      <c r="A3992" s="11">
        <v>15638.0</v>
      </c>
      <c r="B3992" s="11" t="s">
        <v>4008</v>
      </c>
      <c r="C3992" s="12">
        <v>18174.0</v>
      </c>
      <c r="D3992" s="11" t="str">
        <f t="shared" si="1"/>
        <v> </v>
      </c>
      <c r="E3992" s="11" t="str">
        <f t="shared" si="2"/>
        <v> </v>
      </c>
    </row>
    <row r="3993" ht="15.75" customHeight="1">
      <c r="A3993" s="11">
        <v>15639.0</v>
      </c>
      <c r="B3993" s="11" t="s">
        <v>4009</v>
      </c>
      <c r="C3993" s="12">
        <v>17056.0</v>
      </c>
      <c r="D3993" s="11" t="str">
        <f t="shared" si="1"/>
        <v>Repeat</v>
      </c>
      <c r="E3993" s="11" t="str">
        <f t="shared" si="2"/>
        <v> </v>
      </c>
    </row>
    <row r="3994" ht="15.75" customHeight="1">
      <c r="A3994" s="11">
        <v>15640.0</v>
      </c>
      <c r="B3994" s="11" t="s">
        <v>4010</v>
      </c>
      <c r="C3994" s="12">
        <v>26898.0</v>
      </c>
      <c r="D3994" s="11" t="str">
        <f t="shared" si="1"/>
        <v> </v>
      </c>
      <c r="E3994" s="11" t="str">
        <f t="shared" si="2"/>
        <v> </v>
      </c>
    </row>
    <row r="3995" ht="15.75" customHeight="1">
      <c r="A3995" s="11">
        <v>15641.0</v>
      </c>
      <c r="B3995" s="11" t="s">
        <v>4011</v>
      </c>
      <c r="C3995" s="12">
        <v>14095.0</v>
      </c>
      <c r="D3995" s="11" t="str">
        <f t="shared" si="1"/>
        <v> </v>
      </c>
      <c r="E3995" s="11" t="str">
        <f t="shared" si="2"/>
        <v> </v>
      </c>
    </row>
    <row r="3996" ht="15.75" customHeight="1">
      <c r="A3996" s="11">
        <v>15642.0</v>
      </c>
      <c r="B3996" s="11" t="s">
        <v>4012</v>
      </c>
      <c r="C3996" s="12">
        <v>22702.0</v>
      </c>
      <c r="D3996" s="11" t="str">
        <f t="shared" si="1"/>
        <v> </v>
      </c>
      <c r="E3996" s="11" t="str">
        <f t="shared" si="2"/>
        <v> </v>
      </c>
    </row>
    <row r="3997" ht="15.75" customHeight="1">
      <c r="A3997" s="11">
        <v>15643.0</v>
      </c>
      <c r="B3997" s="11" t="s">
        <v>4013</v>
      </c>
      <c r="C3997" s="12">
        <v>26218.0</v>
      </c>
      <c r="D3997" s="11" t="str">
        <f t="shared" si="1"/>
        <v> </v>
      </c>
      <c r="E3997" s="11" t="str">
        <f t="shared" si="2"/>
        <v> </v>
      </c>
    </row>
    <row r="3998" ht="15.75" customHeight="1">
      <c r="A3998" s="11">
        <v>15644.0</v>
      </c>
      <c r="B3998" s="11" t="s">
        <v>4014</v>
      </c>
      <c r="C3998" s="12">
        <v>14426.0</v>
      </c>
      <c r="D3998" s="11" t="str">
        <f t="shared" si="1"/>
        <v> </v>
      </c>
      <c r="E3998" s="11" t="str">
        <f t="shared" si="2"/>
        <v> </v>
      </c>
    </row>
    <row r="3999" ht="15.75" customHeight="1">
      <c r="A3999" s="11">
        <v>15645.0</v>
      </c>
      <c r="B3999" s="11" t="s">
        <v>4015</v>
      </c>
      <c r="C3999" s="12">
        <v>29464.0</v>
      </c>
      <c r="D3999" s="11" t="str">
        <f t="shared" si="1"/>
        <v> </v>
      </c>
      <c r="E3999" s="11" t="str">
        <f t="shared" si="2"/>
        <v> </v>
      </c>
    </row>
    <row r="4000" ht="15.75" customHeight="1">
      <c r="A4000" s="11">
        <v>15646.0</v>
      </c>
      <c r="B4000" s="11" t="s">
        <v>4016</v>
      </c>
      <c r="C4000" s="12">
        <v>28024.0</v>
      </c>
      <c r="D4000" s="11" t="str">
        <f t="shared" si="1"/>
        <v> </v>
      </c>
      <c r="E4000" s="11" t="str">
        <f t="shared" si="2"/>
        <v> </v>
      </c>
    </row>
    <row r="4001" ht="15.75" customHeight="1">
      <c r="A4001" s="11">
        <v>15647.0</v>
      </c>
      <c r="B4001" s="11" t="s">
        <v>4017</v>
      </c>
      <c r="C4001" s="12">
        <v>26283.0</v>
      </c>
      <c r="D4001" s="11" t="str">
        <f t="shared" si="1"/>
        <v> </v>
      </c>
      <c r="E4001" s="11" t="str">
        <f t="shared" si="2"/>
        <v> </v>
      </c>
    </row>
    <row r="4002" ht="15.75" customHeight="1">
      <c r="A4002" s="11">
        <v>15648.0</v>
      </c>
      <c r="B4002" s="11" t="s">
        <v>4018</v>
      </c>
      <c r="C4002" s="12">
        <v>25882.0</v>
      </c>
      <c r="D4002" s="11" t="str">
        <f t="shared" si="1"/>
        <v> </v>
      </c>
      <c r="E4002" s="11" t="str">
        <f t="shared" si="2"/>
        <v> </v>
      </c>
    </row>
    <row r="4003" ht="15.75" customHeight="1">
      <c r="A4003" s="11">
        <v>15649.0</v>
      </c>
      <c r="B4003" s="11" t="s">
        <v>4019</v>
      </c>
      <c r="C4003" s="12">
        <v>19072.0</v>
      </c>
      <c r="D4003" s="11" t="str">
        <f t="shared" si="1"/>
        <v> </v>
      </c>
      <c r="E4003" s="11" t="str">
        <f t="shared" si="2"/>
        <v> </v>
      </c>
    </row>
    <row r="4004" ht="15.75" customHeight="1">
      <c r="A4004" s="11">
        <v>15650.0</v>
      </c>
      <c r="B4004" s="11" t="s">
        <v>4020</v>
      </c>
      <c r="C4004" s="12">
        <v>18953.0</v>
      </c>
      <c r="D4004" s="11" t="str">
        <f t="shared" si="1"/>
        <v> </v>
      </c>
      <c r="E4004" s="11" t="str">
        <f t="shared" si="2"/>
        <v> </v>
      </c>
    </row>
    <row r="4005" ht="15.75" customHeight="1">
      <c r="A4005" s="11">
        <v>15652.0</v>
      </c>
      <c r="B4005" s="11" t="s">
        <v>4021</v>
      </c>
      <c r="C4005" s="12">
        <v>21214.0</v>
      </c>
      <c r="D4005" s="11" t="str">
        <f t="shared" si="1"/>
        <v> </v>
      </c>
      <c r="E4005" s="11" t="str">
        <f t="shared" si="2"/>
        <v>Repeat</v>
      </c>
    </row>
    <row r="4006" ht="15.75" customHeight="1">
      <c r="A4006" s="11">
        <v>15653.0</v>
      </c>
      <c r="B4006" s="11" t="s">
        <v>4022</v>
      </c>
      <c r="C4006" s="12">
        <v>18431.0</v>
      </c>
      <c r="D4006" s="11" t="str">
        <f t="shared" si="1"/>
        <v> </v>
      </c>
      <c r="E4006" s="11" t="str">
        <f t="shared" si="2"/>
        <v> </v>
      </c>
    </row>
    <row r="4007" ht="15.75" customHeight="1">
      <c r="A4007" s="11">
        <v>15654.0</v>
      </c>
      <c r="B4007" s="11" t="s">
        <v>4023</v>
      </c>
      <c r="C4007" s="12">
        <v>18324.0</v>
      </c>
      <c r="D4007" s="11" t="str">
        <f t="shared" si="1"/>
        <v> </v>
      </c>
      <c r="E4007" s="11" t="str">
        <f t="shared" si="2"/>
        <v> </v>
      </c>
    </row>
    <row r="4008" ht="15.75" customHeight="1">
      <c r="A4008" s="11">
        <v>15655.0</v>
      </c>
      <c r="B4008" s="11" t="s">
        <v>4024</v>
      </c>
      <c r="C4008" s="12">
        <v>18038.0</v>
      </c>
      <c r="D4008" s="11" t="str">
        <f t="shared" si="1"/>
        <v> </v>
      </c>
      <c r="E4008" s="11" t="str">
        <f t="shared" si="2"/>
        <v> </v>
      </c>
    </row>
    <row r="4009" ht="15.75" customHeight="1">
      <c r="A4009" s="11">
        <v>15656.0</v>
      </c>
      <c r="B4009" s="11" t="s">
        <v>4025</v>
      </c>
      <c r="C4009" s="12">
        <v>17373.0</v>
      </c>
      <c r="D4009" s="11" t="str">
        <f t="shared" si="1"/>
        <v> </v>
      </c>
      <c r="E4009" s="11" t="str">
        <f t="shared" si="2"/>
        <v> </v>
      </c>
    </row>
    <row r="4010" ht="15.75" customHeight="1">
      <c r="A4010" s="11">
        <v>15657.0</v>
      </c>
      <c r="B4010" s="11" t="s">
        <v>4026</v>
      </c>
      <c r="C4010" s="12">
        <v>24273.0</v>
      </c>
      <c r="D4010" s="11" t="str">
        <f t="shared" si="1"/>
        <v> </v>
      </c>
      <c r="E4010" s="11" t="str">
        <f t="shared" si="2"/>
        <v> </v>
      </c>
    </row>
    <row r="4011" ht="15.75" customHeight="1">
      <c r="A4011" s="11">
        <v>15658.0</v>
      </c>
      <c r="B4011" s="11" t="s">
        <v>4027</v>
      </c>
      <c r="C4011" s="12">
        <v>20620.0</v>
      </c>
      <c r="D4011" s="11" t="str">
        <f t="shared" si="1"/>
        <v> </v>
      </c>
      <c r="E4011" s="11" t="str">
        <f t="shared" si="2"/>
        <v> </v>
      </c>
    </row>
    <row r="4012" ht="15.75" customHeight="1">
      <c r="A4012" s="11">
        <v>15659.0</v>
      </c>
      <c r="B4012" s="11" t="s">
        <v>4028</v>
      </c>
      <c r="C4012" s="12">
        <v>32631.0</v>
      </c>
      <c r="D4012" s="11" t="str">
        <f t="shared" si="1"/>
        <v>Repeat</v>
      </c>
      <c r="E4012" s="11" t="str">
        <f t="shared" si="2"/>
        <v> </v>
      </c>
    </row>
    <row r="4013" ht="15.75" customHeight="1">
      <c r="A4013" s="11">
        <v>15661.0</v>
      </c>
      <c r="B4013" s="11" t="s">
        <v>4029</v>
      </c>
      <c r="C4013" s="12">
        <v>14849.0</v>
      </c>
      <c r="D4013" s="11" t="str">
        <f t="shared" si="1"/>
        <v> </v>
      </c>
      <c r="E4013" s="11" t="str">
        <f t="shared" si="2"/>
        <v> </v>
      </c>
    </row>
    <row r="4014" ht="15.75" customHeight="1">
      <c r="A4014" s="11">
        <v>15662.0</v>
      </c>
      <c r="B4014" s="11" t="s">
        <v>4030</v>
      </c>
      <c r="C4014" s="12">
        <v>19843.0</v>
      </c>
      <c r="D4014" s="11" t="str">
        <f t="shared" si="1"/>
        <v> </v>
      </c>
      <c r="E4014" s="11" t="str">
        <f t="shared" si="2"/>
        <v> </v>
      </c>
    </row>
    <row r="4015" ht="15.75" customHeight="1">
      <c r="A4015" s="11">
        <v>15663.0</v>
      </c>
      <c r="B4015" s="11" t="s">
        <v>4031</v>
      </c>
      <c r="C4015" s="12">
        <v>23520.0</v>
      </c>
      <c r="D4015" s="11" t="str">
        <f t="shared" si="1"/>
        <v> </v>
      </c>
      <c r="E4015" s="11" t="str">
        <f t="shared" si="2"/>
        <v> </v>
      </c>
    </row>
    <row r="4016" ht="15.75" customHeight="1">
      <c r="A4016" s="11">
        <v>15664.0</v>
      </c>
      <c r="B4016" s="11" t="s">
        <v>4032</v>
      </c>
      <c r="C4016" s="12">
        <v>22056.0</v>
      </c>
      <c r="D4016" s="11" t="str">
        <f t="shared" si="1"/>
        <v> </v>
      </c>
      <c r="E4016" s="11" t="str">
        <f t="shared" si="2"/>
        <v> </v>
      </c>
    </row>
    <row r="4017" ht="15.75" customHeight="1">
      <c r="A4017" s="11">
        <v>15665.0</v>
      </c>
      <c r="B4017" s="11" t="s">
        <v>4033</v>
      </c>
      <c r="C4017" s="12">
        <v>19949.0</v>
      </c>
      <c r="D4017" s="11" t="str">
        <f t="shared" si="1"/>
        <v> </v>
      </c>
      <c r="E4017" s="11" t="str">
        <f t="shared" si="2"/>
        <v> </v>
      </c>
    </row>
    <row r="4018" ht="15.75" customHeight="1">
      <c r="A4018" s="11">
        <v>15666.0</v>
      </c>
      <c r="B4018" s="11" t="s">
        <v>4034</v>
      </c>
      <c r="C4018" s="12">
        <v>26653.0</v>
      </c>
      <c r="D4018" s="11" t="str">
        <f t="shared" si="1"/>
        <v> </v>
      </c>
      <c r="E4018" s="11" t="str">
        <f t="shared" si="2"/>
        <v> </v>
      </c>
    </row>
    <row r="4019" ht="15.75" customHeight="1">
      <c r="A4019" s="11">
        <v>15667.0</v>
      </c>
      <c r="B4019" s="11" t="s">
        <v>4035</v>
      </c>
      <c r="C4019" s="12">
        <v>28612.0</v>
      </c>
      <c r="D4019" s="11" t="str">
        <f t="shared" si="1"/>
        <v> </v>
      </c>
      <c r="E4019" s="11" t="str">
        <f t="shared" si="2"/>
        <v> </v>
      </c>
    </row>
    <row r="4020" ht="15.75" customHeight="1">
      <c r="A4020" s="11">
        <v>15668.0</v>
      </c>
      <c r="B4020" s="11" t="s">
        <v>4036</v>
      </c>
      <c r="C4020" s="12">
        <v>18726.0</v>
      </c>
      <c r="D4020" s="11" t="str">
        <f t="shared" si="1"/>
        <v>Repeat</v>
      </c>
      <c r="E4020" s="11" t="str">
        <f t="shared" si="2"/>
        <v>Repeat</v>
      </c>
    </row>
    <row r="4021" ht="15.75" customHeight="1">
      <c r="A4021" s="11">
        <v>15669.0</v>
      </c>
      <c r="B4021" s="11" t="s">
        <v>4037</v>
      </c>
      <c r="C4021" s="12">
        <v>19792.0</v>
      </c>
      <c r="D4021" s="11" t="str">
        <f t="shared" si="1"/>
        <v> </v>
      </c>
      <c r="E4021" s="11" t="str">
        <f t="shared" si="2"/>
        <v> </v>
      </c>
    </row>
    <row r="4022" ht="15.75" customHeight="1">
      <c r="A4022" s="11">
        <v>15670.0</v>
      </c>
      <c r="B4022" s="11" t="s">
        <v>4038</v>
      </c>
      <c r="C4022" s="12">
        <v>19901.0</v>
      </c>
      <c r="D4022" s="11" t="str">
        <f t="shared" si="1"/>
        <v> </v>
      </c>
      <c r="E4022" s="11" t="str">
        <f t="shared" si="2"/>
        <v> </v>
      </c>
    </row>
    <row r="4023" ht="15.75" customHeight="1">
      <c r="A4023" s="11">
        <v>15671.0</v>
      </c>
      <c r="B4023" s="11" t="s">
        <v>4039</v>
      </c>
      <c r="C4023" s="12">
        <v>23935.0</v>
      </c>
      <c r="D4023" s="11" t="str">
        <f t="shared" si="1"/>
        <v> </v>
      </c>
      <c r="E4023" s="11" t="str">
        <f t="shared" si="2"/>
        <v> </v>
      </c>
    </row>
    <row r="4024" ht="15.75" customHeight="1">
      <c r="A4024" s="11">
        <v>15672.0</v>
      </c>
      <c r="B4024" s="11" t="s">
        <v>4040</v>
      </c>
      <c r="C4024" s="12">
        <v>24374.0</v>
      </c>
      <c r="D4024" s="11" t="str">
        <f t="shared" si="1"/>
        <v> </v>
      </c>
      <c r="E4024" s="11" t="str">
        <f t="shared" si="2"/>
        <v> </v>
      </c>
    </row>
    <row r="4025" ht="15.75" customHeight="1">
      <c r="A4025" s="11">
        <v>15673.0</v>
      </c>
      <c r="B4025" s="11" t="s">
        <v>4041</v>
      </c>
      <c r="C4025" s="12">
        <v>21105.0</v>
      </c>
      <c r="D4025" s="11" t="str">
        <f t="shared" si="1"/>
        <v> </v>
      </c>
      <c r="E4025" s="11" t="str">
        <f t="shared" si="2"/>
        <v> </v>
      </c>
    </row>
    <row r="4026" ht="15.75" customHeight="1">
      <c r="A4026" s="11">
        <v>15674.0</v>
      </c>
      <c r="B4026" s="11" t="s">
        <v>4042</v>
      </c>
      <c r="C4026" s="12">
        <v>28746.0</v>
      </c>
      <c r="D4026" s="11" t="str">
        <f t="shared" si="1"/>
        <v> </v>
      </c>
      <c r="E4026" s="11" t="str">
        <f t="shared" si="2"/>
        <v> </v>
      </c>
    </row>
    <row r="4027" ht="15.75" customHeight="1">
      <c r="A4027" s="11">
        <v>15675.0</v>
      </c>
      <c r="B4027" s="11" t="s">
        <v>4043</v>
      </c>
      <c r="C4027" s="12">
        <v>31679.0</v>
      </c>
      <c r="D4027" s="11" t="str">
        <f t="shared" si="1"/>
        <v> </v>
      </c>
      <c r="E4027" s="11" t="str">
        <f t="shared" si="2"/>
        <v> </v>
      </c>
    </row>
    <row r="4028" ht="15.75" customHeight="1">
      <c r="A4028" s="11">
        <v>15676.0</v>
      </c>
      <c r="B4028" s="11" t="s">
        <v>4044</v>
      </c>
      <c r="C4028" s="12">
        <v>23618.0</v>
      </c>
      <c r="D4028" s="11" t="str">
        <f t="shared" si="1"/>
        <v>Repeat</v>
      </c>
      <c r="E4028" s="11" t="str">
        <f t="shared" si="2"/>
        <v> </v>
      </c>
    </row>
    <row r="4029" ht="15.75" customHeight="1">
      <c r="A4029" s="11">
        <v>15677.0</v>
      </c>
      <c r="B4029" s="11" t="s">
        <v>4045</v>
      </c>
      <c r="C4029" s="12">
        <v>25001.0</v>
      </c>
      <c r="D4029" s="11" t="str">
        <f t="shared" si="1"/>
        <v> </v>
      </c>
      <c r="E4029" s="11" t="str">
        <f t="shared" si="2"/>
        <v> </v>
      </c>
    </row>
    <row r="4030" ht="15.75" customHeight="1">
      <c r="A4030" s="11">
        <v>15678.0</v>
      </c>
      <c r="B4030" s="11" t="s">
        <v>4046</v>
      </c>
      <c r="C4030" s="12">
        <v>30016.0</v>
      </c>
      <c r="D4030" s="11" t="str">
        <f t="shared" si="1"/>
        <v>Repeat</v>
      </c>
      <c r="E4030" s="11" t="str">
        <f t="shared" si="2"/>
        <v> </v>
      </c>
    </row>
    <row r="4031" ht="15.75" customHeight="1">
      <c r="A4031" s="11">
        <v>15679.0</v>
      </c>
      <c r="B4031" s="11" t="s">
        <v>4047</v>
      </c>
      <c r="C4031" s="12">
        <v>21027.0</v>
      </c>
      <c r="D4031" s="11" t="str">
        <f t="shared" si="1"/>
        <v> </v>
      </c>
      <c r="E4031" s="11" t="str">
        <f t="shared" si="2"/>
        <v> </v>
      </c>
    </row>
    <row r="4032" ht="15.75" customHeight="1">
      <c r="A4032" s="11">
        <v>15680.0</v>
      </c>
      <c r="B4032" s="11" t="s">
        <v>4048</v>
      </c>
      <c r="C4032" s="12">
        <v>26249.0</v>
      </c>
      <c r="D4032" s="11" t="str">
        <f t="shared" si="1"/>
        <v> </v>
      </c>
      <c r="E4032" s="11" t="str">
        <f t="shared" si="2"/>
        <v> </v>
      </c>
    </row>
    <row r="4033" ht="15.75" customHeight="1">
      <c r="A4033" s="11">
        <v>15681.0</v>
      </c>
      <c r="B4033" s="11" t="s">
        <v>810</v>
      </c>
      <c r="C4033" s="12">
        <v>26305.0</v>
      </c>
      <c r="D4033" s="11" t="str">
        <f t="shared" si="1"/>
        <v>Repeat</v>
      </c>
      <c r="E4033" s="11" t="str">
        <f t="shared" si="2"/>
        <v> </v>
      </c>
    </row>
    <row r="4034" ht="15.75" customHeight="1">
      <c r="A4034" s="11">
        <v>15683.0</v>
      </c>
      <c r="B4034" s="11" t="s">
        <v>4049</v>
      </c>
      <c r="C4034" s="12">
        <v>25687.0</v>
      </c>
      <c r="D4034" s="11" t="str">
        <f t="shared" si="1"/>
        <v>Repeat</v>
      </c>
      <c r="E4034" s="11" t="str">
        <f t="shared" si="2"/>
        <v>Repeat</v>
      </c>
    </row>
    <row r="4035" ht="15.75" customHeight="1">
      <c r="A4035" s="11">
        <v>15684.0</v>
      </c>
      <c r="B4035" s="11" t="s">
        <v>4050</v>
      </c>
      <c r="C4035" s="12">
        <v>29785.0</v>
      </c>
      <c r="D4035" s="11" t="str">
        <f t="shared" si="1"/>
        <v> </v>
      </c>
      <c r="E4035" s="11" t="str">
        <f t="shared" si="2"/>
        <v> </v>
      </c>
    </row>
    <row r="4036" ht="15.75" customHeight="1">
      <c r="A4036" s="11">
        <v>15685.0</v>
      </c>
      <c r="B4036" s="11" t="s">
        <v>4051</v>
      </c>
      <c r="C4036" s="12">
        <v>19387.0</v>
      </c>
      <c r="D4036" s="11" t="str">
        <f t="shared" si="1"/>
        <v> </v>
      </c>
      <c r="E4036" s="11" t="str">
        <f t="shared" si="2"/>
        <v> </v>
      </c>
    </row>
    <row r="4037" ht="15.75" customHeight="1">
      <c r="A4037" s="11">
        <v>15686.0</v>
      </c>
      <c r="B4037" s="11" t="s">
        <v>533</v>
      </c>
      <c r="C4037" s="12">
        <v>21861.0</v>
      </c>
      <c r="D4037" s="11" t="str">
        <f t="shared" si="1"/>
        <v>Repeat</v>
      </c>
      <c r="E4037" s="11" t="str">
        <f t="shared" si="2"/>
        <v> </v>
      </c>
    </row>
    <row r="4038" ht="15.75" customHeight="1">
      <c r="A4038" s="11">
        <v>15687.0</v>
      </c>
      <c r="B4038" s="11" t="s">
        <v>4052</v>
      </c>
      <c r="C4038" s="12">
        <v>21067.0</v>
      </c>
      <c r="D4038" s="11" t="str">
        <f t="shared" si="1"/>
        <v> </v>
      </c>
      <c r="E4038" s="11" t="str">
        <f t="shared" si="2"/>
        <v> </v>
      </c>
    </row>
    <row r="4039" ht="15.75" customHeight="1">
      <c r="A4039" s="11">
        <v>15688.0</v>
      </c>
      <c r="B4039" s="11" t="s">
        <v>4053</v>
      </c>
      <c r="C4039" s="12">
        <v>17927.0</v>
      </c>
      <c r="D4039" s="11" t="str">
        <f t="shared" si="1"/>
        <v> </v>
      </c>
      <c r="E4039" s="11" t="str">
        <f t="shared" si="2"/>
        <v> </v>
      </c>
    </row>
    <row r="4040" ht="15.75" customHeight="1">
      <c r="A4040" s="11">
        <v>15689.0</v>
      </c>
      <c r="B4040" s="11" t="s">
        <v>4054</v>
      </c>
      <c r="C4040" s="12">
        <v>25981.0</v>
      </c>
      <c r="D4040" s="11" t="str">
        <f t="shared" si="1"/>
        <v> </v>
      </c>
      <c r="E4040" s="11" t="str">
        <f t="shared" si="2"/>
        <v> </v>
      </c>
    </row>
    <row r="4041" ht="15.75" customHeight="1">
      <c r="A4041" s="11">
        <v>15690.0</v>
      </c>
      <c r="B4041" s="11" t="s">
        <v>4055</v>
      </c>
      <c r="C4041" s="12">
        <v>17162.0</v>
      </c>
      <c r="D4041" s="11" t="str">
        <f t="shared" si="1"/>
        <v> </v>
      </c>
      <c r="E4041" s="11" t="str">
        <f t="shared" si="2"/>
        <v> </v>
      </c>
    </row>
    <row r="4042" ht="15.75" customHeight="1">
      <c r="A4042" s="11">
        <v>15691.0</v>
      </c>
      <c r="B4042" s="11" t="s">
        <v>4056</v>
      </c>
      <c r="C4042" s="12">
        <v>17776.0</v>
      </c>
      <c r="D4042" s="11" t="str">
        <f t="shared" si="1"/>
        <v> </v>
      </c>
      <c r="E4042" s="11" t="str">
        <f t="shared" si="2"/>
        <v> </v>
      </c>
    </row>
    <row r="4043" ht="15.75" customHeight="1">
      <c r="A4043" s="11">
        <v>15692.0</v>
      </c>
      <c r="B4043" s="11" t="s">
        <v>4057</v>
      </c>
      <c r="C4043" s="12">
        <v>19760.0</v>
      </c>
      <c r="D4043" s="11" t="str">
        <f t="shared" si="1"/>
        <v> </v>
      </c>
      <c r="E4043" s="11" t="str">
        <f t="shared" si="2"/>
        <v> </v>
      </c>
    </row>
    <row r="4044" ht="15.75" customHeight="1">
      <c r="A4044" s="11">
        <v>15693.0</v>
      </c>
      <c r="B4044" s="11" t="s">
        <v>4058</v>
      </c>
      <c r="C4044" s="12">
        <v>26001.0</v>
      </c>
      <c r="D4044" s="11" t="str">
        <f t="shared" si="1"/>
        <v> </v>
      </c>
      <c r="E4044" s="11" t="str">
        <f t="shared" si="2"/>
        <v> </v>
      </c>
    </row>
    <row r="4045" ht="15.75" customHeight="1">
      <c r="A4045" s="11">
        <v>15694.0</v>
      </c>
      <c r="B4045" s="11" t="s">
        <v>4059</v>
      </c>
      <c r="C4045" s="12">
        <v>27016.0</v>
      </c>
      <c r="D4045" s="11" t="str">
        <f t="shared" si="1"/>
        <v> </v>
      </c>
      <c r="E4045" s="11" t="str">
        <f t="shared" si="2"/>
        <v> </v>
      </c>
    </row>
    <row r="4046" ht="15.75" customHeight="1">
      <c r="A4046" s="11">
        <v>15695.0</v>
      </c>
      <c r="B4046" s="11" t="s">
        <v>4060</v>
      </c>
      <c r="C4046" s="12">
        <v>28928.0</v>
      </c>
      <c r="D4046" s="11" t="str">
        <f t="shared" si="1"/>
        <v> </v>
      </c>
      <c r="E4046" s="11" t="str">
        <f t="shared" si="2"/>
        <v> </v>
      </c>
    </row>
    <row r="4047" ht="15.75" customHeight="1">
      <c r="A4047" s="11">
        <v>15696.0</v>
      </c>
      <c r="B4047" s="11" t="s">
        <v>4061</v>
      </c>
      <c r="C4047" s="12">
        <v>24867.0</v>
      </c>
      <c r="D4047" s="11" t="str">
        <f t="shared" si="1"/>
        <v> </v>
      </c>
      <c r="E4047" s="11" t="str">
        <f t="shared" si="2"/>
        <v> </v>
      </c>
    </row>
    <row r="4048" ht="15.75" customHeight="1">
      <c r="A4048" s="11">
        <v>15697.0</v>
      </c>
      <c r="B4048" s="11" t="s">
        <v>4062</v>
      </c>
      <c r="C4048" s="12">
        <v>28605.0</v>
      </c>
      <c r="D4048" s="11" t="str">
        <f t="shared" si="1"/>
        <v> </v>
      </c>
      <c r="E4048" s="11" t="str">
        <f t="shared" si="2"/>
        <v> </v>
      </c>
    </row>
    <row r="4049" ht="15.75" customHeight="1">
      <c r="A4049" s="11">
        <v>15698.0</v>
      </c>
      <c r="B4049" s="11" t="s">
        <v>4063</v>
      </c>
      <c r="C4049" s="12">
        <v>22582.0</v>
      </c>
      <c r="D4049" s="11" t="str">
        <f t="shared" si="1"/>
        <v> </v>
      </c>
      <c r="E4049" s="11" t="str">
        <f t="shared" si="2"/>
        <v> </v>
      </c>
    </row>
    <row r="4050" ht="15.75" customHeight="1">
      <c r="A4050" s="11">
        <v>15699.0</v>
      </c>
      <c r="B4050" s="11" t="s">
        <v>4064</v>
      </c>
      <c r="C4050" s="12">
        <v>19665.0</v>
      </c>
      <c r="D4050" s="11" t="str">
        <f t="shared" si="1"/>
        <v> </v>
      </c>
      <c r="E4050" s="11" t="str">
        <f t="shared" si="2"/>
        <v> </v>
      </c>
    </row>
    <row r="4051" ht="15.75" customHeight="1">
      <c r="A4051" s="11">
        <v>15700.0</v>
      </c>
      <c r="B4051" s="11" t="s">
        <v>4065</v>
      </c>
      <c r="C4051" s="12">
        <v>19914.0</v>
      </c>
      <c r="D4051" s="11" t="str">
        <f t="shared" si="1"/>
        <v> </v>
      </c>
      <c r="E4051" s="11" t="str">
        <f t="shared" si="2"/>
        <v> </v>
      </c>
    </row>
    <row r="4052" ht="15.75" customHeight="1">
      <c r="A4052" s="11">
        <v>15701.0</v>
      </c>
      <c r="B4052" s="11" t="s">
        <v>4066</v>
      </c>
      <c r="C4052" s="12">
        <v>23802.0</v>
      </c>
      <c r="D4052" s="11" t="str">
        <f t="shared" si="1"/>
        <v> </v>
      </c>
      <c r="E4052" s="11" t="str">
        <f t="shared" si="2"/>
        <v> </v>
      </c>
    </row>
    <row r="4053" ht="15.75" customHeight="1">
      <c r="A4053" s="11">
        <v>15702.0</v>
      </c>
      <c r="B4053" s="11" t="s">
        <v>4067</v>
      </c>
      <c r="C4053" s="12">
        <v>25899.0</v>
      </c>
      <c r="D4053" s="11" t="str">
        <f t="shared" si="1"/>
        <v> </v>
      </c>
      <c r="E4053" s="11" t="str">
        <f t="shared" si="2"/>
        <v> </v>
      </c>
    </row>
    <row r="4054" ht="15.75" customHeight="1">
      <c r="A4054" s="11">
        <v>15703.0</v>
      </c>
      <c r="B4054" s="11" t="s">
        <v>4068</v>
      </c>
      <c r="C4054" s="12">
        <v>22279.0</v>
      </c>
      <c r="D4054" s="11" t="str">
        <f t="shared" si="1"/>
        <v> </v>
      </c>
      <c r="E4054" s="11" t="str">
        <f t="shared" si="2"/>
        <v> </v>
      </c>
    </row>
    <row r="4055" ht="15.75" customHeight="1">
      <c r="A4055" s="11">
        <v>15704.0</v>
      </c>
      <c r="B4055" s="11" t="s">
        <v>4069</v>
      </c>
      <c r="C4055" s="12">
        <v>23553.0</v>
      </c>
      <c r="D4055" s="11" t="str">
        <f t="shared" si="1"/>
        <v> </v>
      </c>
      <c r="E4055" s="11" t="str">
        <f t="shared" si="2"/>
        <v> </v>
      </c>
    </row>
    <row r="4056" ht="15.75" customHeight="1">
      <c r="A4056" s="11">
        <v>15705.0</v>
      </c>
      <c r="B4056" s="11" t="s">
        <v>4070</v>
      </c>
      <c r="C4056" s="12">
        <v>16316.0</v>
      </c>
      <c r="D4056" s="11" t="str">
        <f t="shared" si="1"/>
        <v> </v>
      </c>
      <c r="E4056" s="11" t="str">
        <f t="shared" si="2"/>
        <v> </v>
      </c>
    </row>
    <row r="4057" ht="15.75" customHeight="1">
      <c r="A4057" s="11">
        <v>15706.0</v>
      </c>
      <c r="B4057" s="11" t="s">
        <v>4071</v>
      </c>
      <c r="C4057" s="12">
        <v>28206.0</v>
      </c>
      <c r="D4057" s="11" t="str">
        <f t="shared" si="1"/>
        <v>Repeat</v>
      </c>
      <c r="E4057" s="11" t="str">
        <f t="shared" si="2"/>
        <v> </v>
      </c>
    </row>
    <row r="4058" ht="15.75" customHeight="1">
      <c r="A4058" s="11">
        <v>15707.0</v>
      </c>
      <c r="B4058" s="11" t="s">
        <v>4072</v>
      </c>
      <c r="C4058" s="12">
        <v>30887.0</v>
      </c>
      <c r="D4058" s="11" t="str">
        <f t="shared" si="1"/>
        <v> </v>
      </c>
      <c r="E4058" s="11" t="str">
        <f t="shared" si="2"/>
        <v> </v>
      </c>
    </row>
    <row r="4059" ht="15.75" customHeight="1">
      <c r="A4059" s="11">
        <v>15708.0</v>
      </c>
      <c r="B4059" s="11" t="s">
        <v>4073</v>
      </c>
      <c r="C4059" s="12">
        <v>24232.0</v>
      </c>
      <c r="D4059" s="11" t="str">
        <f t="shared" si="1"/>
        <v> </v>
      </c>
      <c r="E4059" s="11" t="str">
        <f t="shared" si="2"/>
        <v> </v>
      </c>
    </row>
    <row r="4060" ht="15.75" customHeight="1">
      <c r="A4060" s="11">
        <v>12148.0</v>
      </c>
      <c r="B4060" s="11" t="s">
        <v>4074</v>
      </c>
      <c r="C4060" s="12">
        <v>19436.0</v>
      </c>
      <c r="D4060" s="11" t="str">
        <f t="shared" si="1"/>
        <v> </v>
      </c>
      <c r="E4060" s="11" t="str">
        <f t="shared" si="2"/>
        <v> </v>
      </c>
    </row>
    <row r="4061" ht="15.75" customHeight="1">
      <c r="A4061" s="11">
        <v>15710.0</v>
      </c>
      <c r="B4061" s="11" t="s">
        <v>4075</v>
      </c>
      <c r="C4061" s="12">
        <v>26114.0</v>
      </c>
      <c r="D4061" s="11" t="str">
        <f t="shared" si="1"/>
        <v> </v>
      </c>
      <c r="E4061" s="11" t="str">
        <f t="shared" si="2"/>
        <v> </v>
      </c>
    </row>
    <row r="4062" ht="15.75" customHeight="1">
      <c r="A4062" s="11">
        <v>15711.0</v>
      </c>
      <c r="B4062" s="11" t="s">
        <v>4076</v>
      </c>
      <c r="C4062" s="12">
        <v>26465.0</v>
      </c>
      <c r="D4062" s="11" t="str">
        <f t="shared" si="1"/>
        <v> </v>
      </c>
      <c r="E4062" s="11" t="str">
        <f t="shared" si="2"/>
        <v> </v>
      </c>
    </row>
    <row r="4063" ht="15.75" customHeight="1">
      <c r="A4063" s="11">
        <v>15712.0</v>
      </c>
      <c r="B4063" s="11" t="s">
        <v>4077</v>
      </c>
      <c r="C4063" s="12">
        <v>12163.0</v>
      </c>
      <c r="D4063" s="11" t="str">
        <f t="shared" si="1"/>
        <v> </v>
      </c>
      <c r="E4063" s="11" t="str">
        <f t="shared" si="2"/>
        <v> </v>
      </c>
    </row>
    <row r="4064" ht="15.75" customHeight="1">
      <c r="A4064" s="11">
        <v>15713.0</v>
      </c>
      <c r="B4064" s="11" t="s">
        <v>4078</v>
      </c>
      <c r="C4064" s="12">
        <v>18132.0</v>
      </c>
      <c r="D4064" s="11" t="str">
        <f t="shared" si="1"/>
        <v> </v>
      </c>
      <c r="E4064" s="11" t="str">
        <f t="shared" si="2"/>
        <v> </v>
      </c>
    </row>
    <row r="4065" ht="15.75" customHeight="1">
      <c r="A4065" s="11">
        <v>15714.0</v>
      </c>
      <c r="B4065" s="11" t="s">
        <v>4079</v>
      </c>
      <c r="C4065" s="12">
        <v>26136.0</v>
      </c>
      <c r="D4065" s="11" t="str">
        <f t="shared" si="1"/>
        <v> </v>
      </c>
      <c r="E4065" s="11" t="str">
        <f t="shared" si="2"/>
        <v> </v>
      </c>
    </row>
    <row r="4066" ht="15.75" customHeight="1">
      <c r="A4066" s="11">
        <v>15715.0</v>
      </c>
      <c r="B4066" s="11" t="s">
        <v>4080</v>
      </c>
      <c r="C4066" s="12">
        <v>23204.0</v>
      </c>
      <c r="D4066" s="11" t="str">
        <f t="shared" si="1"/>
        <v> </v>
      </c>
      <c r="E4066" s="11" t="str">
        <f t="shared" si="2"/>
        <v> </v>
      </c>
    </row>
    <row r="4067" ht="15.75" customHeight="1">
      <c r="A4067" s="11">
        <v>15716.0</v>
      </c>
      <c r="B4067" s="11" t="s">
        <v>4081</v>
      </c>
      <c r="C4067" s="12">
        <v>22638.0</v>
      </c>
      <c r="D4067" s="11" t="str">
        <f t="shared" si="1"/>
        <v> </v>
      </c>
      <c r="E4067" s="11" t="str">
        <f t="shared" si="2"/>
        <v> </v>
      </c>
    </row>
    <row r="4068" ht="15.75" customHeight="1">
      <c r="A4068" s="11">
        <v>15717.0</v>
      </c>
      <c r="B4068" s="11" t="s">
        <v>4082</v>
      </c>
      <c r="C4068" s="12">
        <v>15723.0</v>
      </c>
      <c r="D4068" s="11" t="str">
        <f t="shared" si="1"/>
        <v> </v>
      </c>
      <c r="E4068" s="11" t="str">
        <f t="shared" si="2"/>
        <v> </v>
      </c>
    </row>
    <row r="4069" ht="15.75" customHeight="1">
      <c r="A4069" s="11">
        <v>15718.0</v>
      </c>
      <c r="B4069" s="11" t="s">
        <v>4083</v>
      </c>
      <c r="C4069" s="12">
        <v>14315.0</v>
      </c>
      <c r="D4069" s="11" t="str">
        <f t="shared" si="1"/>
        <v> </v>
      </c>
      <c r="E4069" s="11" t="str">
        <f t="shared" si="2"/>
        <v> </v>
      </c>
    </row>
    <row r="4070" ht="15.75" customHeight="1">
      <c r="A4070" s="11">
        <v>15719.0</v>
      </c>
      <c r="B4070" s="11" t="s">
        <v>4084</v>
      </c>
      <c r="C4070" s="12">
        <v>18669.0</v>
      </c>
      <c r="D4070" s="11" t="str">
        <f t="shared" si="1"/>
        <v> </v>
      </c>
      <c r="E4070" s="11" t="str">
        <f t="shared" si="2"/>
        <v> </v>
      </c>
    </row>
    <row r="4071" ht="15.75" customHeight="1">
      <c r="A4071" s="11">
        <v>15720.0</v>
      </c>
      <c r="B4071" s="11" t="s">
        <v>4085</v>
      </c>
      <c r="C4071" s="12">
        <v>30193.0</v>
      </c>
      <c r="D4071" s="11" t="str">
        <f t="shared" si="1"/>
        <v> </v>
      </c>
      <c r="E4071" s="11" t="str">
        <f t="shared" si="2"/>
        <v> </v>
      </c>
    </row>
    <row r="4072" ht="15.75" customHeight="1">
      <c r="A4072" s="11">
        <v>15722.0</v>
      </c>
      <c r="B4072" s="11" t="s">
        <v>4086</v>
      </c>
      <c r="C4072" s="12">
        <v>21448.0</v>
      </c>
      <c r="D4072" s="11" t="str">
        <f t="shared" si="1"/>
        <v> </v>
      </c>
      <c r="E4072" s="11" t="str">
        <f t="shared" si="2"/>
        <v> </v>
      </c>
    </row>
    <row r="4073" ht="15.75" customHeight="1">
      <c r="A4073" s="11">
        <v>15723.0</v>
      </c>
      <c r="B4073" s="11" t="s">
        <v>4087</v>
      </c>
      <c r="C4073" s="12">
        <v>23303.0</v>
      </c>
      <c r="D4073" s="11" t="str">
        <f t="shared" si="1"/>
        <v> </v>
      </c>
      <c r="E4073" s="11" t="str">
        <f t="shared" si="2"/>
        <v> </v>
      </c>
    </row>
    <row r="4074" ht="15.75" customHeight="1">
      <c r="A4074" s="11">
        <v>15724.0</v>
      </c>
      <c r="B4074" s="11" t="s">
        <v>4088</v>
      </c>
      <c r="C4074" s="12">
        <v>23824.0</v>
      </c>
      <c r="D4074" s="11" t="str">
        <f t="shared" si="1"/>
        <v> </v>
      </c>
      <c r="E4074" s="11" t="str">
        <f t="shared" si="2"/>
        <v> </v>
      </c>
    </row>
    <row r="4075" ht="15.75" customHeight="1">
      <c r="A4075" s="11">
        <v>15725.0</v>
      </c>
      <c r="B4075" s="11" t="s">
        <v>4089</v>
      </c>
      <c r="C4075" s="12">
        <v>16394.0</v>
      </c>
      <c r="D4075" s="11" t="str">
        <f t="shared" si="1"/>
        <v> </v>
      </c>
      <c r="E4075" s="11" t="str">
        <f t="shared" si="2"/>
        <v> </v>
      </c>
    </row>
    <row r="4076" ht="15.75" customHeight="1">
      <c r="A4076" s="11">
        <v>15726.0</v>
      </c>
      <c r="B4076" s="11" t="s">
        <v>4090</v>
      </c>
      <c r="C4076" s="12">
        <v>21495.0</v>
      </c>
      <c r="D4076" s="11" t="str">
        <f t="shared" si="1"/>
        <v> </v>
      </c>
      <c r="E4076" s="11" t="str">
        <f t="shared" si="2"/>
        <v> </v>
      </c>
    </row>
    <row r="4077" ht="15.75" customHeight="1">
      <c r="A4077" s="11">
        <v>15727.0</v>
      </c>
      <c r="B4077" s="11" t="s">
        <v>4091</v>
      </c>
      <c r="C4077" s="12">
        <v>28137.0</v>
      </c>
      <c r="D4077" s="11" t="str">
        <f t="shared" si="1"/>
        <v> </v>
      </c>
      <c r="E4077" s="11" t="str">
        <f t="shared" si="2"/>
        <v> </v>
      </c>
    </row>
    <row r="4078" ht="15.75" customHeight="1">
      <c r="A4078" s="11">
        <v>15728.0</v>
      </c>
      <c r="B4078" s="11" t="s">
        <v>4092</v>
      </c>
      <c r="C4078" s="12">
        <v>16898.0</v>
      </c>
      <c r="D4078" s="11" t="str">
        <f t="shared" si="1"/>
        <v> </v>
      </c>
      <c r="E4078" s="11" t="str">
        <f t="shared" si="2"/>
        <v> </v>
      </c>
    </row>
    <row r="4079" ht="15.75" customHeight="1">
      <c r="A4079" s="11">
        <v>15729.0</v>
      </c>
      <c r="B4079" s="11" t="s">
        <v>4093</v>
      </c>
      <c r="C4079" s="12">
        <v>27327.0</v>
      </c>
      <c r="D4079" s="11" t="str">
        <f t="shared" si="1"/>
        <v> </v>
      </c>
      <c r="E4079" s="11" t="str">
        <f t="shared" si="2"/>
        <v> </v>
      </c>
    </row>
    <row r="4080" ht="15.75" customHeight="1">
      <c r="A4080" s="11">
        <v>15730.0</v>
      </c>
      <c r="B4080" s="11" t="s">
        <v>4094</v>
      </c>
      <c r="C4080" s="12">
        <v>18306.0</v>
      </c>
      <c r="D4080" s="11" t="str">
        <f t="shared" si="1"/>
        <v> </v>
      </c>
      <c r="E4080" s="11" t="str">
        <f t="shared" si="2"/>
        <v> </v>
      </c>
    </row>
    <row r="4081" ht="15.75" customHeight="1">
      <c r="A4081" s="11">
        <v>15731.0</v>
      </c>
      <c r="B4081" s="11" t="s">
        <v>4095</v>
      </c>
      <c r="C4081" s="12">
        <v>17258.0</v>
      </c>
      <c r="D4081" s="11" t="str">
        <f t="shared" si="1"/>
        <v> </v>
      </c>
      <c r="E4081" s="11" t="str">
        <f t="shared" si="2"/>
        <v> </v>
      </c>
    </row>
    <row r="4082" ht="15.75" customHeight="1">
      <c r="A4082" s="11">
        <v>15732.0</v>
      </c>
      <c r="B4082" s="11" t="s">
        <v>4096</v>
      </c>
      <c r="C4082" s="12">
        <v>22537.0</v>
      </c>
      <c r="D4082" s="11" t="str">
        <f t="shared" si="1"/>
        <v> </v>
      </c>
      <c r="E4082" s="11" t="str">
        <f t="shared" si="2"/>
        <v> </v>
      </c>
    </row>
    <row r="4083" ht="15.75" customHeight="1">
      <c r="A4083" s="11">
        <v>15733.0</v>
      </c>
      <c r="B4083" s="11" t="s">
        <v>4097</v>
      </c>
      <c r="C4083" s="12">
        <v>18485.0</v>
      </c>
      <c r="D4083" s="11" t="str">
        <f t="shared" si="1"/>
        <v> </v>
      </c>
      <c r="E4083" s="11" t="str">
        <f t="shared" si="2"/>
        <v> </v>
      </c>
    </row>
    <row r="4084" ht="15.75" customHeight="1">
      <c r="A4084" s="11">
        <v>15734.0</v>
      </c>
      <c r="B4084" s="11" t="s">
        <v>4098</v>
      </c>
      <c r="C4084" s="12">
        <v>23624.0</v>
      </c>
      <c r="D4084" s="11" t="str">
        <f t="shared" si="1"/>
        <v> </v>
      </c>
      <c r="E4084" s="11" t="str">
        <f t="shared" si="2"/>
        <v> </v>
      </c>
    </row>
    <row r="4085" ht="15.75" customHeight="1">
      <c r="A4085" s="11">
        <v>15735.0</v>
      </c>
      <c r="B4085" s="11" t="s">
        <v>4099</v>
      </c>
      <c r="C4085" s="12">
        <v>21712.0</v>
      </c>
      <c r="D4085" s="11" t="str">
        <f t="shared" si="1"/>
        <v> </v>
      </c>
      <c r="E4085" s="11" t="str">
        <f t="shared" si="2"/>
        <v> </v>
      </c>
    </row>
    <row r="4086" ht="15.75" customHeight="1">
      <c r="A4086" s="11">
        <v>15736.0</v>
      </c>
      <c r="B4086" s="11" t="s">
        <v>4100</v>
      </c>
      <c r="C4086" s="12">
        <v>24806.0</v>
      </c>
      <c r="D4086" s="11" t="str">
        <f t="shared" si="1"/>
        <v> </v>
      </c>
      <c r="E4086" s="11" t="str">
        <f t="shared" si="2"/>
        <v> </v>
      </c>
    </row>
    <row r="4087" ht="15.75" customHeight="1">
      <c r="A4087" s="11">
        <v>15737.0</v>
      </c>
      <c r="B4087" s="11" t="s">
        <v>4101</v>
      </c>
      <c r="C4087" s="12">
        <v>27398.0</v>
      </c>
      <c r="D4087" s="11" t="str">
        <f t="shared" si="1"/>
        <v>Repeat</v>
      </c>
      <c r="E4087" s="11" t="str">
        <f t="shared" si="2"/>
        <v> </v>
      </c>
    </row>
    <row r="4088" ht="15.75" customHeight="1">
      <c r="A4088" s="11">
        <v>15738.0</v>
      </c>
      <c r="B4088" s="11" t="s">
        <v>4102</v>
      </c>
      <c r="C4088" s="12">
        <v>23184.0</v>
      </c>
      <c r="D4088" s="11" t="str">
        <f t="shared" si="1"/>
        <v> </v>
      </c>
      <c r="E4088" s="11" t="str">
        <f t="shared" si="2"/>
        <v> </v>
      </c>
    </row>
    <row r="4089" ht="15.75" customHeight="1">
      <c r="A4089" s="11">
        <v>15739.0</v>
      </c>
      <c r="B4089" s="11" t="s">
        <v>4103</v>
      </c>
      <c r="C4089" s="12">
        <v>22716.0</v>
      </c>
      <c r="D4089" s="11" t="str">
        <f t="shared" si="1"/>
        <v> </v>
      </c>
      <c r="E4089" s="11" t="str">
        <f t="shared" si="2"/>
        <v> </v>
      </c>
    </row>
    <row r="4090" ht="15.75" customHeight="1">
      <c r="A4090" s="11">
        <v>15740.0</v>
      </c>
      <c r="B4090" s="11" t="s">
        <v>4104</v>
      </c>
      <c r="C4090" s="12">
        <v>17084.0</v>
      </c>
      <c r="D4090" s="11" t="str">
        <f t="shared" si="1"/>
        <v> </v>
      </c>
      <c r="E4090" s="11" t="str">
        <f t="shared" si="2"/>
        <v> </v>
      </c>
    </row>
    <row r="4091" ht="15.75" customHeight="1">
      <c r="A4091" s="11">
        <v>15741.0</v>
      </c>
      <c r="B4091" s="11" t="s">
        <v>4105</v>
      </c>
      <c r="C4091" s="12">
        <v>17556.0</v>
      </c>
      <c r="D4091" s="11" t="str">
        <f t="shared" si="1"/>
        <v> </v>
      </c>
      <c r="E4091" s="11" t="str">
        <f t="shared" si="2"/>
        <v> </v>
      </c>
    </row>
    <row r="4092" ht="15.75" customHeight="1">
      <c r="A4092" s="11">
        <v>15742.0</v>
      </c>
      <c r="B4092" s="11" t="s">
        <v>4106</v>
      </c>
      <c r="C4092" s="12">
        <v>17073.0</v>
      </c>
      <c r="D4092" s="11" t="str">
        <f t="shared" si="1"/>
        <v> </v>
      </c>
      <c r="E4092" s="11" t="str">
        <f t="shared" si="2"/>
        <v> </v>
      </c>
    </row>
    <row r="4093" ht="15.75" customHeight="1">
      <c r="A4093" s="11">
        <v>15743.0</v>
      </c>
      <c r="B4093" s="11" t="s">
        <v>4107</v>
      </c>
      <c r="C4093" s="12">
        <v>21968.0</v>
      </c>
      <c r="D4093" s="11" t="str">
        <f t="shared" si="1"/>
        <v> </v>
      </c>
      <c r="E4093" s="11" t="str">
        <f t="shared" si="2"/>
        <v> </v>
      </c>
    </row>
    <row r="4094" ht="15.75" customHeight="1">
      <c r="A4094" s="11">
        <v>15744.0</v>
      </c>
      <c r="B4094" s="11" t="s">
        <v>4108</v>
      </c>
      <c r="C4094" s="12">
        <v>22964.0</v>
      </c>
      <c r="D4094" s="11" t="str">
        <f t="shared" si="1"/>
        <v> </v>
      </c>
      <c r="E4094" s="11" t="str">
        <f t="shared" si="2"/>
        <v> </v>
      </c>
    </row>
    <row r="4095" ht="15.75" customHeight="1">
      <c r="A4095" s="11">
        <v>15745.0</v>
      </c>
      <c r="B4095" s="11" t="s">
        <v>4109</v>
      </c>
      <c r="C4095" s="12">
        <v>21738.0</v>
      </c>
      <c r="D4095" s="11" t="str">
        <f t="shared" si="1"/>
        <v> </v>
      </c>
      <c r="E4095" s="11" t="str">
        <f t="shared" si="2"/>
        <v> </v>
      </c>
    </row>
    <row r="4096" ht="15.75" customHeight="1">
      <c r="A4096" s="11">
        <v>15746.0</v>
      </c>
      <c r="B4096" s="11" t="s">
        <v>4110</v>
      </c>
      <c r="C4096" s="12">
        <v>19289.0</v>
      </c>
      <c r="D4096" s="11" t="str">
        <f t="shared" si="1"/>
        <v>Repeat</v>
      </c>
      <c r="E4096" s="11" t="str">
        <f t="shared" si="2"/>
        <v> </v>
      </c>
    </row>
    <row r="4097" ht="15.75" customHeight="1">
      <c r="A4097" s="11">
        <v>15747.0</v>
      </c>
      <c r="B4097" s="11" t="s">
        <v>4111</v>
      </c>
      <c r="C4097" s="12">
        <v>20053.0</v>
      </c>
      <c r="D4097" s="11" t="str">
        <f t="shared" si="1"/>
        <v> </v>
      </c>
      <c r="E4097" s="11" t="str">
        <f t="shared" si="2"/>
        <v> </v>
      </c>
    </row>
    <row r="4098" ht="15.75" customHeight="1">
      <c r="A4098" s="11">
        <v>15748.0</v>
      </c>
      <c r="B4098" s="11" t="s">
        <v>4112</v>
      </c>
      <c r="C4098" s="12">
        <v>22492.0</v>
      </c>
      <c r="D4098" s="11" t="str">
        <f t="shared" si="1"/>
        <v> </v>
      </c>
      <c r="E4098" s="11" t="str">
        <f t="shared" si="2"/>
        <v> </v>
      </c>
    </row>
    <row r="4099" ht="15.75" customHeight="1">
      <c r="A4099" s="11">
        <v>15749.0</v>
      </c>
      <c r="B4099" s="11" t="s">
        <v>4113</v>
      </c>
      <c r="C4099" s="12">
        <v>30064.0</v>
      </c>
      <c r="D4099" s="11" t="str">
        <f t="shared" si="1"/>
        <v> </v>
      </c>
      <c r="E4099" s="11" t="str">
        <f t="shared" si="2"/>
        <v> </v>
      </c>
    </row>
    <row r="4100" ht="15.75" customHeight="1">
      <c r="A4100" s="11">
        <v>15750.0</v>
      </c>
      <c r="B4100" s="11" t="s">
        <v>4114</v>
      </c>
      <c r="C4100" s="12">
        <v>19538.0</v>
      </c>
      <c r="D4100" s="11" t="str">
        <f t="shared" si="1"/>
        <v> </v>
      </c>
      <c r="E4100" s="11" t="str">
        <f t="shared" si="2"/>
        <v> </v>
      </c>
    </row>
    <row r="4101" ht="15.75" customHeight="1">
      <c r="A4101" s="11">
        <v>15751.0</v>
      </c>
      <c r="B4101" s="11" t="s">
        <v>4115</v>
      </c>
      <c r="C4101" s="12">
        <v>29562.0</v>
      </c>
      <c r="D4101" s="11" t="str">
        <f t="shared" si="1"/>
        <v> </v>
      </c>
      <c r="E4101" s="11" t="str">
        <f t="shared" si="2"/>
        <v> </v>
      </c>
    </row>
    <row r="4102" ht="15.75" customHeight="1">
      <c r="A4102" s="11">
        <v>15753.0</v>
      </c>
      <c r="B4102" s="11" t="s">
        <v>4116</v>
      </c>
      <c r="C4102" s="12">
        <v>17733.0</v>
      </c>
      <c r="D4102" s="11" t="str">
        <f t="shared" si="1"/>
        <v> </v>
      </c>
      <c r="E4102" s="11" t="str">
        <f t="shared" si="2"/>
        <v> </v>
      </c>
    </row>
    <row r="4103" ht="15.75" customHeight="1">
      <c r="A4103" s="11">
        <v>15755.0</v>
      </c>
      <c r="B4103" s="11" t="s">
        <v>4117</v>
      </c>
      <c r="C4103" s="12">
        <v>18681.0</v>
      </c>
      <c r="D4103" s="11" t="str">
        <f t="shared" si="1"/>
        <v> </v>
      </c>
      <c r="E4103" s="11" t="str">
        <f t="shared" si="2"/>
        <v> </v>
      </c>
    </row>
    <row r="4104" ht="15.75" customHeight="1">
      <c r="A4104" s="11">
        <v>15756.0</v>
      </c>
      <c r="B4104" s="11" t="s">
        <v>4118</v>
      </c>
      <c r="C4104" s="12">
        <v>17203.0</v>
      </c>
      <c r="D4104" s="11" t="str">
        <f t="shared" si="1"/>
        <v>Repeat</v>
      </c>
      <c r="E4104" s="11" t="str">
        <f t="shared" si="2"/>
        <v> </v>
      </c>
    </row>
    <row r="4105" ht="15.75" customHeight="1">
      <c r="A4105" s="11">
        <v>15757.0</v>
      </c>
      <c r="B4105" s="11" t="s">
        <v>4119</v>
      </c>
      <c r="C4105" s="12">
        <v>26378.0</v>
      </c>
      <c r="D4105" s="11" t="str">
        <f t="shared" si="1"/>
        <v> </v>
      </c>
      <c r="E4105" s="11" t="str">
        <f t="shared" si="2"/>
        <v> </v>
      </c>
    </row>
    <row r="4106" ht="15.75" customHeight="1">
      <c r="A4106" s="11">
        <v>15758.0</v>
      </c>
      <c r="B4106" s="11" t="s">
        <v>4120</v>
      </c>
      <c r="C4106" s="12">
        <v>22700.0</v>
      </c>
      <c r="D4106" s="11" t="str">
        <f t="shared" si="1"/>
        <v> </v>
      </c>
      <c r="E4106" s="11" t="str">
        <f t="shared" si="2"/>
        <v> </v>
      </c>
    </row>
    <row r="4107" ht="15.75" customHeight="1">
      <c r="A4107" s="11">
        <v>15760.0</v>
      </c>
      <c r="B4107" s="11" t="s">
        <v>4121</v>
      </c>
      <c r="C4107" s="12">
        <v>23524.0</v>
      </c>
      <c r="D4107" s="11" t="str">
        <f t="shared" si="1"/>
        <v> </v>
      </c>
      <c r="E4107" s="11" t="str">
        <f t="shared" si="2"/>
        <v> </v>
      </c>
    </row>
    <row r="4108" ht="15.75" customHeight="1">
      <c r="A4108" s="11">
        <v>15761.0</v>
      </c>
      <c r="B4108" s="11" t="s">
        <v>4122</v>
      </c>
      <c r="C4108" s="12">
        <v>19046.0</v>
      </c>
      <c r="D4108" s="11" t="str">
        <f t="shared" si="1"/>
        <v> </v>
      </c>
      <c r="E4108" s="11" t="str">
        <f t="shared" si="2"/>
        <v> </v>
      </c>
    </row>
    <row r="4109" ht="15.75" customHeight="1">
      <c r="A4109" s="11">
        <v>15762.0</v>
      </c>
      <c r="B4109" s="11" t="s">
        <v>4123</v>
      </c>
      <c r="C4109" s="12">
        <v>28325.0</v>
      </c>
      <c r="D4109" s="11" t="str">
        <f t="shared" si="1"/>
        <v> </v>
      </c>
      <c r="E4109" s="11" t="str">
        <f t="shared" si="2"/>
        <v> </v>
      </c>
    </row>
    <row r="4110" ht="15.75" customHeight="1">
      <c r="A4110" s="11">
        <v>15763.0</v>
      </c>
      <c r="B4110" s="11" t="s">
        <v>4124</v>
      </c>
      <c r="C4110" s="12">
        <v>23818.0</v>
      </c>
      <c r="D4110" s="11" t="str">
        <f t="shared" si="1"/>
        <v> </v>
      </c>
      <c r="E4110" s="11" t="str">
        <f t="shared" si="2"/>
        <v> </v>
      </c>
    </row>
    <row r="4111" ht="15.75" customHeight="1">
      <c r="A4111" s="11">
        <v>15764.0</v>
      </c>
      <c r="B4111" s="11" t="s">
        <v>4125</v>
      </c>
      <c r="C4111" s="12">
        <v>24741.0</v>
      </c>
      <c r="D4111" s="11" t="str">
        <f t="shared" si="1"/>
        <v> </v>
      </c>
      <c r="E4111" s="11" t="str">
        <f t="shared" si="2"/>
        <v> </v>
      </c>
    </row>
    <row r="4112" ht="15.75" customHeight="1">
      <c r="A4112" s="11">
        <v>15765.0</v>
      </c>
      <c r="B4112" s="11" t="s">
        <v>4126</v>
      </c>
      <c r="C4112" s="12">
        <v>23265.0</v>
      </c>
      <c r="D4112" s="11" t="str">
        <f t="shared" si="1"/>
        <v> </v>
      </c>
      <c r="E4112" s="11" t="str">
        <f t="shared" si="2"/>
        <v> </v>
      </c>
    </row>
    <row r="4113" ht="15.75" customHeight="1">
      <c r="A4113" s="11">
        <v>15766.0</v>
      </c>
      <c r="B4113" s="11" t="s">
        <v>4127</v>
      </c>
      <c r="C4113" s="12">
        <v>23906.0</v>
      </c>
      <c r="D4113" s="11" t="str">
        <f t="shared" si="1"/>
        <v> </v>
      </c>
      <c r="E4113" s="11" t="str">
        <f t="shared" si="2"/>
        <v> </v>
      </c>
    </row>
    <row r="4114" ht="15.75" customHeight="1">
      <c r="A4114" s="11">
        <v>15767.0</v>
      </c>
      <c r="B4114" s="11" t="s">
        <v>4128</v>
      </c>
      <c r="C4114" s="12">
        <v>21418.0</v>
      </c>
      <c r="D4114" s="11" t="str">
        <f t="shared" si="1"/>
        <v> </v>
      </c>
      <c r="E4114" s="11" t="str">
        <f t="shared" si="2"/>
        <v> </v>
      </c>
    </row>
    <row r="4115" ht="15.75" customHeight="1">
      <c r="A4115" s="11">
        <v>15768.0</v>
      </c>
      <c r="B4115" s="11" t="s">
        <v>4129</v>
      </c>
      <c r="C4115" s="12">
        <v>24108.0</v>
      </c>
      <c r="D4115" s="11" t="str">
        <f t="shared" si="1"/>
        <v> </v>
      </c>
      <c r="E4115" s="11" t="str">
        <f t="shared" si="2"/>
        <v> </v>
      </c>
    </row>
    <row r="4116" ht="15.75" customHeight="1">
      <c r="A4116" s="11">
        <v>15769.0</v>
      </c>
      <c r="B4116" s="11" t="s">
        <v>4130</v>
      </c>
      <c r="C4116" s="12">
        <v>19725.0</v>
      </c>
      <c r="D4116" s="11" t="str">
        <f t="shared" si="1"/>
        <v> </v>
      </c>
      <c r="E4116" s="11" t="str">
        <f t="shared" si="2"/>
        <v> </v>
      </c>
    </row>
    <row r="4117" ht="15.75" customHeight="1">
      <c r="A4117" s="11">
        <v>15770.0</v>
      </c>
      <c r="B4117" s="11" t="s">
        <v>4131</v>
      </c>
      <c r="C4117" s="12">
        <v>21050.0</v>
      </c>
      <c r="D4117" s="11" t="str">
        <f t="shared" si="1"/>
        <v> </v>
      </c>
      <c r="E4117" s="11" t="str">
        <f t="shared" si="2"/>
        <v> </v>
      </c>
    </row>
    <row r="4118" ht="15.75" customHeight="1">
      <c r="A4118" s="11">
        <v>15771.0</v>
      </c>
      <c r="B4118" s="11" t="s">
        <v>4132</v>
      </c>
      <c r="C4118" s="12">
        <v>19858.0</v>
      </c>
      <c r="D4118" s="11" t="str">
        <f t="shared" si="1"/>
        <v> </v>
      </c>
      <c r="E4118" s="11" t="str">
        <f t="shared" si="2"/>
        <v> </v>
      </c>
    </row>
    <row r="4119" ht="15.75" customHeight="1">
      <c r="A4119" s="11">
        <v>15772.0</v>
      </c>
      <c r="B4119" s="11" t="s">
        <v>4133</v>
      </c>
      <c r="C4119" s="12">
        <v>24343.0</v>
      </c>
      <c r="D4119" s="11" t="str">
        <f t="shared" si="1"/>
        <v> </v>
      </c>
      <c r="E4119" s="11" t="str">
        <f t="shared" si="2"/>
        <v> </v>
      </c>
    </row>
    <row r="4120" ht="15.75" customHeight="1">
      <c r="A4120" s="11">
        <v>15774.0</v>
      </c>
      <c r="B4120" s="11" t="s">
        <v>3928</v>
      </c>
      <c r="C4120" s="12">
        <v>22495.0</v>
      </c>
      <c r="D4120" s="11" t="str">
        <f t="shared" si="1"/>
        <v>Repeat</v>
      </c>
      <c r="E4120" s="11" t="str">
        <f t="shared" si="2"/>
        <v> </v>
      </c>
    </row>
    <row r="4121" ht="15.75" customHeight="1">
      <c r="A4121" s="11">
        <v>15775.0</v>
      </c>
      <c r="B4121" s="11" t="s">
        <v>4134</v>
      </c>
      <c r="C4121" s="12">
        <v>24599.0</v>
      </c>
      <c r="D4121" s="11" t="str">
        <f t="shared" si="1"/>
        <v> </v>
      </c>
      <c r="E4121" s="11" t="str">
        <f t="shared" si="2"/>
        <v> </v>
      </c>
    </row>
    <row r="4122" ht="15.75" customHeight="1">
      <c r="A4122" s="11">
        <v>15776.0</v>
      </c>
      <c r="B4122" s="11" t="s">
        <v>4135</v>
      </c>
      <c r="C4122" s="12">
        <v>26111.0</v>
      </c>
      <c r="D4122" s="11" t="str">
        <f t="shared" si="1"/>
        <v> </v>
      </c>
      <c r="E4122" s="11" t="str">
        <f t="shared" si="2"/>
        <v> </v>
      </c>
    </row>
    <row r="4123" ht="15.75" customHeight="1">
      <c r="A4123" s="11">
        <v>15777.0</v>
      </c>
      <c r="B4123" s="11" t="s">
        <v>4136</v>
      </c>
      <c r="C4123" s="12">
        <v>21158.0</v>
      </c>
      <c r="D4123" s="11" t="str">
        <f t="shared" si="1"/>
        <v> </v>
      </c>
      <c r="E4123" s="11" t="str">
        <f t="shared" si="2"/>
        <v> </v>
      </c>
    </row>
    <row r="4124" ht="15.75" customHeight="1">
      <c r="A4124" s="11">
        <v>15778.0</v>
      </c>
      <c r="B4124" s="11" t="s">
        <v>4137</v>
      </c>
      <c r="C4124" s="12">
        <v>24111.0</v>
      </c>
      <c r="D4124" s="11" t="str">
        <f t="shared" si="1"/>
        <v> </v>
      </c>
      <c r="E4124" s="11" t="str">
        <f t="shared" si="2"/>
        <v> </v>
      </c>
    </row>
    <row r="4125" ht="15.75" customHeight="1">
      <c r="A4125" s="11">
        <v>15779.0</v>
      </c>
      <c r="B4125" s="11" t="s">
        <v>4138</v>
      </c>
      <c r="C4125" s="12">
        <v>21259.0</v>
      </c>
      <c r="D4125" s="11" t="str">
        <f t="shared" si="1"/>
        <v> </v>
      </c>
      <c r="E4125" s="11" t="str">
        <f t="shared" si="2"/>
        <v> </v>
      </c>
    </row>
    <row r="4126" ht="15.75" customHeight="1">
      <c r="A4126" s="11">
        <v>15780.0</v>
      </c>
      <c r="B4126" s="11" t="s">
        <v>4139</v>
      </c>
      <c r="C4126" s="12">
        <v>23452.0</v>
      </c>
      <c r="D4126" s="11" t="str">
        <f t="shared" si="1"/>
        <v> </v>
      </c>
      <c r="E4126" s="11" t="str">
        <f t="shared" si="2"/>
        <v> </v>
      </c>
    </row>
    <row r="4127" ht="15.75" customHeight="1">
      <c r="A4127" s="11">
        <v>15782.0</v>
      </c>
      <c r="B4127" s="11" t="s">
        <v>4140</v>
      </c>
      <c r="C4127" s="12">
        <v>26777.0</v>
      </c>
      <c r="D4127" s="11" t="str">
        <f t="shared" si="1"/>
        <v> </v>
      </c>
      <c r="E4127" s="11" t="str">
        <f t="shared" si="2"/>
        <v> </v>
      </c>
    </row>
    <row r="4128" ht="15.75" customHeight="1">
      <c r="A4128" s="11">
        <v>15783.0</v>
      </c>
      <c r="B4128" s="11" t="s">
        <v>4141</v>
      </c>
      <c r="C4128" s="12">
        <v>20965.0</v>
      </c>
      <c r="D4128" s="11" t="str">
        <f t="shared" si="1"/>
        <v> </v>
      </c>
      <c r="E4128" s="11" t="str">
        <f t="shared" si="2"/>
        <v> </v>
      </c>
    </row>
    <row r="4129" ht="15.75" customHeight="1">
      <c r="A4129" s="11">
        <v>15784.0</v>
      </c>
      <c r="B4129" s="11" t="s">
        <v>4142</v>
      </c>
      <c r="C4129" s="12">
        <v>27911.0</v>
      </c>
      <c r="D4129" s="11" t="str">
        <f t="shared" si="1"/>
        <v> </v>
      </c>
      <c r="E4129" s="11" t="str">
        <f t="shared" si="2"/>
        <v> </v>
      </c>
    </row>
    <row r="4130" ht="15.75" customHeight="1">
      <c r="A4130" s="11">
        <v>15785.0</v>
      </c>
      <c r="B4130" s="11" t="s">
        <v>4143</v>
      </c>
      <c r="C4130" s="12">
        <v>19662.0</v>
      </c>
      <c r="D4130" s="11" t="str">
        <f t="shared" si="1"/>
        <v> </v>
      </c>
      <c r="E4130" s="11" t="str">
        <f t="shared" si="2"/>
        <v> </v>
      </c>
    </row>
    <row r="4131" ht="15.75" customHeight="1">
      <c r="A4131" s="11">
        <v>15786.0</v>
      </c>
      <c r="B4131" s="11" t="s">
        <v>4144</v>
      </c>
      <c r="C4131" s="12">
        <v>21798.0</v>
      </c>
      <c r="D4131" s="11" t="str">
        <f t="shared" si="1"/>
        <v> </v>
      </c>
      <c r="E4131" s="11" t="str">
        <f t="shared" si="2"/>
        <v> </v>
      </c>
    </row>
    <row r="4132" ht="15.75" customHeight="1">
      <c r="A4132" s="11">
        <v>15787.0</v>
      </c>
      <c r="B4132" s="11" t="s">
        <v>4145</v>
      </c>
      <c r="C4132" s="12">
        <v>25510.0</v>
      </c>
      <c r="D4132" s="11" t="str">
        <f t="shared" si="1"/>
        <v> </v>
      </c>
      <c r="E4132" s="11" t="str">
        <f t="shared" si="2"/>
        <v> </v>
      </c>
    </row>
    <row r="4133" ht="15.75" customHeight="1">
      <c r="A4133" s="11">
        <v>15789.0</v>
      </c>
      <c r="B4133" s="11" t="s">
        <v>4146</v>
      </c>
      <c r="C4133" s="12">
        <v>18415.0</v>
      </c>
      <c r="D4133" s="11" t="str">
        <f t="shared" si="1"/>
        <v> </v>
      </c>
      <c r="E4133" s="11" t="str">
        <f t="shared" si="2"/>
        <v> </v>
      </c>
    </row>
    <row r="4134" ht="15.75" customHeight="1">
      <c r="A4134" s="11">
        <v>15790.0</v>
      </c>
      <c r="B4134" s="11" t="s">
        <v>4147</v>
      </c>
      <c r="C4134" s="12">
        <v>30759.0</v>
      </c>
      <c r="D4134" s="11" t="str">
        <f t="shared" si="1"/>
        <v> </v>
      </c>
      <c r="E4134" s="11" t="str">
        <f t="shared" si="2"/>
        <v> </v>
      </c>
    </row>
    <row r="4135" ht="15.75" customHeight="1">
      <c r="A4135" s="11">
        <v>15791.0</v>
      </c>
      <c r="B4135" s="11" t="s">
        <v>4148</v>
      </c>
      <c r="C4135" s="12">
        <v>21098.0</v>
      </c>
      <c r="D4135" s="11" t="str">
        <f t="shared" si="1"/>
        <v> </v>
      </c>
      <c r="E4135" s="11" t="str">
        <f t="shared" si="2"/>
        <v> </v>
      </c>
    </row>
    <row r="4136" ht="15.75" customHeight="1">
      <c r="A4136" s="11">
        <v>15792.0</v>
      </c>
      <c r="B4136" s="11" t="s">
        <v>4149</v>
      </c>
      <c r="C4136" s="12">
        <v>30530.0</v>
      </c>
      <c r="D4136" s="11" t="str">
        <f t="shared" si="1"/>
        <v> </v>
      </c>
      <c r="E4136" s="11" t="str">
        <f t="shared" si="2"/>
        <v> </v>
      </c>
    </row>
    <row r="4137" ht="15.75" customHeight="1">
      <c r="A4137" s="11">
        <v>15793.0</v>
      </c>
      <c r="B4137" s="11" t="s">
        <v>4150</v>
      </c>
      <c r="C4137" s="12">
        <v>16522.0</v>
      </c>
      <c r="D4137" s="11" t="str">
        <f t="shared" si="1"/>
        <v> </v>
      </c>
      <c r="E4137" s="11" t="str">
        <f t="shared" si="2"/>
        <v> </v>
      </c>
    </row>
    <row r="4138" ht="15.75" customHeight="1">
      <c r="A4138" s="11">
        <v>15794.0</v>
      </c>
      <c r="B4138" s="11" t="s">
        <v>4151</v>
      </c>
      <c r="C4138" s="12">
        <v>20692.0</v>
      </c>
      <c r="D4138" s="11" t="str">
        <f t="shared" si="1"/>
        <v> </v>
      </c>
      <c r="E4138" s="11" t="str">
        <f t="shared" si="2"/>
        <v> </v>
      </c>
    </row>
    <row r="4139" ht="15.75" customHeight="1">
      <c r="A4139" s="11">
        <v>15795.0</v>
      </c>
      <c r="B4139" s="11" t="s">
        <v>4152</v>
      </c>
      <c r="C4139" s="12">
        <v>15753.0</v>
      </c>
      <c r="D4139" s="11" t="str">
        <f t="shared" si="1"/>
        <v> </v>
      </c>
      <c r="E4139" s="11" t="str">
        <f t="shared" si="2"/>
        <v> </v>
      </c>
    </row>
    <row r="4140" ht="15.75" customHeight="1">
      <c r="A4140" s="11">
        <v>15796.0</v>
      </c>
      <c r="B4140" s="11" t="s">
        <v>4153</v>
      </c>
      <c r="C4140" s="12">
        <v>31611.0</v>
      </c>
      <c r="D4140" s="11" t="str">
        <f t="shared" si="1"/>
        <v> </v>
      </c>
      <c r="E4140" s="11" t="str">
        <f t="shared" si="2"/>
        <v> </v>
      </c>
    </row>
    <row r="4141" ht="15.75" customHeight="1">
      <c r="A4141" s="11">
        <v>15797.0</v>
      </c>
      <c r="B4141" s="11" t="s">
        <v>4154</v>
      </c>
      <c r="C4141" s="12">
        <v>22485.0</v>
      </c>
      <c r="D4141" s="11" t="str">
        <f t="shared" si="1"/>
        <v>Repeat</v>
      </c>
      <c r="E4141" s="11" t="str">
        <f t="shared" si="2"/>
        <v> </v>
      </c>
    </row>
    <row r="4142" ht="15.75" customHeight="1">
      <c r="A4142" s="11">
        <v>15798.0</v>
      </c>
      <c r="B4142" s="11" t="s">
        <v>4155</v>
      </c>
      <c r="C4142" s="12">
        <v>26903.0</v>
      </c>
      <c r="D4142" s="11" t="str">
        <f t="shared" si="1"/>
        <v> </v>
      </c>
      <c r="E4142" s="11" t="str">
        <f t="shared" si="2"/>
        <v> </v>
      </c>
    </row>
    <row r="4143" ht="15.75" customHeight="1">
      <c r="A4143" s="11">
        <v>15799.0</v>
      </c>
      <c r="B4143" s="11" t="s">
        <v>4156</v>
      </c>
      <c r="C4143" s="12">
        <v>20858.0</v>
      </c>
      <c r="D4143" s="11" t="str">
        <f t="shared" si="1"/>
        <v> </v>
      </c>
      <c r="E4143" s="11" t="str">
        <f t="shared" si="2"/>
        <v> </v>
      </c>
    </row>
    <row r="4144" ht="15.75" customHeight="1">
      <c r="A4144" s="11">
        <v>15800.0</v>
      </c>
      <c r="B4144" s="11" t="s">
        <v>4157</v>
      </c>
      <c r="C4144" s="12">
        <v>21210.0</v>
      </c>
      <c r="D4144" s="11" t="str">
        <f t="shared" si="1"/>
        <v> </v>
      </c>
      <c r="E4144" s="11" t="str">
        <f t="shared" si="2"/>
        <v> </v>
      </c>
    </row>
    <row r="4145" ht="15.75" customHeight="1">
      <c r="A4145" s="11">
        <v>15801.0</v>
      </c>
      <c r="B4145" s="11" t="s">
        <v>4158</v>
      </c>
      <c r="C4145" s="12">
        <v>18872.0</v>
      </c>
      <c r="D4145" s="11" t="str">
        <f t="shared" si="1"/>
        <v> </v>
      </c>
      <c r="E4145" s="11" t="str">
        <f t="shared" si="2"/>
        <v> </v>
      </c>
    </row>
    <row r="4146" ht="15.75" customHeight="1">
      <c r="A4146" s="11">
        <v>15802.0</v>
      </c>
      <c r="B4146" s="11" t="s">
        <v>4159</v>
      </c>
      <c r="C4146" s="12">
        <v>14014.0</v>
      </c>
      <c r="D4146" s="11" t="str">
        <f t="shared" si="1"/>
        <v> </v>
      </c>
      <c r="E4146" s="11" t="str">
        <f t="shared" si="2"/>
        <v> </v>
      </c>
    </row>
    <row r="4147" ht="15.75" customHeight="1">
      <c r="A4147" s="11">
        <v>15803.0</v>
      </c>
      <c r="B4147" s="11" t="s">
        <v>4160</v>
      </c>
      <c r="C4147" s="12">
        <v>23681.0</v>
      </c>
      <c r="D4147" s="11" t="str">
        <f t="shared" si="1"/>
        <v>Repeat</v>
      </c>
      <c r="E4147" s="11" t="str">
        <f t="shared" si="2"/>
        <v>Repeat</v>
      </c>
    </row>
    <row r="4148" ht="15.75" customHeight="1">
      <c r="A4148" s="11">
        <v>15804.0</v>
      </c>
      <c r="B4148" s="11" t="s">
        <v>4161</v>
      </c>
      <c r="C4148" s="12">
        <v>18291.0</v>
      </c>
      <c r="D4148" s="11" t="str">
        <f t="shared" si="1"/>
        <v> </v>
      </c>
      <c r="E4148" s="11" t="str">
        <f t="shared" si="2"/>
        <v> </v>
      </c>
    </row>
    <row r="4149" ht="15.75" customHeight="1">
      <c r="A4149" s="11">
        <v>15805.0</v>
      </c>
      <c r="B4149" s="11" t="s">
        <v>4162</v>
      </c>
      <c r="C4149" s="12">
        <v>28195.0</v>
      </c>
      <c r="D4149" s="11" t="str">
        <f t="shared" si="1"/>
        <v> </v>
      </c>
      <c r="E4149" s="11" t="str">
        <f t="shared" si="2"/>
        <v> </v>
      </c>
    </row>
    <row r="4150" ht="15.75" customHeight="1">
      <c r="A4150" s="11">
        <v>15806.0</v>
      </c>
      <c r="B4150" s="11" t="s">
        <v>4163</v>
      </c>
      <c r="C4150" s="12">
        <v>18664.0</v>
      </c>
      <c r="D4150" s="11" t="str">
        <f t="shared" si="1"/>
        <v> </v>
      </c>
      <c r="E4150" s="11" t="str">
        <f t="shared" si="2"/>
        <v> </v>
      </c>
    </row>
    <row r="4151" ht="15.75" customHeight="1">
      <c r="A4151" s="11">
        <v>15807.0</v>
      </c>
      <c r="B4151" s="11" t="s">
        <v>4164</v>
      </c>
      <c r="C4151" s="12">
        <v>22632.0</v>
      </c>
      <c r="D4151" s="11" t="str">
        <f t="shared" si="1"/>
        <v> </v>
      </c>
      <c r="E4151" s="11" t="str">
        <f t="shared" si="2"/>
        <v> </v>
      </c>
    </row>
    <row r="4152" ht="15.75" customHeight="1">
      <c r="A4152" s="11">
        <v>15808.0</v>
      </c>
      <c r="B4152" s="11" t="s">
        <v>4165</v>
      </c>
      <c r="C4152" s="12">
        <v>17409.0</v>
      </c>
      <c r="D4152" s="11" t="str">
        <f t="shared" si="1"/>
        <v> </v>
      </c>
      <c r="E4152" s="11" t="str">
        <f t="shared" si="2"/>
        <v> </v>
      </c>
    </row>
    <row r="4153" ht="15.75" customHeight="1">
      <c r="A4153" s="11">
        <v>15809.0</v>
      </c>
      <c r="B4153" s="11" t="s">
        <v>4166</v>
      </c>
      <c r="C4153" s="12">
        <v>13255.0</v>
      </c>
      <c r="D4153" s="11" t="str">
        <f t="shared" si="1"/>
        <v> </v>
      </c>
      <c r="E4153" s="11" t="str">
        <f t="shared" si="2"/>
        <v> </v>
      </c>
    </row>
    <row r="4154" ht="15.75" customHeight="1">
      <c r="A4154" s="11">
        <v>15811.0</v>
      </c>
      <c r="B4154" s="11" t="s">
        <v>591</v>
      </c>
      <c r="C4154" s="12">
        <v>26807.0</v>
      </c>
      <c r="D4154" s="11" t="str">
        <f t="shared" si="1"/>
        <v>Repeat</v>
      </c>
      <c r="E4154" s="11" t="str">
        <f t="shared" si="2"/>
        <v> </v>
      </c>
    </row>
    <row r="4155" ht="15.75" customHeight="1">
      <c r="A4155" s="11">
        <v>15812.0</v>
      </c>
      <c r="B4155" s="11" t="s">
        <v>4167</v>
      </c>
      <c r="C4155" s="12">
        <v>31904.0</v>
      </c>
      <c r="D4155" s="11" t="str">
        <f t="shared" si="1"/>
        <v> </v>
      </c>
      <c r="E4155" s="11" t="str">
        <f t="shared" si="2"/>
        <v> </v>
      </c>
    </row>
    <row r="4156" ht="15.75" customHeight="1">
      <c r="A4156" s="11">
        <v>15813.0</v>
      </c>
      <c r="B4156" s="11" t="s">
        <v>4168</v>
      </c>
      <c r="C4156" s="12">
        <v>21691.0</v>
      </c>
      <c r="D4156" s="11" t="str">
        <f t="shared" si="1"/>
        <v> </v>
      </c>
      <c r="E4156" s="11" t="str">
        <f t="shared" si="2"/>
        <v> </v>
      </c>
    </row>
    <row r="4157" ht="15.75" customHeight="1">
      <c r="A4157" s="11">
        <v>15814.0</v>
      </c>
      <c r="B4157" s="11" t="s">
        <v>4169</v>
      </c>
      <c r="C4157" s="12">
        <v>28677.0</v>
      </c>
      <c r="D4157" s="11" t="str">
        <f t="shared" si="1"/>
        <v> </v>
      </c>
      <c r="E4157" s="11" t="str">
        <f t="shared" si="2"/>
        <v> </v>
      </c>
    </row>
    <row r="4158" ht="15.75" customHeight="1">
      <c r="A4158" s="11">
        <v>15815.0</v>
      </c>
      <c r="B4158" s="11" t="s">
        <v>4170</v>
      </c>
      <c r="C4158" s="12">
        <v>20335.0</v>
      </c>
      <c r="D4158" s="11" t="str">
        <f t="shared" si="1"/>
        <v> </v>
      </c>
      <c r="E4158" s="11" t="str">
        <f t="shared" si="2"/>
        <v> </v>
      </c>
    </row>
    <row r="4159" ht="15.75" customHeight="1">
      <c r="A4159" s="11">
        <v>15817.0</v>
      </c>
      <c r="B4159" s="11" t="s">
        <v>4171</v>
      </c>
      <c r="C4159" s="12">
        <v>31161.0</v>
      </c>
      <c r="D4159" s="11" t="str">
        <f t="shared" si="1"/>
        <v> </v>
      </c>
      <c r="E4159" s="11" t="str">
        <f t="shared" si="2"/>
        <v> </v>
      </c>
    </row>
    <row r="4160" ht="15.75" customHeight="1">
      <c r="A4160" s="11">
        <v>15818.0</v>
      </c>
      <c r="B4160" s="11" t="s">
        <v>4172</v>
      </c>
      <c r="C4160" s="12">
        <v>24706.0</v>
      </c>
      <c r="D4160" s="11" t="str">
        <f t="shared" si="1"/>
        <v> </v>
      </c>
      <c r="E4160" s="11" t="str">
        <f t="shared" si="2"/>
        <v> </v>
      </c>
    </row>
    <row r="4161" ht="15.75" customHeight="1">
      <c r="A4161" s="11">
        <v>15819.0</v>
      </c>
      <c r="B4161" s="11" t="s">
        <v>4173</v>
      </c>
      <c r="C4161" s="12">
        <v>25506.0</v>
      </c>
      <c r="D4161" s="11" t="str">
        <f t="shared" si="1"/>
        <v> </v>
      </c>
      <c r="E4161" s="11" t="str">
        <f t="shared" si="2"/>
        <v> </v>
      </c>
    </row>
    <row r="4162" ht="15.75" customHeight="1">
      <c r="A4162" s="11">
        <v>15820.0</v>
      </c>
      <c r="B4162" s="11" t="s">
        <v>4174</v>
      </c>
      <c r="C4162" s="12">
        <v>18622.0</v>
      </c>
      <c r="D4162" s="11" t="str">
        <f t="shared" si="1"/>
        <v> </v>
      </c>
      <c r="E4162" s="11" t="str">
        <f t="shared" si="2"/>
        <v> </v>
      </c>
    </row>
    <row r="4163" ht="15.75" customHeight="1">
      <c r="A4163" s="11">
        <v>15821.0</v>
      </c>
      <c r="B4163" s="11" t="s">
        <v>4175</v>
      </c>
      <c r="C4163" s="12">
        <v>27989.0</v>
      </c>
      <c r="D4163" s="11" t="str">
        <f t="shared" si="1"/>
        <v> </v>
      </c>
      <c r="E4163" s="11" t="str">
        <f t="shared" si="2"/>
        <v> </v>
      </c>
    </row>
    <row r="4164" ht="15.75" customHeight="1">
      <c r="A4164" s="11">
        <v>15822.0</v>
      </c>
      <c r="B4164" s="11" t="s">
        <v>4176</v>
      </c>
      <c r="C4164" s="12">
        <v>26428.0</v>
      </c>
      <c r="D4164" s="11" t="str">
        <f t="shared" si="1"/>
        <v> </v>
      </c>
      <c r="E4164" s="11" t="str">
        <f t="shared" si="2"/>
        <v> </v>
      </c>
    </row>
    <row r="4165" ht="15.75" customHeight="1">
      <c r="A4165" s="11">
        <v>15823.0</v>
      </c>
      <c r="B4165" s="11" t="s">
        <v>4177</v>
      </c>
      <c r="C4165" s="12">
        <v>17402.0</v>
      </c>
      <c r="D4165" s="11" t="str">
        <f t="shared" si="1"/>
        <v> </v>
      </c>
      <c r="E4165" s="11" t="str">
        <f t="shared" si="2"/>
        <v> </v>
      </c>
    </row>
    <row r="4166" ht="15.75" customHeight="1">
      <c r="A4166" s="11">
        <v>15824.0</v>
      </c>
      <c r="B4166" s="11" t="s">
        <v>4178</v>
      </c>
      <c r="C4166" s="12">
        <v>22206.0</v>
      </c>
      <c r="D4166" s="11" t="str">
        <f t="shared" si="1"/>
        <v> </v>
      </c>
      <c r="E4166" s="11" t="str">
        <f t="shared" si="2"/>
        <v> </v>
      </c>
    </row>
    <row r="4167" ht="15.75" customHeight="1">
      <c r="A4167" s="11">
        <v>15825.0</v>
      </c>
      <c r="B4167" s="11" t="s">
        <v>4179</v>
      </c>
      <c r="C4167" s="12">
        <v>23533.0</v>
      </c>
      <c r="D4167" s="11" t="str">
        <f t="shared" si="1"/>
        <v> </v>
      </c>
      <c r="E4167" s="11" t="str">
        <f t="shared" si="2"/>
        <v> </v>
      </c>
    </row>
    <row r="4168" ht="15.75" customHeight="1">
      <c r="A4168" s="11">
        <v>15826.0</v>
      </c>
      <c r="B4168" s="11" t="s">
        <v>4180</v>
      </c>
      <c r="C4168" s="12">
        <v>18101.0</v>
      </c>
      <c r="D4168" s="11" t="str">
        <f t="shared" si="1"/>
        <v> </v>
      </c>
      <c r="E4168" s="11" t="str">
        <f t="shared" si="2"/>
        <v> </v>
      </c>
    </row>
    <row r="4169" ht="15.75" customHeight="1">
      <c r="A4169" s="11">
        <v>15827.0</v>
      </c>
      <c r="B4169" s="11" t="s">
        <v>4181</v>
      </c>
      <c r="C4169" s="12">
        <v>17462.0</v>
      </c>
      <c r="D4169" s="11" t="str">
        <f t="shared" si="1"/>
        <v> </v>
      </c>
      <c r="E4169" s="11" t="str">
        <f t="shared" si="2"/>
        <v> </v>
      </c>
    </row>
    <row r="4170" ht="15.75" customHeight="1">
      <c r="A4170" s="11">
        <v>15829.0</v>
      </c>
      <c r="B4170" s="11" t="s">
        <v>4182</v>
      </c>
      <c r="C4170" s="12">
        <v>29850.0</v>
      </c>
      <c r="D4170" s="11" t="str">
        <f t="shared" si="1"/>
        <v> </v>
      </c>
      <c r="E4170" s="11" t="str">
        <f t="shared" si="2"/>
        <v> </v>
      </c>
    </row>
    <row r="4171" ht="15.75" customHeight="1">
      <c r="A4171" s="11">
        <v>15830.0</v>
      </c>
      <c r="B4171" s="11" t="s">
        <v>4183</v>
      </c>
      <c r="C4171" s="12">
        <v>20032.0</v>
      </c>
      <c r="D4171" s="11" t="str">
        <f t="shared" si="1"/>
        <v> </v>
      </c>
      <c r="E4171" s="11" t="str">
        <f t="shared" si="2"/>
        <v> </v>
      </c>
    </row>
    <row r="4172" ht="15.75" customHeight="1">
      <c r="A4172" s="11">
        <v>15831.0</v>
      </c>
      <c r="B4172" s="11" t="s">
        <v>4184</v>
      </c>
      <c r="C4172" s="12">
        <v>27556.0</v>
      </c>
      <c r="D4172" s="11" t="str">
        <f t="shared" si="1"/>
        <v> </v>
      </c>
      <c r="E4172" s="11" t="str">
        <f t="shared" si="2"/>
        <v> </v>
      </c>
    </row>
    <row r="4173" ht="15.75" customHeight="1">
      <c r="A4173" s="11">
        <v>15832.0</v>
      </c>
      <c r="B4173" s="11" t="s">
        <v>1810</v>
      </c>
      <c r="C4173" s="12">
        <v>20976.0</v>
      </c>
      <c r="D4173" s="11" t="str">
        <f t="shared" si="1"/>
        <v>Repeat</v>
      </c>
      <c r="E4173" s="11" t="str">
        <f t="shared" si="2"/>
        <v> </v>
      </c>
    </row>
    <row r="4174" ht="15.75" customHeight="1">
      <c r="A4174" s="11">
        <v>15833.0</v>
      </c>
      <c r="B4174" s="11" t="s">
        <v>4185</v>
      </c>
      <c r="C4174" s="12">
        <v>30890.0</v>
      </c>
      <c r="D4174" s="11" t="str">
        <f t="shared" si="1"/>
        <v> </v>
      </c>
      <c r="E4174" s="11" t="str">
        <f t="shared" si="2"/>
        <v> </v>
      </c>
    </row>
    <row r="4175" ht="15.75" customHeight="1">
      <c r="A4175" s="11">
        <v>15834.0</v>
      </c>
      <c r="B4175" s="11" t="s">
        <v>4186</v>
      </c>
      <c r="C4175" s="12">
        <v>17523.0</v>
      </c>
      <c r="D4175" s="11" t="str">
        <f t="shared" si="1"/>
        <v> </v>
      </c>
      <c r="E4175" s="11" t="str">
        <f t="shared" si="2"/>
        <v> </v>
      </c>
    </row>
    <row r="4176" ht="15.75" customHeight="1">
      <c r="A4176" s="11">
        <v>15835.0</v>
      </c>
      <c r="B4176" s="11" t="s">
        <v>4187</v>
      </c>
      <c r="C4176" s="12">
        <v>21919.0</v>
      </c>
      <c r="D4176" s="11" t="str">
        <f t="shared" si="1"/>
        <v> </v>
      </c>
      <c r="E4176" s="11" t="str">
        <f t="shared" si="2"/>
        <v> </v>
      </c>
    </row>
    <row r="4177" ht="15.75" customHeight="1">
      <c r="A4177" s="11">
        <v>15836.0</v>
      </c>
      <c r="B4177" s="11" t="s">
        <v>4188</v>
      </c>
      <c r="C4177" s="12">
        <v>16122.0</v>
      </c>
      <c r="D4177" s="11" t="str">
        <f t="shared" si="1"/>
        <v> </v>
      </c>
      <c r="E4177" s="11" t="str">
        <f t="shared" si="2"/>
        <v> </v>
      </c>
    </row>
    <row r="4178" ht="15.75" customHeight="1">
      <c r="A4178" s="11">
        <v>15837.0</v>
      </c>
      <c r="B4178" s="11" t="s">
        <v>4189</v>
      </c>
      <c r="C4178" s="12">
        <v>26371.0</v>
      </c>
      <c r="D4178" s="11" t="str">
        <f t="shared" si="1"/>
        <v> </v>
      </c>
      <c r="E4178" s="11" t="str">
        <f t="shared" si="2"/>
        <v> </v>
      </c>
    </row>
    <row r="4179" ht="15.75" customHeight="1">
      <c r="A4179" s="11">
        <v>15838.0</v>
      </c>
      <c r="B4179" s="11" t="s">
        <v>4190</v>
      </c>
      <c r="C4179" s="12">
        <v>21409.0</v>
      </c>
      <c r="D4179" s="11" t="str">
        <f t="shared" si="1"/>
        <v> </v>
      </c>
      <c r="E4179" s="11" t="str">
        <f t="shared" si="2"/>
        <v> </v>
      </c>
    </row>
    <row r="4180" ht="15.75" customHeight="1">
      <c r="A4180" s="11">
        <v>15839.0</v>
      </c>
      <c r="B4180" s="11" t="s">
        <v>4191</v>
      </c>
      <c r="C4180" s="12">
        <v>25369.0</v>
      </c>
      <c r="D4180" s="11" t="str">
        <f t="shared" si="1"/>
        <v> </v>
      </c>
      <c r="E4180" s="11" t="str">
        <f t="shared" si="2"/>
        <v> </v>
      </c>
    </row>
    <row r="4181" ht="15.75" customHeight="1">
      <c r="A4181" s="11">
        <v>15840.0</v>
      </c>
      <c r="B4181" s="11" t="s">
        <v>4192</v>
      </c>
      <c r="C4181" s="12">
        <v>16549.0</v>
      </c>
      <c r="D4181" s="11" t="str">
        <f t="shared" si="1"/>
        <v> </v>
      </c>
      <c r="E4181" s="11" t="str">
        <f t="shared" si="2"/>
        <v> </v>
      </c>
    </row>
    <row r="4182" ht="15.75" customHeight="1">
      <c r="A4182" s="11">
        <v>15841.0</v>
      </c>
      <c r="B4182" s="11" t="s">
        <v>4193</v>
      </c>
      <c r="C4182" s="12">
        <v>20058.0</v>
      </c>
      <c r="D4182" s="11" t="str">
        <f t="shared" si="1"/>
        <v> </v>
      </c>
      <c r="E4182" s="11" t="str">
        <f t="shared" si="2"/>
        <v> </v>
      </c>
    </row>
    <row r="4183" ht="15.75" customHeight="1">
      <c r="A4183" s="11">
        <v>15842.0</v>
      </c>
      <c r="B4183" s="11" t="s">
        <v>4194</v>
      </c>
      <c r="C4183" s="12">
        <v>18789.0</v>
      </c>
      <c r="D4183" s="11" t="str">
        <f t="shared" si="1"/>
        <v> </v>
      </c>
      <c r="E4183" s="11" t="str">
        <f t="shared" si="2"/>
        <v> </v>
      </c>
    </row>
    <row r="4184" ht="15.75" customHeight="1">
      <c r="A4184" s="11">
        <v>15843.0</v>
      </c>
      <c r="B4184" s="11" t="s">
        <v>4195</v>
      </c>
      <c r="C4184" s="12">
        <v>22196.0</v>
      </c>
      <c r="D4184" s="11" t="str">
        <f t="shared" si="1"/>
        <v>Repeat</v>
      </c>
      <c r="E4184" s="11" t="str">
        <f t="shared" si="2"/>
        <v> </v>
      </c>
    </row>
    <row r="4185" ht="15.75" customHeight="1">
      <c r="A4185" s="11">
        <v>15844.0</v>
      </c>
      <c r="B4185" s="11" t="s">
        <v>4196</v>
      </c>
      <c r="C4185" s="12">
        <v>24938.0</v>
      </c>
      <c r="D4185" s="11" t="str">
        <f t="shared" si="1"/>
        <v> </v>
      </c>
      <c r="E4185" s="11" t="str">
        <f t="shared" si="2"/>
        <v> </v>
      </c>
    </row>
    <row r="4186" ht="15.75" customHeight="1">
      <c r="A4186" s="11">
        <v>15845.0</v>
      </c>
      <c r="B4186" s="11" t="s">
        <v>4197</v>
      </c>
      <c r="C4186" s="12">
        <v>26349.0</v>
      </c>
      <c r="D4186" s="11" t="str">
        <f t="shared" si="1"/>
        <v> </v>
      </c>
      <c r="E4186" s="11" t="str">
        <f t="shared" si="2"/>
        <v> </v>
      </c>
    </row>
    <row r="4187" ht="15.75" customHeight="1">
      <c r="A4187" s="11">
        <v>15846.0</v>
      </c>
      <c r="B4187" s="11" t="s">
        <v>4198</v>
      </c>
      <c r="C4187" s="12">
        <v>29050.0</v>
      </c>
      <c r="D4187" s="11" t="str">
        <f t="shared" si="1"/>
        <v> </v>
      </c>
      <c r="E4187" s="11" t="str">
        <f t="shared" si="2"/>
        <v> </v>
      </c>
    </row>
    <row r="4188" ht="15.75" customHeight="1">
      <c r="A4188" s="11">
        <v>15847.0</v>
      </c>
      <c r="B4188" s="11" t="s">
        <v>4199</v>
      </c>
      <c r="C4188" s="12">
        <v>33740.0</v>
      </c>
      <c r="D4188" s="11" t="str">
        <f t="shared" si="1"/>
        <v> </v>
      </c>
      <c r="E4188" s="11" t="str">
        <f t="shared" si="2"/>
        <v> </v>
      </c>
    </row>
    <row r="4189" ht="15.75" customHeight="1">
      <c r="A4189" s="11">
        <v>15848.0</v>
      </c>
      <c r="B4189" s="11" t="s">
        <v>4200</v>
      </c>
      <c r="C4189" s="12">
        <v>30128.0</v>
      </c>
      <c r="D4189" s="11" t="str">
        <f t="shared" si="1"/>
        <v> </v>
      </c>
      <c r="E4189" s="11" t="str">
        <f t="shared" si="2"/>
        <v> </v>
      </c>
    </row>
    <row r="4190" ht="15.75" customHeight="1">
      <c r="A4190" s="11">
        <v>15849.0</v>
      </c>
      <c r="B4190" s="11" t="s">
        <v>4201</v>
      </c>
      <c r="C4190" s="12">
        <v>32104.0</v>
      </c>
      <c r="D4190" s="11" t="str">
        <f t="shared" si="1"/>
        <v> </v>
      </c>
      <c r="E4190" s="11" t="str">
        <f t="shared" si="2"/>
        <v> </v>
      </c>
    </row>
    <row r="4191" ht="15.75" customHeight="1">
      <c r="A4191" s="11">
        <v>15850.0</v>
      </c>
      <c r="B4191" s="11" t="s">
        <v>4202</v>
      </c>
      <c r="C4191" s="12">
        <v>20771.0</v>
      </c>
      <c r="D4191" s="11" t="str">
        <f t="shared" si="1"/>
        <v> </v>
      </c>
      <c r="E4191" s="11" t="str">
        <f t="shared" si="2"/>
        <v> </v>
      </c>
    </row>
    <row r="4192" ht="15.75" customHeight="1">
      <c r="A4192" s="11">
        <v>15851.0</v>
      </c>
      <c r="B4192" s="11" t="s">
        <v>4203</v>
      </c>
      <c r="C4192" s="12">
        <v>23918.0</v>
      </c>
      <c r="D4192" s="11" t="str">
        <f t="shared" si="1"/>
        <v> </v>
      </c>
      <c r="E4192" s="11" t="str">
        <f t="shared" si="2"/>
        <v> </v>
      </c>
    </row>
    <row r="4193" ht="15.75" customHeight="1">
      <c r="A4193" s="11">
        <v>15852.0</v>
      </c>
      <c r="B4193" s="11" t="s">
        <v>4204</v>
      </c>
      <c r="C4193" s="12">
        <v>12166.0</v>
      </c>
      <c r="D4193" s="11" t="str">
        <f t="shared" si="1"/>
        <v> </v>
      </c>
      <c r="E4193" s="11" t="str">
        <f t="shared" si="2"/>
        <v> </v>
      </c>
    </row>
    <row r="4194" ht="15.75" customHeight="1">
      <c r="A4194" s="11">
        <v>15853.0</v>
      </c>
      <c r="B4194" s="11" t="s">
        <v>4205</v>
      </c>
      <c r="C4194" s="12">
        <v>18900.0</v>
      </c>
      <c r="D4194" s="11" t="str">
        <f t="shared" si="1"/>
        <v> </v>
      </c>
      <c r="E4194" s="11" t="str">
        <f t="shared" si="2"/>
        <v> </v>
      </c>
    </row>
    <row r="4195" ht="15.75" customHeight="1">
      <c r="A4195" s="11">
        <v>15854.0</v>
      </c>
      <c r="B4195" s="11" t="s">
        <v>4206</v>
      </c>
      <c r="C4195" s="12">
        <v>23330.0</v>
      </c>
      <c r="D4195" s="11" t="str">
        <f t="shared" si="1"/>
        <v> </v>
      </c>
      <c r="E4195" s="11" t="str">
        <f t="shared" si="2"/>
        <v> </v>
      </c>
    </row>
    <row r="4196" ht="15.75" customHeight="1">
      <c r="A4196" s="11">
        <v>15855.0</v>
      </c>
      <c r="B4196" s="11" t="s">
        <v>4207</v>
      </c>
      <c r="C4196" s="12">
        <v>16252.0</v>
      </c>
      <c r="D4196" s="11" t="str">
        <f t="shared" si="1"/>
        <v> </v>
      </c>
      <c r="E4196" s="11" t="str">
        <f t="shared" si="2"/>
        <v> </v>
      </c>
    </row>
    <row r="4197" ht="15.75" customHeight="1">
      <c r="A4197" s="11">
        <v>15856.0</v>
      </c>
      <c r="B4197" s="11" t="s">
        <v>4208</v>
      </c>
      <c r="C4197" s="12">
        <v>24549.0</v>
      </c>
      <c r="D4197" s="11" t="str">
        <f t="shared" si="1"/>
        <v> </v>
      </c>
      <c r="E4197" s="11" t="str">
        <f t="shared" si="2"/>
        <v> </v>
      </c>
    </row>
    <row r="4198" ht="15.75" customHeight="1">
      <c r="A4198" s="11">
        <v>15857.0</v>
      </c>
      <c r="B4198" s="11" t="s">
        <v>4209</v>
      </c>
      <c r="C4198" s="12">
        <v>20924.0</v>
      </c>
      <c r="D4198" s="11" t="str">
        <f t="shared" si="1"/>
        <v> </v>
      </c>
      <c r="E4198" s="11" t="str">
        <f t="shared" si="2"/>
        <v> </v>
      </c>
    </row>
    <row r="4199" ht="15.75" customHeight="1">
      <c r="A4199" s="11">
        <v>15858.0</v>
      </c>
      <c r="B4199" s="11" t="s">
        <v>4210</v>
      </c>
      <c r="C4199" s="12">
        <v>16202.0</v>
      </c>
      <c r="D4199" s="11" t="str">
        <f t="shared" si="1"/>
        <v> </v>
      </c>
      <c r="E4199" s="11" t="str">
        <f t="shared" si="2"/>
        <v> </v>
      </c>
    </row>
    <row r="4200" ht="15.75" customHeight="1">
      <c r="A4200" s="11">
        <v>15859.0</v>
      </c>
      <c r="B4200" s="11" t="s">
        <v>4211</v>
      </c>
      <c r="C4200" s="12">
        <v>21371.0</v>
      </c>
      <c r="D4200" s="11" t="str">
        <f t="shared" si="1"/>
        <v> </v>
      </c>
      <c r="E4200" s="11" t="str">
        <f t="shared" si="2"/>
        <v> </v>
      </c>
    </row>
    <row r="4201" ht="15.75" customHeight="1">
      <c r="A4201" s="11">
        <v>15860.0</v>
      </c>
      <c r="B4201" s="11" t="s">
        <v>4212</v>
      </c>
      <c r="C4201" s="12">
        <v>20329.0</v>
      </c>
      <c r="D4201" s="11" t="str">
        <f t="shared" si="1"/>
        <v> </v>
      </c>
      <c r="E4201" s="11" t="str">
        <f t="shared" si="2"/>
        <v> </v>
      </c>
    </row>
    <row r="4202" ht="15.75" customHeight="1">
      <c r="A4202" s="11">
        <v>15861.0</v>
      </c>
      <c r="B4202" s="11" t="s">
        <v>4213</v>
      </c>
      <c r="C4202" s="12">
        <v>16576.0</v>
      </c>
      <c r="D4202" s="11" t="str">
        <f t="shared" si="1"/>
        <v> </v>
      </c>
      <c r="E4202" s="11" t="str">
        <f t="shared" si="2"/>
        <v> </v>
      </c>
    </row>
    <row r="4203" ht="15.75" customHeight="1">
      <c r="A4203" s="11">
        <v>15862.0</v>
      </c>
      <c r="B4203" s="11" t="s">
        <v>4214</v>
      </c>
      <c r="C4203" s="12">
        <v>15971.0</v>
      </c>
      <c r="D4203" s="11" t="str">
        <f t="shared" si="1"/>
        <v> </v>
      </c>
      <c r="E4203" s="11" t="str">
        <f t="shared" si="2"/>
        <v> </v>
      </c>
    </row>
    <row r="4204" ht="15.75" customHeight="1">
      <c r="A4204" s="11">
        <v>15863.0</v>
      </c>
      <c r="B4204" s="11" t="s">
        <v>4215</v>
      </c>
      <c r="C4204" s="12">
        <v>33237.0</v>
      </c>
      <c r="D4204" s="11" t="str">
        <f t="shared" si="1"/>
        <v> </v>
      </c>
      <c r="E4204" s="11" t="str">
        <f t="shared" si="2"/>
        <v> </v>
      </c>
    </row>
    <row r="4205" ht="15.75" customHeight="1">
      <c r="A4205" s="11">
        <v>15864.0</v>
      </c>
      <c r="B4205" s="11" t="s">
        <v>4216</v>
      </c>
      <c r="C4205" s="12">
        <v>20092.0</v>
      </c>
      <c r="D4205" s="11" t="str">
        <f t="shared" si="1"/>
        <v> </v>
      </c>
      <c r="E4205" s="11" t="str">
        <f t="shared" si="2"/>
        <v> </v>
      </c>
    </row>
    <row r="4206" ht="15.75" customHeight="1">
      <c r="A4206" s="11">
        <v>15865.0</v>
      </c>
      <c r="B4206" s="11" t="s">
        <v>4217</v>
      </c>
      <c r="C4206" s="12">
        <v>21979.0</v>
      </c>
      <c r="D4206" s="11" t="str">
        <f t="shared" si="1"/>
        <v> </v>
      </c>
      <c r="E4206" s="11" t="str">
        <f t="shared" si="2"/>
        <v> </v>
      </c>
    </row>
    <row r="4207" ht="15.75" customHeight="1">
      <c r="A4207" s="11">
        <v>15866.0</v>
      </c>
      <c r="B4207" s="11" t="s">
        <v>4218</v>
      </c>
      <c r="C4207" s="12">
        <v>22539.0</v>
      </c>
      <c r="D4207" s="11" t="str">
        <f t="shared" si="1"/>
        <v> </v>
      </c>
      <c r="E4207" s="11" t="str">
        <f t="shared" si="2"/>
        <v> </v>
      </c>
    </row>
    <row r="4208" ht="15.75" customHeight="1">
      <c r="A4208" s="11">
        <v>15867.0</v>
      </c>
      <c r="B4208" s="11" t="s">
        <v>4219</v>
      </c>
      <c r="C4208" s="12">
        <v>18798.0</v>
      </c>
      <c r="D4208" s="11" t="str">
        <f t="shared" si="1"/>
        <v> </v>
      </c>
      <c r="E4208" s="11" t="str">
        <f t="shared" si="2"/>
        <v> </v>
      </c>
    </row>
    <row r="4209" ht="15.75" customHeight="1">
      <c r="A4209" s="11">
        <v>15868.0</v>
      </c>
      <c r="B4209" s="11" t="s">
        <v>3948</v>
      </c>
      <c r="C4209" s="12">
        <v>17930.0</v>
      </c>
      <c r="D4209" s="11" t="str">
        <f t="shared" si="1"/>
        <v>Repeat</v>
      </c>
      <c r="E4209" s="11" t="str">
        <f t="shared" si="2"/>
        <v> </v>
      </c>
    </row>
    <row r="4210" ht="15.75" customHeight="1">
      <c r="A4210" s="11">
        <v>15869.0</v>
      </c>
      <c r="B4210" s="11" t="s">
        <v>4220</v>
      </c>
      <c r="C4210" s="12">
        <v>20667.0</v>
      </c>
      <c r="D4210" s="11" t="str">
        <f t="shared" si="1"/>
        <v> </v>
      </c>
      <c r="E4210" s="11" t="str">
        <f t="shared" si="2"/>
        <v> </v>
      </c>
    </row>
    <row r="4211" ht="15.75" customHeight="1">
      <c r="A4211" s="11">
        <v>15870.0</v>
      </c>
      <c r="B4211" s="11" t="s">
        <v>4221</v>
      </c>
      <c r="C4211" s="12">
        <v>23931.0</v>
      </c>
      <c r="D4211" s="11" t="str">
        <f t="shared" si="1"/>
        <v> </v>
      </c>
      <c r="E4211" s="11" t="str">
        <f t="shared" si="2"/>
        <v> </v>
      </c>
    </row>
    <row r="4212" ht="15.75" customHeight="1">
      <c r="A4212" s="11">
        <v>15871.0</v>
      </c>
      <c r="B4212" s="11" t="s">
        <v>4222</v>
      </c>
      <c r="C4212" s="12">
        <v>28890.0</v>
      </c>
      <c r="D4212" s="11" t="str">
        <f t="shared" si="1"/>
        <v> </v>
      </c>
      <c r="E4212" s="11" t="str">
        <f t="shared" si="2"/>
        <v> </v>
      </c>
    </row>
    <row r="4213" ht="15.75" customHeight="1">
      <c r="A4213" s="11">
        <v>15872.0</v>
      </c>
      <c r="B4213" s="11" t="s">
        <v>4223</v>
      </c>
      <c r="C4213" s="12">
        <v>37918.0</v>
      </c>
      <c r="D4213" s="11" t="str">
        <f t="shared" si="1"/>
        <v> </v>
      </c>
      <c r="E4213" s="11" t="str">
        <f t="shared" si="2"/>
        <v> </v>
      </c>
    </row>
    <row r="4214" ht="15.75" customHeight="1">
      <c r="A4214" s="11">
        <v>15873.0</v>
      </c>
      <c r="B4214" s="11" t="s">
        <v>4224</v>
      </c>
      <c r="C4214" s="12">
        <v>17286.0</v>
      </c>
      <c r="D4214" s="11" t="str">
        <f t="shared" si="1"/>
        <v> </v>
      </c>
      <c r="E4214" s="11" t="str">
        <f t="shared" si="2"/>
        <v> </v>
      </c>
    </row>
    <row r="4215" ht="15.75" customHeight="1">
      <c r="A4215" s="11">
        <v>15874.0</v>
      </c>
      <c r="B4215" s="11" t="s">
        <v>4225</v>
      </c>
      <c r="C4215" s="12">
        <v>27724.0</v>
      </c>
      <c r="D4215" s="11" t="str">
        <f t="shared" si="1"/>
        <v> </v>
      </c>
      <c r="E4215" s="11" t="str">
        <f t="shared" si="2"/>
        <v> </v>
      </c>
    </row>
    <row r="4216" ht="15.75" customHeight="1">
      <c r="A4216" s="11">
        <v>15875.0</v>
      </c>
      <c r="B4216" s="11" t="s">
        <v>4226</v>
      </c>
      <c r="C4216" s="12">
        <v>29275.0</v>
      </c>
      <c r="D4216" s="11" t="str">
        <f t="shared" si="1"/>
        <v> </v>
      </c>
      <c r="E4216" s="11" t="str">
        <f t="shared" si="2"/>
        <v> </v>
      </c>
    </row>
    <row r="4217" ht="15.75" customHeight="1">
      <c r="A4217" s="11">
        <v>15876.0</v>
      </c>
      <c r="B4217" s="11" t="s">
        <v>4227</v>
      </c>
      <c r="C4217" s="12">
        <v>24706.0</v>
      </c>
      <c r="D4217" s="11" t="str">
        <f t="shared" si="1"/>
        <v> </v>
      </c>
      <c r="E4217" s="11" t="str">
        <f t="shared" si="2"/>
        <v> </v>
      </c>
    </row>
    <row r="4218" ht="15.75" customHeight="1">
      <c r="A4218" s="11">
        <v>15877.0</v>
      </c>
      <c r="B4218" s="11" t="s">
        <v>4228</v>
      </c>
      <c r="C4218" s="12">
        <v>29898.0</v>
      </c>
      <c r="D4218" s="11" t="str">
        <f t="shared" si="1"/>
        <v> </v>
      </c>
      <c r="E4218" s="11" t="str">
        <f t="shared" si="2"/>
        <v> </v>
      </c>
    </row>
    <row r="4219" ht="15.75" customHeight="1">
      <c r="A4219" s="11">
        <v>15878.0</v>
      </c>
      <c r="B4219" s="11" t="s">
        <v>4229</v>
      </c>
      <c r="C4219" s="12">
        <v>24028.0</v>
      </c>
      <c r="D4219" s="11" t="str">
        <f t="shared" si="1"/>
        <v> </v>
      </c>
      <c r="E4219" s="11" t="str">
        <f t="shared" si="2"/>
        <v> </v>
      </c>
    </row>
    <row r="4220" ht="15.75" customHeight="1">
      <c r="A4220" s="11">
        <v>15879.0</v>
      </c>
      <c r="B4220" s="11" t="s">
        <v>4230</v>
      </c>
      <c r="C4220" s="12">
        <v>28372.0</v>
      </c>
      <c r="D4220" s="11" t="str">
        <f t="shared" si="1"/>
        <v> </v>
      </c>
      <c r="E4220" s="11" t="str">
        <f t="shared" si="2"/>
        <v> </v>
      </c>
    </row>
    <row r="4221" ht="15.75" customHeight="1">
      <c r="A4221" s="11">
        <v>15880.0</v>
      </c>
      <c r="B4221" s="11" t="s">
        <v>4231</v>
      </c>
      <c r="C4221" s="12">
        <v>20718.0</v>
      </c>
      <c r="D4221" s="11" t="str">
        <f t="shared" si="1"/>
        <v> </v>
      </c>
      <c r="E4221" s="11" t="str">
        <f t="shared" si="2"/>
        <v> </v>
      </c>
    </row>
    <row r="4222" ht="15.75" customHeight="1">
      <c r="A4222" s="11">
        <v>15881.0</v>
      </c>
      <c r="B4222" s="11" t="s">
        <v>4232</v>
      </c>
      <c r="C4222" s="12">
        <v>15629.0</v>
      </c>
      <c r="D4222" s="11" t="str">
        <f t="shared" si="1"/>
        <v> </v>
      </c>
      <c r="E4222" s="11" t="str">
        <f t="shared" si="2"/>
        <v> </v>
      </c>
    </row>
    <row r="4223" ht="15.75" customHeight="1">
      <c r="A4223" s="11">
        <v>15882.0</v>
      </c>
      <c r="B4223" s="11" t="s">
        <v>4233</v>
      </c>
      <c r="C4223" s="12">
        <v>29136.0</v>
      </c>
      <c r="D4223" s="11" t="str">
        <f t="shared" si="1"/>
        <v> </v>
      </c>
      <c r="E4223" s="11" t="str">
        <f t="shared" si="2"/>
        <v> </v>
      </c>
    </row>
    <row r="4224" ht="15.75" customHeight="1">
      <c r="A4224" s="11">
        <v>15883.0</v>
      </c>
      <c r="B4224" s="11" t="s">
        <v>4234</v>
      </c>
      <c r="C4224" s="12">
        <v>14483.0</v>
      </c>
      <c r="D4224" s="11" t="str">
        <f t="shared" si="1"/>
        <v> </v>
      </c>
      <c r="E4224" s="11" t="str">
        <f t="shared" si="2"/>
        <v> </v>
      </c>
    </row>
    <row r="4225" ht="15.75" customHeight="1">
      <c r="A4225" s="11">
        <v>15884.0</v>
      </c>
      <c r="B4225" s="11" t="s">
        <v>4235</v>
      </c>
      <c r="C4225" s="12">
        <v>17027.0</v>
      </c>
      <c r="D4225" s="11" t="str">
        <f t="shared" si="1"/>
        <v> </v>
      </c>
      <c r="E4225" s="11" t="str">
        <f t="shared" si="2"/>
        <v> </v>
      </c>
    </row>
    <row r="4226" ht="15.75" customHeight="1">
      <c r="A4226" s="11">
        <v>15885.0</v>
      </c>
      <c r="B4226" s="11" t="s">
        <v>4236</v>
      </c>
      <c r="C4226" s="12">
        <v>19266.0</v>
      </c>
      <c r="D4226" s="11" t="str">
        <f t="shared" si="1"/>
        <v> </v>
      </c>
      <c r="E4226" s="11" t="str">
        <f t="shared" si="2"/>
        <v> </v>
      </c>
    </row>
    <row r="4227" ht="15.75" customHeight="1">
      <c r="A4227" s="11">
        <v>15886.0</v>
      </c>
      <c r="B4227" s="11" t="s">
        <v>4237</v>
      </c>
      <c r="C4227" s="12">
        <v>30131.0</v>
      </c>
      <c r="D4227" s="11" t="str">
        <f t="shared" si="1"/>
        <v> </v>
      </c>
      <c r="E4227" s="11" t="str">
        <f t="shared" si="2"/>
        <v> </v>
      </c>
    </row>
    <row r="4228" ht="15.75" customHeight="1">
      <c r="A4228" s="11">
        <v>15887.0</v>
      </c>
      <c r="B4228" s="11" t="s">
        <v>4238</v>
      </c>
      <c r="C4228" s="12">
        <v>27207.0</v>
      </c>
      <c r="D4228" s="11" t="str">
        <f t="shared" si="1"/>
        <v> </v>
      </c>
      <c r="E4228" s="11" t="str">
        <f t="shared" si="2"/>
        <v> </v>
      </c>
    </row>
    <row r="4229" ht="15.75" customHeight="1">
      <c r="A4229" s="11">
        <v>15888.0</v>
      </c>
      <c r="B4229" s="11" t="s">
        <v>4239</v>
      </c>
      <c r="C4229" s="12">
        <v>25223.0</v>
      </c>
      <c r="D4229" s="11" t="str">
        <f t="shared" si="1"/>
        <v> </v>
      </c>
      <c r="E4229" s="11" t="str">
        <f t="shared" si="2"/>
        <v> </v>
      </c>
    </row>
    <row r="4230" ht="15.75" customHeight="1">
      <c r="A4230" s="11">
        <v>15889.0</v>
      </c>
      <c r="B4230" s="11" t="s">
        <v>4240</v>
      </c>
      <c r="C4230" s="12">
        <v>35727.0</v>
      </c>
      <c r="D4230" s="11" t="str">
        <f t="shared" si="1"/>
        <v> </v>
      </c>
      <c r="E4230" s="11" t="str">
        <f t="shared" si="2"/>
        <v> </v>
      </c>
    </row>
    <row r="4231" ht="15.75" customHeight="1">
      <c r="A4231" s="11">
        <v>15890.0</v>
      </c>
      <c r="B4231" s="11" t="s">
        <v>4241</v>
      </c>
      <c r="C4231" s="12">
        <v>34119.0</v>
      </c>
      <c r="D4231" s="11" t="str">
        <f t="shared" si="1"/>
        <v>Repeat</v>
      </c>
      <c r="E4231" s="11" t="str">
        <f t="shared" si="2"/>
        <v> </v>
      </c>
    </row>
    <row r="4232" ht="15.75" customHeight="1">
      <c r="A4232" s="11">
        <v>15891.0</v>
      </c>
      <c r="B4232" s="11" t="s">
        <v>4242</v>
      </c>
      <c r="C4232" s="12">
        <v>25116.0</v>
      </c>
      <c r="D4232" s="11" t="str">
        <f t="shared" si="1"/>
        <v> </v>
      </c>
      <c r="E4232" s="11" t="str">
        <f t="shared" si="2"/>
        <v> </v>
      </c>
    </row>
    <row r="4233" ht="15.75" customHeight="1">
      <c r="A4233" s="11">
        <v>15892.0</v>
      </c>
      <c r="B4233" s="11" t="s">
        <v>4243</v>
      </c>
      <c r="C4233" s="12">
        <v>23446.0</v>
      </c>
      <c r="D4233" s="11" t="str">
        <f t="shared" si="1"/>
        <v> </v>
      </c>
      <c r="E4233" s="11" t="str">
        <f t="shared" si="2"/>
        <v> </v>
      </c>
    </row>
    <row r="4234" ht="15.75" customHeight="1">
      <c r="A4234" s="11">
        <v>15893.0</v>
      </c>
      <c r="B4234" s="11" t="s">
        <v>4244</v>
      </c>
      <c r="C4234" s="12">
        <v>26147.0</v>
      </c>
      <c r="D4234" s="11" t="str">
        <f t="shared" si="1"/>
        <v> </v>
      </c>
      <c r="E4234" s="11" t="str">
        <f t="shared" si="2"/>
        <v> </v>
      </c>
    </row>
    <row r="4235" ht="15.75" customHeight="1">
      <c r="A4235" s="11">
        <v>15894.0</v>
      </c>
      <c r="B4235" s="11" t="s">
        <v>4245</v>
      </c>
      <c r="C4235" s="12">
        <v>18114.0</v>
      </c>
      <c r="D4235" s="11" t="str">
        <f t="shared" si="1"/>
        <v> </v>
      </c>
      <c r="E4235" s="11" t="str">
        <f t="shared" si="2"/>
        <v> </v>
      </c>
    </row>
    <row r="4236" ht="15.75" customHeight="1">
      <c r="A4236" s="11">
        <v>15895.0</v>
      </c>
      <c r="B4236" s="11" t="s">
        <v>4246</v>
      </c>
      <c r="C4236" s="12">
        <v>30701.0</v>
      </c>
      <c r="D4236" s="11" t="str">
        <f t="shared" si="1"/>
        <v>Repeat</v>
      </c>
      <c r="E4236" s="11" t="str">
        <f t="shared" si="2"/>
        <v> </v>
      </c>
    </row>
    <row r="4237" ht="15.75" customHeight="1">
      <c r="A4237" s="11">
        <v>15896.0</v>
      </c>
      <c r="B4237" s="11" t="s">
        <v>4247</v>
      </c>
      <c r="C4237" s="12">
        <v>18717.0</v>
      </c>
      <c r="D4237" s="11" t="str">
        <f t="shared" si="1"/>
        <v> </v>
      </c>
      <c r="E4237" s="11" t="str">
        <f t="shared" si="2"/>
        <v> </v>
      </c>
    </row>
    <row r="4238" ht="15.75" customHeight="1">
      <c r="A4238" s="11">
        <v>15897.0</v>
      </c>
      <c r="B4238" s="11" t="s">
        <v>4248</v>
      </c>
      <c r="C4238" s="12">
        <v>28703.0</v>
      </c>
      <c r="D4238" s="11" t="str">
        <f t="shared" si="1"/>
        <v> </v>
      </c>
      <c r="E4238" s="11" t="str">
        <f t="shared" si="2"/>
        <v> </v>
      </c>
    </row>
    <row r="4239" ht="15.75" customHeight="1">
      <c r="A4239" s="11">
        <v>15898.0</v>
      </c>
      <c r="B4239" s="11" t="s">
        <v>4249</v>
      </c>
      <c r="C4239" s="12">
        <v>22937.0</v>
      </c>
      <c r="D4239" s="11" t="str">
        <f t="shared" si="1"/>
        <v> </v>
      </c>
      <c r="E4239" s="11" t="str">
        <f t="shared" si="2"/>
        <v> </v>
      </c>
    </row>
    <row r="4240" ht="15.75" customHeight="1">
      <c r="A4240" s="11">
        <v>15899.0</v>
      </c>
      <c r="B4240" s="11" t="s">
        <v>4250</v>
      </c>
      <c r="C4240" s="12">
        <v>19839.0</v>
      </c>
      <c r="D4240" s="11" t="str">
        <f t="shared" si="1"/>
        <v> </v>
      </c>
      <c r="E4240" s="11" t="str">
        <f t="shared" si="2"/>
        <v> </v>
      </c>
    </row>
    <row r="4241" ht="15.75" customHeight="1">
      <c r="A4241" s="11">
        <v>15900.0</v>
      </c>
      <c r="B4241" s="11" t="s">
        <v>4251</v>
      </c>
      <c r="C4241" s="12">
        <v>30175.0</v>
      </c>
      <c r="D4241" s="11" t="str">
        <f t="shared" si="1"/>
        <v> </v>
      </c>
      <c r="E4241" s="11" t="str">
        <f t="shared" si="2"/>
        <v> </v>
      </c>
    </row>
    <row r="4242" ht="15.75" customHeight="1">
      <c r="A4242" s="11">
        <v>15901.0</v>
      </c>
      <c r="B4242" s="11" t="s">
        <v>4252</v>
      </c>
      <c r="C4242" s="12">
        <v>21182.0</v>
      </c>
      <c r="D4242" s="11" t="str">
        <f t="shared" si="1"/>
        <v> </v>
      </c>
      <c r="E4242" s="11" t="str">
        <f t="shared" si="2"/>
        <v> </v>
      </c>
    </row>
    <row r="4243" ht="15.75" customHeight="1">
      <c r="A4243" s="11">
        <v>17145.0</v>
      </c>
      <c r="B4243" s="11" t="s">
        <v>4253</v>
      </c>
      <c r="C4243" s="12">
        <v>30612.0</v>
      </c>
      <c r="D4243" s="11" t="str">
        <f t="shared" si="1"/>
        <v> </v>
      </c>
      <c r="E4243" s="11" t="str">
        <f t="shared" si="2"/>
        <v>Repeat</v>
      </c>
    </row>
    <row r="4244" ht="15.75" customHeight="1">
      <c r="A4244" s="11">
        <v>15903.0</v>
      </c>
      <c r="B4244" s="11" t="s">
        <v>4254</v>
      </c>
      <c r="C4244" s="12">
        <v>16501.0</v>
      </c>
      <c r="D4244" s="11" t="str">
        <f t="shared" si="1"/>
        <v> </v>
      </c>
      <c r="E4244" s="11" t="str">
        <f t="shared" si="2"/>
        <v> </v>
      </c>
    </row>
    <row r="4245" ht="15.75" customHeight="1">
      <c r="A4245" s="11">
        <v>15905.0</v>
      </c>
      <c r="B4245" s="11" t="s">
        <v>4255</v>
      </c>
      <c r="C4245" s="12">
        <v>16698.0</v>
      </c>
      <c r="D4245" s="11" t="str">
        <f t="shared" si="1"/>
        <v> </v>
      </c>
      <c r="E4245" s="11" t="str">
        <f t="shared" si="2"/>
        <v> </v>
      </c>
    </row>
    <row r="4246" ht="15.75" customHeight="1">
      <c r="A4246" s="11">
        <v>15906.0</v>
      </c>
      <c r="B4246" s="11" t="s">
        <v>4256</v>
      </c>
      <c r="C4246" s="12">
        <v>19970.0</v>
      </c>
      <c r="D4246" s="11" t="str">
        <f t="shared" si="1"/>
        <v> </v>
      </c>
      <c r="E4246" s="11" t="str">
        <f t="shared" si="2"/>
        <v> </v>
      </c>
    </row>
    <row r="4247" ht="15.75" customHeight="1">
      <c r="A4247" s="11">
        <v>15907.0</v>
      </c>
      <c r="B4247" s="11" t="s">
        <v>826</v>
      </c>
      <c r="C4247" s="12">
        <v>31056.0</v>
      </c>
      <c r="D4247" s="11" t="str">
        <f t="shared" si="1"/>
        <v>Repeat</v>
      </c>
      <c r="E4247" s="11" t="str">
        <f t="shared" si="2"/>
        <v>Repeat</v>
      </c>
    </row>
    <row r="4248" ht="15.75" customHeight="1">
      <c r="A4248" s="11">
        <v>15909.0</v>
      </c>
      <c r="B4248" s="11" t="s">
        <v>4257</v>
      </c>
      <c r="C4248" s="12">
        <v>25674.0</v>
      </c>
      <c r="D4248" s="11" t="str">
        <f t="shared" si="1"/>
        <v> </v>
      </c>
      <c r="E4248" s="11" t="str">
        <f t="shared" si="2"/>
        <v> </v>
      </c>
    </row>
    <row r="4249" ht="15.75" customHeight="1">
      <c r="A4249" s="11">
        <v>15910.0</v>
      </c>
      <c r="B4249" s="11" t="s">
        <v>4258</v>
      </c>
      <c r="C4249" s="12">
        <v>23715.0</v>
      </c>
      <c r="D4249" s="11" t="str">
        <f t="shared" si="1"/>
        <v> </v>
      </c>
      <c r="E4249" s="11" t="str">
        <f t="shared" si="2"/>
        <v> </v>
      </c>
    </row>
    <row r="4250" ht="15.75" customHeight="1">
      <c r="A4250" s="11">
        <v>15911.0</v>
      </c>
      <c r="B4250" s="11" t="s">
        <v>4259</v>
      </c>
      <c r="C4250" s="12">
        <v>29976.0</v>
      </c>
      <c r="D4250" s="11" t="str">
        <f t="shared" si="1"/>
        <v> </v>
      </c>
      <c r="E4250" s="11" t="str">
        <f t="shared" si="2"/>
        <v> </v>
      </c>
    </row>
    <row r="4251" ht="15.75" customHeight="1">
      <c r="A4251" s="11">
        <v>15912.0</v>
      </c>
      <c r="B4251" s="11" t="s">
        <v>4260</v>
      </c>
      <c r="C4251" s="12">
        <v>25747.0</v>
      </c>
      <c r="D4251" s="11" t="str">
        <f t="shared" si="1"/>
        <v> </v>
      </c>
      <c r="E4251" s="11" t="str">
        <f t="shared" si="2"/>
        <v> </v>
      </c>
    </row>
    <row r="4252" ht="15.75" customHeight="1">
      <c r="A4252" s="11">
        <v>15913.0</v>
      </c>
      <c r="B4252" s="11" t="s">
        <v>4261</v>
      </c>
      <c r="C4252" s="12">
        <v>22185.0</v>
      </c>
      <c r="D4252" s="11" t="str">
        <f t="shared" si="1"/>
        <v> </v>
      </c>
      <c r="E4252" s="11" t="str">
        <f t="shared" si="2"/>
        <v> </v>
      </c>
    </row>
    <row r="4253" ht="15.75" customHeight="1">
      <c r="A4253" s="11">
        <v>15914.0</v>
      </c>
      <c r="B4253" s="11" t="s">
        <v>4262</v>
      </c>
      <c r="C4253" s="12">
        <v>21149.0</v>
      </c>
      <c r="D4253" s="11" t="str">
        <f t="shared" si="1"/>
        <v> </v>
      </c>
      <c r="E4253" s="11" t="str">
        <f t="shared" si="2"/>
        <v> </v>
      </c>
    </row>
    <row r="4254" ht="15.75" customHeight="1">
      <c r="A4254" s="11">
        <v>15915.0</v>
      </c>
      <c r="B4254" s="11" t="s">
        <v>4263</v>
      </c>
      <c r="C4254" s="12">
        <v>17170.0</v>
      </c>
      <c r="D4254" s="11" t="str">
        <f t="shared" si="1"/>
        <v> </v>
      </c>
      <c r="E4254" s="11" t="str">
        <f t="shared" si="2"/>
        <v> </v>
      </c>
    </row>
    <row r="4255" ht="15.75" customHeight="1">
      <c r="A4255" s="11">
        <v>15916.0</v>
      </c>
      <c r="B4255" s="11" t="s">
        <v>4264</v>
      </c>
      <c r="C4255" s="12">
        <v>24736.0</v>
      </c>
      <c r="D4255" s="11" t="str">
        <f t="shared" si="1"/>
        <v> </v>
      </c>
      <c r="E4255" s="11" t="str">
        <f t="shared" si="2"/>
        <v> </v>
      </c>
    </row>
    <row r="4256" ht="15.75" customHeight="1">
      <c r="A4256" s="11">
        <v>15917.0</v>
      </c>
      <c r="B4256" s="11" t="s">
        <v>4265</v>
      </c>
      <c r="C4256" s="12">
        <v>21456.0</v>
      </c>
      <c r="D4256" s="11" t="str">
        <f t="shared" si="1"/>
        <v> </v>
      </c>
      <c r="E4256" s="11" t="str">
        <f t="shared" si="2"/>
        <v> </v>
      </c>
    </row>
    <row r="4257" ht="15.75" customHeight="1">
      <c r="A4257" s="11">
        <v>15918.0</v>
      </c>
      <c r="B4257" s="11" t="s">
        <v>4266</v>
      </c>
      <c r="C4257" s="12">
        <v>19725.0</v>
      </c>
      <c r="D4257" s="11" t="str">
        <f t="shared" si="1"/>
        <v> </v>
      </c>
      <c r="E4257" s="11" t="str">
        <f t="shared" si="2"/>
        <v> </v>
      </c>
    </row>
    <row r="4258" ht="15.75" customHeight="1">
      <c r="A4258" s="11">
        <v>15919.0</v>
      </c>
      <c r="B4258" s="11" t="s">
        <v>4267</v>
      </c>
      <c r="C4258" s="12">
        <v>20627.0</v>
      </c>
      <c r="D4258" s="11" t="str">
        <f t="shared" si="1"/>
        <v> </v>
      </c>
      <c r="E4258" s="11" t="str">
        <f t="shared" si="2"/>
        <v> </v>
      </c>
    </row>
    <row r="4259" ht="15.75" customHeight="1">
      <c r="A4259" s="11">
        <v>15920.0</v>
      </c>
      <c r="B4259" s="11" t="s">
        <v>4268</v>
      </c>
      <c r="C4259" s="12">
        <v>26799.0</v>
      </c>
      <c r="D4259" s="11" t="str">
        <f t="shared" si="1"/>
        <v> </v>
      </c>
      <c r="E4259" s="11" t="str">
        <f t="shared" si="2"/>
        <v> </v>
      </c>
    </row>
    <row r="4260" ht="15.75" customHeight="1">
      <c r="A4260" s="11">
        <v>15921.0</v>
      </c>
      <c r="B4260" s="11" t="s">
        <v>4269</v>
      </c>
      <c r="C4260" s="12">
        <v>11537.0</v>
      </c>
      <c r="D4260" s="11" t="str">
        <f t="shared" si="1"/>
        <v> </v>
      </c>
      <c r="E4260" s="11" t="str">
        <f t="shared" si="2"/>
        <v> </v>
      </c>
    </row>
    <row r="4261" ht="15.75" customHeight="1">
      <c r="A4261" s="11">
        <v>15922.0</v>
      </c>
      <c r="B4261" s="11" t="s">
        <v>4270</v>
      </c>
      <c r="C4261" s="12">
        <v>22489.0</v>
      </c>
      <c r="D4261" s="11" t="str">
        <f t="shared" si="1"/>
        <v> </v>
      </c>
      <c r="E4261" s="11" t="str">
        <f t="shared" si="2"/>
        <v> </v>
      </c>
    </row>
    <row r="4262" ht="15.75" customHeight="1">
      <c r="A4262" s="11">
        <v>15923.0</v>
      </c>
      <c r="B4262" s="11" t="s">
        <v>4271</v>
      </c>
      <c r="C4262" s="12">
        <v>23037.0</v>
      </c>
      <c r="D4262" s="11" t="str">
        <f t="shared" si="1"/>
        <v>Repeat</v>
      </c>
      <c r="E4262" s="11" t="str">
        <f t="shared" si="2"/>
        <v> </v>
      </c>
    </row>
    <row r="4263" ht="15.75" customHeight="1">
      <c r="A4263" s="11">
        <v>15924.0</v>
      </c>
      <c r="B4263" s="11" t="s">
        <v>4272</v>
      </c>
      <c r="C4263" s="12">
        <v>17518.0</v>
      </c>
      <c r="D4263" s="11" t="str">
        <f t="shared" si="1"/>
        <v>Repeat</v>
      </c>
      <c r="E4263" s="11" t="str">
        <f t="shared" si="2"/>
        <v> </v>
      </c>
    </row>
    <row r="4264" ht="15.75" customHeight="1">
      <c r="A4264" s="11">
        <v>15925.0</v>
      </c>
      <c r="B4264" s="11" t="s">
        <v>4273</v>
      </c>
      <c r="C4264" s="12">
        <v>14629.0</v>
      </c>
      <c r="D4264" s="11" t="str">
        <f t="shared" si="1"/>
        <v> </v>
      </c>
      <c r="E4264" s="11" t="str">
        <f t="shared" si="2"/>
        <v> </v>
      </c>
    </row>
    <row r="4265" ht="15.75" customHeight="1">
      <c r="A4265" s="11">
        <v>15927.0</v>
      </c>
      <c r="B4265" s="11" t="s">
        <v>4274</v>
      </c>
      <c r="C4265" s="12">
        <v>15573.0</v>
      </c>
      <c r="D4265" s="11" t="str">
        <f t="shared" si="1"/>
        <v> </v>
      </c>
      <c r="E4265" s="11" t="str">
        <f t="shared" si="2"/>
        <v> </v>
      </c>
    </row>
    <row r="4266" ht="15.75" customHeight="1">
      <c r="A4266" s="11">
        <v>15928.0</v>
      </c>
      <c r="B4266" s="11" t="s">
        <v>4275</v>
      </c>
      <c r="C4266" s="12">
        <v>36660.0</v>
      </c>
      <c r="D4266" s="11" t="str">
        <f t="shared" si="1"/>
        <v> </v>
      </c>
      <c r="E4266" s="11" t="str">
        <f t="shared" si="2"/>
        <v> </v>
      </c>
    </row>
    <row r="4267" ht="15.75" customHeight="1">
      <c r="A4267" s="11">
        <v>15929.0</v>
      </c>
      <c r="B4267" s="11" t="s">
        <v>4276</v>
      </c>
      <c r="C4267" s="12">
        <v>20076.0</v>
      </c>
      <c r="D4267" s="11" t="str">
        <f t="shared" si="1"/>
        <v> </v>
      </c>
      <c r="E4267" s="11" t="str">
        <f t="shared" si="2"/>
        <v> </v>
      </c>
    </row>
    <row r="4268" ht="15.75" customHeight="1">
      <c r="A4268" s="11">
        <v>15930.0</v>
      </c>
      <c r="B4268" s="11" t="s">
        <v>4277</v>
      </c>
      <c r="C4268" s="12">
        <v>21359.0</v>
      </c>
      <c r="D4268" s="11" t="str">
        <f t="shared" si="1"/>
        <v> </v>
      </c>
      <c r="E4268" s="11" t="str">
        <f t="shared" si="2"/>
        <v> </v>
      </c>
    </row>
    <row r="4269" ht="15.75" customHeight="1">
      <c r="A4269" s="11">
        <v>15932.0</v>
      </c>
      <c r="B4269" s="11" t="s">
        <v>4278</v>
      </c>
      <c r="C4269" s="12">
        <v>30249.0</v>
      </c>
      <c r="D4269" s="11" t="str">
        <f t="shared" si="1"/>
        <v> </v>
      </c>
      <c r="E4269" s="11" t="str">
        <f t="shared" si="2"/>
        <v> </v>
      </c>
    </row>
    <row r="4270" ht="15.75" customHeight="1">
      <c r="A4270" s="11">
        <v>15933.0</v>
      </c>
      <c r="B4270" s="11" t="s">
        <v>4279</v>
      </c>
      <c r="C4270" s="12">
        <v>25810.0</v>
      </c>
      <c r="D4270" s="11" t="str">
        <f t="shared" si="1"/>
        <v> </v>
      </c>
      <c r="E4270" s="11" t="str">
        <f t="shared" si="2"/>
        <v> </v>
      </c>
    </row>
    <row r="4271" ht="15.75" customHeight="1">
      <c r="A4271" s="11">
        <v>15934.0</v>
      </c>
      <c r="B4271" s="11" t="s">
        <v>4280</v>
      </c>
      <c r="C4271" s="12">
        <v>24135.0</v>
      </c>
      <c r="D4271" s="11" t="str">
        <f t="shared" si="1"/>
        <v> </v>
      </c>
      <c r="E4271" s="11" t="str">
        <f t="shared" si="2"/>
        <v> </v>
      </c>
    </row>
    <row r="4272" ht="15.75" customHeight="1">
      <c r="A4272" s="11">
        <v>15935.0</v>
      </c>
      <c r="B4272" s="11" t="s">
        <v>4281</v>
      </c>
      <c r="C4272" s="12">
        <v>27015.0</v>
      </c>
      <c r="D4272" s="11" t="str">
        <f t="shared" si="1"/>
        <v> </v>
      </c>
      <c r="E4272" s="11" t="str">
        <f t="shared" si="2"/>
        <v> </v>
      </c>
    </row>
    <row r="4273" ht="15.75" customHeight="1">
      <c r="A4273" s="11">
        <v>15936.0</v>
      </c>
      <c r="B4273" s="11" t="s">
        <v>4282</v>
      </c>
      <c r="C4273" s="12">
        <v>28162.0</v>
      </c>
      <c r="D4273" s="11" t="str">
        <f t="shared" si="1"/>
        <v> </v>
      </c>
      <c r="E4273" s="11" t="str">
        <f t="shared" si="2"/>
        <v> </v>
      </c>
    </row>
    <row r="4274" ht="15.75" customHeight="1">
      <c r="A4274" s="11">
        <v>15937.0</v>
      </c>
      <c r="B4274" s="11" t="s">
        <v>4283</v>
      </c>
      <c r="C4274" s="12">
        <v>19598.0</v>
      </c>
      <c r="D4274" s="11" t="str">
        <f t="shared" si="1"/>
        <v> </v>
      </c>
      <c r="E4274" s="11" t="str">
        <f t="shared" si="2"/>
        <v> </v>
      </c>
    </row>
    <row r="4275" ht="15.75" customHeight="1">
      <c r="A4275" s="11">
        <v>15938.0</v>
      </c>
      <c r="B4275" s="11" t="s">
        <v>4284</v>
      </c>
      <c r="C4275" s="12">
        <v>24547.0</v>
      </c>
      <c r="D4275" s="11" t="str">
        <f t="shared" si="1"/>
        <v> </v>
      </c>
      <c r="E4275" s="11" t="str">
        <f t="shared" si="2"/>
        <v> </v>
      </c>
    </row>
    <row r="4276" ht="15.75" customHeight="1">
      <c r="A4276" s="11">
        <v>15939.0</v>
      </c>
      <c r="B4276" s="11" t="s">
        <v>4285</v>
      </c>
      <c r="C4276" s="12">
        <v>24219.0</v>
      </c>
      <c r="D4276" s="11" t="str">
        <f t="shared" si="1"/>
        <v> </v>
      </c>
      <c r="E4276" s="11" t="str">
        <f t="shared" si="2"/>
        <v> </v>
      </c>
    </row>
    <row r="4277" ht="15.75" customHeight="1">
      <c r="A4277" s="11">
        <v>15940.0</v>
      </c>
      <c r="B4277" s="11" t="s">
        <v>4286</v>
      </c>
      <c r="C4277" s="12">
        <v>22109.0</v>
      </c>
      <c r="D4277" s="11" t="str">
        <f t="shared" si="1"/>
        <v> </v>
      </c>
      <c r="E4277" s="11" t="str">
        <f t="shared" si="2"/>
        <v> </v>
      </c>
    </row>
    <row r="4278" ht="15.75" customHeight="1">
      <c r="A4278" s="11">
        <v>15941.0</v>
      </c>
      <c r="B4278" s="11" t="s">
        <v>4287</v>
      </c>
      <c r="C4278" s="12">
        <v>24920.0</v>
      </c>
      <c r="D4278" s="11" t="str">
        <f t="shared" si="1"/>
        <v> </v>
      </c>
      <c r="E4278" s="11" t="str">
        <f t="shared" si="2"/>
        <v> </v>
      </c>
    </row>
    <row r="4279" ht="15.75" customHeight="1">
      <c r="A4279" s="11">
        <v>15942.0</v>
      </c>
      <c r="B4279" s="11" t="s">
        <v>4288</v>
      </c>
      <c r="C4279" s="12">
        <v>20598.0</v>
      </c>
      <c r="D4279" s="11" t="str">
        <f t="shared" si="1"/>
        <v> </v>
      </c>
      <c r="E4279" s="11" t="str">
        <f t="shared" si="2"/>
        <v> </v>
      </c>
    </row>
    <row r="4280" ht="15.75" customHeight="1">
      <c r="A4280" s="11">
        <v>15944.0</v>
      </c>
      <c r="B4280" s="11" t="s">
        <v>4289</v>
      </c>
      <c r="C4280" s="12">
        <v>19557.0</v>
      </c>
      <c r="D4280" s="11" t="str">
        <f t="shared" si="1"/>
        <v> </v>
      </c>
      <c r="E4280" s="11" t="str">
        <f t="shared" si="2"/>
        <v> </v>
      </c>
    </row>
    <row r="4281" ht="15.75" customHeight="1">
      <c r="A4281" s="11">
        <v>15945.0</v>
      </c>
      <c r="B4281" s="11" t="s">
        <v>4290</v>
      </c>
      <c r="C4281" s="12">
        <v>37089.0</v>
      </c>
      <c r="D4281" s="11" t="str">
        <f t="shared" si="1"/>
        <v> </v>
      </c>
      <c r="E4281" s="11" t="str">
        <f t="shared" si="2"/>
        <v> </v>
      </c>
    </row>
    <row r="4282" ht="15.75" customHeight="1">
      <c r="A4282" s="11">
        <v>15947.0</v>
      </c>
      <c r="B4282" s="11" t="s">
        <v>1123</v>
      </c>
      <c r="C4282" s="12">
        <v>28885.0</v>
      </c>
      <c r="D4282" s="11" t="str">
        <f t="shared" si="1"/>
        <v>Repeat</v>
      </c>
      <c r="E4282" s="11" t="str">
        <f t="shared" si="2"/>
        <v> </v>
      </c>
    </row>
    <row r="4283" ht="15.75" customHeight="1">
      <c r="A4283" s="11">
        <v>15948.0</v>
      </c>
      <c r="B4283" s="11" t="s">
        <v>815</v>
      </c>
      <c r="C4283" s="12">
        <v>20139.0</v>
      </c>
      <c r="D4283" s="11" t="str">
        <f t="shared" si="1"/>
        <v>Repeat</v>
      </c>
      <c r="E4283" s="11" t="str">
        <f t="shared" si="2"/>
        <v> </v>
      </c>
    </row>
    <row r="4284" ht="15.75" customHeight="1">
      <c r="A4284" s="11">
        <v>15949.0</v>
      </c>
      <c r="B4284" s="11" t="s">
        <v>4291</v>
      </c>
      <c r="C4284" s="12">
        <v>28112.0</v>
      </c>
      <c r="D4284" s="11" t="str">
        <f t="shared" si="1"/>
        <v> </v>
      </c>
      <c r="E4284" s="11" t="str">
        <f t="shared" si="2"/>
        <v> </v>
      </c>
    </row>
    <row r="4285" ht="15.75" customHeight="1">
      <c r="A4285" s="11">
        <v>15950.0</v>
      </c>
      <c r="B4285" s="11" t="s">
        <v>4292</v>
      </c>
      <c r="C4285" s="12">
        <v>15456.0</v>
      </c>
      <c r="D4285" s="11" t="str">
        <f t="shared" si="1"/>
        <v> </v>
      </c>
      <c r="E4285" s="11" t="str">
        <f t="shared" si="2"/>
        <v> </v>
      </c>
    </row>
    <row r="4286" ht="15.75" customHeight="1">
      <c r="A4286" s="11">
        <v>15951.0</v>
      </c>
      <c r="B4286" s="11" t="s">
        <v>4293</v>
      </c>
      <c r="C4286" s="12">
        <v>31987.0</v>
      </c>
      <c r="D4286" s="11" t="str">
        <f t="shared" si="1"/>
        <v> </v>
      </c>
      <c r="E4286" s="11" t="str">
        <f t="shared" si="2"/>
        <v> </v>
      </c>
    </row>
    <row r="4287" ht="15.75" customHeight="1">
      <c r="A4287" s="11">
        <v>15952.0</v>
      </c>
      <c r="B4287" s="11" t="s">
        <v>4294</v>
      </c>
      <c r="C4287" s="12">
        <v>21231.0</v>
      </c>
      <c r="D4287" s="11" t="str">
        <f t="shared" si="1"/>
        <v> </v>
      </c>
      <c r="E4287" s="11" t="str">
        <f t="shared" si="2"/>
        <v> </v>
      </c>
    </row>
    <row r="4288" ht="15.75" customHeight="1">
      <c r="A4288" s="11">
        <v>15953.0</v>
      </c>
      <c r="B4288" s="11" t="s">
        <v>4295</v>
      </c>
      <c r="C4288" s="12">
        <v>29255.0</v>
      </c>
      <c r="D4288" s="11" t="str">
        <f t="shared" si="1"/>
        <v> </v>
      </c>
      <c r="E4288" s="11" t="str">
        <f t="shared" si="2"/>
        <v> </v>
      </c>
    </row>
    <row r="4289" ht="15.75" customHeight="1">
      <c r="A4289" s="11">
        <v>15954.0</v>
      </c>
      <c r="B4289" s="11" t="s">
        <v>4296</v>
      </c>
      <c r="C4289" s="12">
        <v>24854.0</v>
      </c>
      <c r="D4289" s="11" t="str">
        <f t="shared" si="1"/>
        <v> </v>
      </c>
      <c r="E4289" s="11" t="str">
        <f t="shared" si="2"/>
        <v> </v>
      </c>
    </row>
    <row r="4290" ht="15.75" customHeight="1">
      <c r="A4290" s="11">
        <v>15955.0</v>
      </c>
      <c r="B4290" s="11" t="s">
        <v>4297</v>
      </c>
      <c r="C4290" s="12">
        <v>24783.0</v>
      </c>
      <c r="D4290" s="11" t="str">
        <f t="shared" si="1"/>
        <v> </v>
      </c>
      <c r="E4290" s="11" t="str">
        <f t="shared" si="2"/>
        <v> </v>
      </c>
    </row>
    <row r="4291" ht="15.75" customHeight="1">
      <c r="A4291" s="11">
        <v>15956.0</v>
      </c>
      <c r="B4291" s="11" t="s">
        <v>4298</v>
      </c>
      <c r="C4291" s="12">
        <v>22910.0</v>
      </c>
      <c r="D4291" s="11" t="str">
        <f t="shared" si="1"/>
        <v> </v>
      </c>
      <c r="E4291" s="11" t="str">
        <f t="shared" si="2"/>
        <v> </v>
      </c>
    </row>
    <row r="4292" ht="15.75" customHeight="1">
      <c r="A4292" s="11">
        <v>15957.0</v>
      </c>
      <c r="B4292" s="11" t="s">
        <v>4299</v>
      </c>
      <c r="C4292" s="12">
        <v>23525.0</v>
      </c>
      <c r="D4292" s="11" t="str">
        <f t="shared" si="1"/>
        <v> </v>
      </c>
      <c r="E4292" s="11" t="str">
        <f t="shared" si="2"/>
        <v> </v>
      </c>
    </row>
    <row r="4293" ht="15.75" customHeight="1">
      <c r="A4293" s="11">
        <v>15958.0</v>
      </c>
      <c r="B4293" s="11" t="s">
        <v>4300</v>
      </c>
      <c r="C4293" s="12">
        <v>34555.0</v>
      </c>
      <c r="D4293" s="11" t="str">
        <f t="shared" si="1"/>
        <v> </v>
      </c>
      <c r="E4293" s="11" t="str">
        <f t="shared" si="2"/>
        <v> </v>
      </c>
    </row>
    <row r="4294" ht="15.75" customHeight="1">
      <c r="A4294" s="11">
        <v>15960.0</v>
      </c>
      <c r="B4294" s="11" t="s">
        <v>4301</v>
      </c>
      <c r="C4294" s="12">
        <v>25647.0</v>
      </c>
      <c r="D4294" s="11" t="str">
        <f t="shared" si="1"/>
        <v> </v>
      </c>
      <c r="E4294" s="11" t="str">
        <f t="shared" si="2"/>
        <v> </v>
      </c>
    </row>
    <row r="4295" ht="15.75" customHeight="1">
      <c r="A4295" s="11">
        <v>15961.0</v>
      </c>
      <c r="B4295" s="11" t="s">
        <v>4302</v>
      </c>
      <c r="C4295" s="12">
        <v>16557.0</v>
      </c>
      <c r="D4295" s="11" t="str">
        <f t="shared" si="1"/>
        <v> </v>
      </c>
      <c r="E4295" s="11" t="str">
        <f t="shared" si="2"/>
        <v> </v>
      </c>
    </row>
    <row r="4296" ht="15.75" customHeight="1">
      <c r="A4296" s="11">
        <v>15962.0</v>
      </c>
      <c r="B4296" s="11" t="s">
        <v>4303</v>
      </c>
      <c r="C4296" s="12">
        <v>15921.0</v>
      </c>
      <c r="D4296" s="11" t="str">
        <f t="shared" si="1"/>
        <v> </v>
      </c>
      <c r="E4296" s="11" t="str">
        <f t="shared" si="2"/>
        <v> </v>
      </c>
    </row>
    <row r="4297" ht="15.75" customHeight="1">
      <c r="A4297" s="11">
        <v>15965.0</v>
      </c>
      <c r="B4297" s="11" t="s">
        <v>4304</v>
      </c>
      <c r="C4297" s="12">
        <v>19883.0</v>
      </c>
      <c r="D4297" s="11" t="str">
        <f t="shared" si="1"/>
        <v> </v>
      </c>
      <c r="E4297" s="11" t="str">
        <f t="shared" si="2"/>
        <v> </v>
      </c>
    </row>
    <row r="4298" ht="15.75" customHeight="1">
      <c r="A4298" s="11">
        <v>15966.0</v>
      </c>
      <c r="B4298" s="11" t="s">
        <v>4305</v>
      </c>
      <c r="C4298" s="12">
        <v>17152.0</v>
      </c>
      <c r="D4298" s="11" t="str">
        <f t="shared" si="1"/>
        <v> </v>
      </c>
      <c r="E4298" s="11" t="str">
        <f t="shared" si="2"/>
        <v> </v>
      </c>
    </row>
    <row r="4299" ht="15.75" customHeight="1">
      <c r="A4299" s="11">
        <v>15967.0</v>
      </c>
      <c r="B4299" s="11" t="s">
        <v>4306</v>
      </c>
      <c r="C4299" s="12">
        <v>26232.0</v>
      </c>
      <c r="D4299" s="11" t="str">
        <f t="shared" si="1"/>
        <v> </v>
      </c>
      <c r="E4299" s="11" t="str">
        <f t="shared" si="2"/>
        <v> </v>
      </c>
    </row>
    <row r="4300" ht="15.75" customHeight="1">
      <c r="A4300" s="11">
        <v>15968.0</v>
      </c>
      <c r="B4300" s="11" t="s">
        <v>4307</v>
      </c>
      <c r="C4300" s="12">
        <v>23518.0</v>
      </c>
      <c r="D4300" s="11" t="str">
        <f t="shared" si="1"/>
        <v> </v>
      </c>
      <c r="E4300" s="11" t="str">
        <f t="shared" si="2"/>
        <v> </v>
      </c>
    </row>
    <row r="4301" ht="15.75" customHeight="1">
      <c r="A4301" s="11">
        <v>15969.0</v>
      </c>
      <c r="B4301" s="11" t="s">
        <v>4308</v>
      </c>
      <c r="C4301" s="12">
        <v>28460.0</v>
      </c>
      <c r="D4301" s="11" t="str">
        <f t="shared" si="1"/>
        <v> </v>
      </c>
      <c r="E4301" s="11" t="str">
        <f t="shared" si="2"/>
        <v> </v>
      </c>
    </row>
    <row r="4302" ht="15.75" customHeight="1">
      <c r="A4302" s="11">
        <v>15970.0</v>
      </c>
      <c r="B4302" s="11" t="s">
        <v>4309</v>
      </c>
      <c r="C4302" s="12">
        <v>36213.0</v>
      </c>
      <c r="D4302" s="11" t="str">
        <f t="shared" si="1"/>
        <v> </v>
      </c>
      <c r="E4302" s="11" t="str">
        <f t="shared" si="2"/>
        <v> </v>
      </c>
    </row>
    <row r="4303" ht="15.75" customHeight="1">
      <c r="A4303" s="11">
        <v>15971.0</v>
      </c>
      <c r="B4303" s="11" t="s">
        <v>4310</v>
      </c>
      <c r="C4303" s="12">
        <v>26266.0</v>
      </c>
      <c r="D4303" s="11" t="str">
        <f t="shared" si="1"/>
        <v> </v>
      </c>
      <c r="E4303" s="11" t="str">
        <f t="shared" si="2"/>
        <v> </v>
      </c>
    </row>
    <row r="4304" ht="15.75" customHeight="1">
      <c r="A4304" s="11">
        <v>15972.0</v>
      </c>
      <c r="B4304" s="11" t="s">
        <v>4311</v>
      </c>
      <c r="C4304" s="12">
        <v>22825.0</v>
      </c>
      <c r="D4304" s="11" t="str">
        <f t="shared" si="1"/>
        <v> </v>
      </c>
      <c r="E4304" s="11" t="str">
        <f t="shared" si="2"/>
        <v> </v>
      </c>
    </row>
    <row r="4305" ht="15.75" customHeight="1">
      <c r="A4305" s="11">
        <v>15973.0</v>
      </c>
      <c r="B4305" s="11" t="s">
        <v>4312</v>
      </c>
      <c r="C4305" s="12">
        <v>12838.0</v>
      </c>
      <c r="D4305" s="11" t="str">
        <f t="shared" si="1"/>
        <v> </v>
      </c>
      <c r="E4305" s="11" t="str">
        <f t="shared" si="2"/>
        <v> </v>
      </c>
    </row>
    <row r="4306" ht="15.75" customHeight="1">
      <c r="A4306" s="11">
        <v>15974.0</v>
      </c>
      <c r="B4306" s="11" t="s">
        <v>4313</v>
      </c>
      <c r="C4306" s="12">
        <v>22730.0</v>
      </c>
      <c r="D4306" s="11" t="str">
        <f t="shared" si="1"/>
        <v> </v>
      </c>
      <c r="E4306" s="11" t="str">
        <f t="shared" si="2"/>
        <v> </v>
      </c>
    </row>
    <row r="4307" ht="15.75" customHeight="1">
      <c r="A4307" s="11">
        <v>15975.0</v>
      </c>
      <c r="B4307" s="11" t="s">
        <v>4314</v>
      </c>
      <c r="C4307" s="12">
        <v>13427.0</v>
      </c>
      <c r="D4307" s="11" t="str">
        <f t="shared" si="1"/>
        <v> </v>
      </c>
      <c r="E4307" s="11" t="str">
        <f t="shared" si="2"/>
        <v> </v>
      </c>
    </row>
    <row r="4308" ht="15.75" customHeight="1">
      <c r="A4308" s="11">
        <v>15976.0</v>
      </c>
      <c r="B4308" s="11" t="s">
        <v>4315</v>
      </c>
      <c r="C4308" s="12">
        <v>18920.0</v>
      </c>
      <c r="D4308" s="11" t="str">
        <f t="shared" si="1"/>
        <v> </v>
      </c>
      <c r="E4308" s="11" t="str">
        <f t="shared" si="2"/>
        <v> </v>
      </c>
    </row>
    <row r="4309" ht="15.75" customHeight="1">
      <c r="A4309" s="11">
        <v>15977.0</v>
      </c>
      <c r="B4309" s="11" t="s">
        <v>4316</v>
      </c>
      <c r="C4309" s="12">
        <v>26952.0</v>
      </c>
      <c r="D4309" s="11" t="str">
        <f t="shared" si="1"/>
        <v>Repeat</v>
      </c>
      <c r="E4309" s="11" t="str">
        <f t="shared" si="2"/>
        <v> </v>
      </c>
    </row>
    <row r="4310" ht="15.75" customHeight="1">
      <c r="A4310" s="11">
        <v>15978.0</v>
      </c>
      <c r="B4310" s="11" t="s">
        <v>4317</v>
      </c>
      <c r="C4310" s="12">
        <v>14351.0</v>
      </c>
      <c r="D4310" s="11" t="str">
        <f t="shared" si="1"/>
        <v> </v>
      </c>
      <c r="E4310" s="11" t="str">
        <f t="shared" si="2"/>
        <v> </v>
      </c>
    </row>
    <row r="4311" ht="15.75" customHeight="1">
      <c r="A4311" s="11">
        <v>15979.0</v>
      </c>
      <c r="B4311" s="11" t="s">
        <v>4318</v>
      </c>
      <c r="C4311" s="12">
        <v>22579.0</v>
      </c>
      <c r="D4311" s="11" t="str">
        <f t="shared" si="1"/>
        <v> </v>
      </c>
      <c r="E4311" s="11" t="str">
        <f t="shared" si="2"/>
        <v> </v>
      </c>
    </row>
    <row r="4312" ht="15.75" customHeight="1">
      <c r="A4312" s="11">
        <v>15980.0</v>
      </c>
      <c r="B4312" s="11" t="s">
        <v>4319</v>
      </c>
      <c r="C4312" s="12">
        <v>31213.0</v>
      </c>
      <c r="D4312" s="11" t="str">
        <f t="shared" si="1"/>
        <v> </v>
      </c>
      <c r="E4312" s="11" t="str">
        <f t="shared" si="2"/>
        <v> </v>
      </c>
    </row>
    <row r="4313" ht="15.75" customHeight="1">
      <c r="A4313" s="11">
        <v>15981.0</v>
      </c>
      <c r="B4313" s="11" t="s">
        <v>4320</v>
      </c>
      <c r="C4313" s="12">
        <v>26840.0</v>
      </c>
      <c r="D4313" s="11" t="str">
        <f t="shared" si="1"/>
        <v> </v>
      </c>
      <c r="E4313" s="11" t="str">
        <f t="shared" si="2"/>
        <v> </v>
      </c>
    </row>
    <row r="4314" ht="15.75" customHeight="1">
      <c r="A4314" s="11">
        <v>15982.0</v>
      </c>
      <c r="B4314" s="11" t="s">
        <v>4321</v>
      </c>
      <c r="C4314" s="12">
        <v>27245.0</v>
      </c>
      <c r="D4314" s="11" t="str">
        <f t="shared" si="1"/>
        <v> </v>
      </c>
      <c r="E4314" s="11" t="str">
        <f t="shared" si="2"/>
        <v> </v>
      </c>
    </row>
    <row r="4315" ht="15.75" customHeight="1">
      <c r="A4315" s="11">
        <v>15984.0</v>
      </c>
      <c r="B4315" s="11" t="s">
        <v>4322</v>
      </c>
      <c r="C4315" s="12">
        <v>26822.0</v>
      </c>
      <c r="D4315" s="11" t="str">
        <f t="shared" si="1"/>
        <v> </v>
      </c>
      <c r="E4315" s="11" t="str">
        <f t="shared" si="2"/>
        <v> </v>
      </c>
    </row>
    <row r="4316" ht="15.75" customHeight="1">
      <c r="A4316" s="11">
        <v>15985.0</v>
      </c>
      <c r="B4316" s="11" t="s">
        <v>4323</v>
      </c>
      <c r="C4316" s="12">
        <v>23574.0</v>
      </c>
      <c r="D4316" s="11" t="str">
        <f t="shared" si="1"/>
        <v> </v>
      </c>
      <c r="E4316" s="11" t="str">
        <f t="shared" si="2"/>
        <v> </v>
      </c>
    </row>
    <row r="4317" ht="15.75" customHeight="1">
      <c r="A4317" s="11">
        <v>15986.0</v>
      </c>
      <c r="B4317" s="11" t="s">
        <v>4324</v>
      </c>
      <c r="C4317" s="12">
        <v>25376.0</v>
      </c>
      <c r="D4317" s="11" t="str">
        <f t="shared" si="1"/>
        <v> </v>
      </c>
      <c r="E4317" s="11" t="str">
        <f t="shared" si="2"/>
        <v> </v>
      </c>
    </row>
    <row r="4318" ht="15.75" customHeight="1">
      <c r="A4318" s="11">
        <v>15987.0</v>
      </c>
      <c r="B4318" s="11" t="s">
        <v>4325</v>
      </c>
      <c r="C4318" s="12">
        <v>17734.0</v>
      </c>
      <c r="D4318" s="11" t="str">
        <f t="shared" si="1"/>
        <v> </v>
      </c>
      <c r="E4318" s="11" t="str">
        <f t="shared" si="2"/>
        <v> </v>
      </c>
    </row>
    <row r="4319" ht="15.75" customHeight="1">
      <c r="A4319" s="11">
        <v>15988.0</v>
      </c>
      <c r="B4319" s="11" t="s">
        <v>4326</v>
      </c>
      <c r="C4319" s="12">
        <v>17400.0</v>
      </c>
      <c r="D4319" s="11" t="str">
        <f t="shared" si="1"/>
        <v> </v>
      </c>
      <c r="E4319" s="11" t="str">
        <f t="shared" si="2"/>
        <v> </v>
      </c>
    </row>
    <row r="4320" ht="15.75" customHeight="1">
      <c r="A4320" s="11">
        <v>15989.0</v>
      </c>
      <c r="B4320" s="11" t="s">
        <v>4327</v>
      </c>
      <c r="C4320" s="12">
        <v>30622.0</v>
      </c>
      <c r="D4320" s="11" t="str">
        <f t="shared" si="1"/>
        <v> </v>
      </c>
      <c r="E4320" s="11" t="str">
        <f t="shared" si="2"/>
        <v> </v>
      </c>
    </row>
    <row r="4321" ht="15.75" customHeight="1">
      <c r="A4321" s="11">
        <v>15990.0</v>
      </c>
      <c r="B4321" s="11" t="s">
        <v>4328</v>
      </c>
      <c r="C4321" s="12">
        <v>22405.0</v>
      </c>
      <c r="D4321" s="11" t="str">
        <f t="shared" si="1"/>
        <v> </v>
      </c>
      <c r="E4321" s="11" t="str">
        <f t="shared" si="2"/>
        <v> </v>
      </c>
    </row>
    <row r="4322" ht="15.75" customHeight="1">
      <c r="A4322" s="11">
        <v>15992.0</v>
      </c>
      <c r="B4322" s="11" t="s">
        <v>4329</v>
      </c>
      <c r="C4322" s="12">
        <v>17715.0</v>
      </c>
      <c r="D4322" s="11" t="str">
        <f t="shared" si="1"/>
        <v> </v>
      </c>
      <c r="E4322" s="11" t="str">
        <f t="shared" si="2"/>
        <v> </v>
      </c>
    </row>
    <row r="4323" ht="15.75" customHeight="1">
      <c r="A4323" s="11">
        <v>15993.0</v>
      </c>
      <c r="B4323" s="11" t="s">
        <v>4330</v>
      </c>
      <c r="C4323" s="12">
        <v>30933.0</v>
      </c>
      <c r="D4323" s="11" t="str">
        <f t="shared" si="1"/>
        <v> </v>
      </c>
      <c r="E4323" s="11" t="str">
        <f t="shared" si="2"/>
        <v> </v>
      </c>
    </row>
    <row r="4324" ht="15.75" customHeight="1">
      <c r="A4324" s="11">
        <v>15994.0</v>
      </c>
      <c r="B4324" s="11" t="s">
        <v>4331</v>
      </c>
      <c r="C4324" s="12">
        <v>13335.0</v>
      </c>
      <c r="D4324" s="11" t="str">
        <f t="shared" si="1"/>
        <v> </v>
      </c>
      <c r="E4324" s="11" t="str">
        <f t="shared" si="2"/>
        <v>Repeat</v>
      </c>
    </row>
    <row r="4325" ht="15.75" customHeight="1">
      <c r="A4325" s="11">
        <v>15995.0</v>
      </c>
      <c r="B4325" s="11" t="s">
        <v>4332</v>
      </c>
      <c r="C4325" s="12">
        <v>31035.0</v>
      </c>
      <c r="D4325" s="11" t="str">
        <f t="shared" si="1"/>
        <v> </v>
      </c>
      <c r="E4325" s="11" t="str">
        <f t="shared" si="2"/>
        <v> </v>
      </c>
    </row>
    <row r="4326" ht="15.75" customHeight="1">
      <c r="A4326" s="11">
        <v>15997.0</v>
      </c>
      <c r="B4326" s="11" t="s">
        <v>4333</v>
      </c>
      <c r="C4326" s="12">
        <v>26742.0</v>
      </c>
      <c r="D4326" s="11" t="str">
        <f t="shared" si="1"/>
        <v> </v>
      </c>
      <c r="E4326" s="11" t="str">
        <f t="shared" si="2"/>
        <v> </v>
      </c>
    </row>
    <row r="4327" ht="15.75" customHeight="1">
      <c r="A4327" s="11">
        <v>15998.0</v>
      </c>
      <c r="B4327" s="11" t="s">
        <v>4334</v>
      </c>
      <c r="C4327" s="12">
        <v>19064.0</v>
      </c>
      <c r="D4327" s="11" t="str">
        <f t="shared" si="1"/>
        <v> </v>
      </c>
      <c r="E4327" s="11" t="str">
        <f t="shared" si="2"/>
        <v> </v>
      </c>
    </row>
    <row r="4328" ht="15.75" customHeight="1">
      <c r="A4328" s="11">
        <v>15999.0</v>
      </c>
      <c r="B4328" s="11" t="s">
        <v>4335</v>
      </c>
      <c r="C4328" s="12">
        <v>33358.0</v>
      </c>
      <c r="D4328" s="11" t="str">
        <f t="shared" si="1"/>
        <v> </v>
      </c>
      <c r="E4328" s="11" t="str">
        <f t="shared" si="2"/>
        <v> </v>
      </c>
    </row>
    <row r="4329" ht="15.75" customHeight="1">
      <c r="A4329" s="11">
        <v>16000.0</v>
      </c>
      <c r="B4329" s="11" t="s">
        <v>4336</v>
      </c>
      <c r="C4329" s="12">
        <v>25400.0</v>
      </c>
      <c r="D4329" s="11" t="str">
        <f t="shared" si="1"/>
        <v> </v>
      </c>
      <c r="E4329" s="11" t="str">
        <f t="shared" si="2"/>
        <v> </v>
      </c>
    </row>
    <row r="4330" ht="15.75" customHeight="1">
      <c r="A4330" s="11">
        <v>16001.0</v>
      </c>
      <c r="B4330" s="11" t="s">
        <v>4337</v>
      </c>
      <c r="C4330" s="12">
        <v>26562.0</v>
      </c>
      <c r="D4330" s="11" t="str">
        <f t="shared" si="1"/>
        <v> </v>
      </c>
      <c r="E4330" s="11" t="str">
        <f t="shared" si="2"/>
        <v> </v>
      </c>
    </row>
    <row r="4331" ht="15.75" customHeight="1">
      <c r="A4331" s="11">
        <v>16002.0</v>
      </c>
      <c r="B4331" s="11" t="s">
        <v>4338</v>
      </c>
      <c r="C4331" s="12">
        <v>33968.0</v>
      </c>
      <c r="D4331" s="11" t="str">
        <f t="shared" si="1"/>
        <v> </v>
      </c>
      <c r="E4331" s="11" t="str">
        <f t="shared" si="2"/>
        <v> </v>
      </c>
    </row>
    <row r="4332" ht="15.75" customHeight="1">
      <c r="A4332" s="11">
        <v>16003.0</v>
      </c>
      <c r="B4332" s="11" t="s">
        <v>4339</v>
      </c>
      <c r="C4332" s="12">
        <v>25541.0</v>
      </c>
      <c r="D4332" s="11" t="str">
        <f t="shared" si="1"/>
        <v> </v>
      </c>
      <c r="E4332" s="11" t="str">
        <f t="shared" si="2"/>
        <v> </v>
      </c>
    </row>
    <row r="4333" ht="15.75" customHeight="1">
      <c r="A4333" s="11">
        <v>16004.0</v>
      </c>
      <c r="B4333" s="11" t="s">
        <v>4340</v>
      </c>
      <c r="C4333" s="12">
        <v>19862.0</v>
      </c>
      <c r="D4333" s="11" t="str">
        <f t="shared" si="1"/>
        <v> </v>
      </c>
      <c r="E4333" s="11" t="str">
        <f t="shared" si="2"/>
        <v> </v>
      </c>
    </row>
    <row r="4334" ht="15.75" customHeight="1">
      <c r="A4334" s="11">
        <v>16007.0</v>
      </c>
      <c r="B4334" s="11" t="s">
        <v>4341</v>
      </c>
      <c r="C4334" s="12">
        <v>35276.0</v>
      </c>
      <c r="D4334" s="11" t="str">
        <f t="shared" si="1"/>
        <v> </v>
      </c>
      <c r="E4334" s="11" t="str">
        <f t="shared" si="2"/>
        <v> </v>
      </c>
    </row>
    <row r="4335" ht="15.75" customHeight="1">
      <c r="A4335" s="11">
        <v>16008.0</v>
      </c>
      <c r="B4335" s="11" t="s">
        <v>4342</v>
      </c>
      <c r="C4335" s="12">
        <v>18674.0</v>
      </c>
      <c r="D4335" s="11" t="str">
        <f t="shared" si="1"/>
        <v> </v>
      </c>
      <c r="E4335" s="11" t="str">
        <f t="shared" si="2"/>
        <v> </v>
      </c>
    </row>
    <row r="4336" ht="15.75" customHeight="1">
      <c r="A4336" s="11">
        <v>16009.0</v>
      </c>
      <c r="B4336" s="11" t="s">
        <v>4343</v>
      </c>
      <c r="C4336" s="12">
        <v>32074.0</v>
      </c>
      <c r="D4336" s="11" t="str">
        <f t="shared" si="1"/>
        <v> </v>
      </c>
      <c r="E4336" s="11" t="str">
        <f t="shared" si="2"/>
        <v> </v>
      </c>
    </row>
    <row r="4337" ht="15.75" customHeight="1">
      <c r="A4337" s="11">
        <v>16010.0</v>
      </c>
      <c r="B4337" s="11" t="s">
        <v>4344</v>
      </c>
      <c r="C4337" s="12">
        <v>23044.0</v>
      </c>
      <c r="D4337" s="11" t="str">
        <f t="shared" si="1"/>
        <v> </v>
      </c>
      <c r="E4337" s="11" t="str">
        <f t="shared" si="2"/>
        <v> </v>
      </c>
    </row>
    <row r="4338" ht="15.75" customHeight="1">
      <c r="A4338" s="11">
        <v>16011.0</v>
      </c>
      <c r="B4338" s="11" t="s">
        <v>4345</v>
      </c>
      <c r="C4338" s="12">
        <v>31805.0</v>
      </c>
      <c r="D4338" s="11" t="str">
        <f t="shared" si="1"/>
        <v> </v>
      </c>
      <c r="E4338" s="11" t="str">
        <f t="shared" si="2"/>
        <v> </v>
      </c>
    </row>
    <row r="4339" ht="15.75" customHeight="1">
      <c r="A4339" s="11">
        <v>16012.0</v>
      </c>
      <c r="B4339" s="11" t="s">
        <v>4346</v>
      </c>
      <c r="C4339" s="12">
        <v>23070.0</v>
      </c>
      <c r="D4339" s="11" t="str">
        <f t="shared" si="1"/>
        <v> </v>
      </c>
      <c r="E4339" s="11" t="str">
        <f t="shared" si="2"/>
        <v> </v>
      </c>
    </row>
    <row r="4340" ht="15.75" customHeight="1">
      <c r="A4340" s="11">
        <v>16013.0</v>
      </c>
      <c r="B4340" s="11" t="s">
        <v>4347</v>
      </c>
      <c r="C4340" s="12">
        <v>28026.0</v>
      </c>
      <c r="D4340" s="11" t="str">
        <f t="shared" si="1"/>
        <v> </v>
      </c>
      <c r="E4340" s="11" t="str">
        <f t="shared" si="2"/>
        <v> </v>
      </c>
    </row>
    <row r="4341" ht="15.75" customHeight="1">
      <c r="A4341" s="11">
        <v>16014.0</v>
      </c>
      <c r="B4341" s="11" t="s">
        <v>4348</v>
      </c>
      <c r="C4341" s="12">
        <v>29086.0</v>
      </c>
      <c r="D4341" s="11" t="str">
        <f t="shared" si="1"/>
        <v>Repeat</v>
      </c>
      <c r="E4341" s="11" t="str">
        <f t="shared" si="2"/>
        <v> </v>
      </c>
    </row>
    <row r="4342" ht="15.75" customHeight="1">
      <c r="A4342" s="11">
        <v>16015.0</v>
      </c>
      <c r="B4342" s="11" t="s">
        <v>4349</v>
      </c>
      <c r="C4342" s="12">
        <v>29150.0</v>
      </c>
      <c r="D4342" s="11" t="str">
        <f t="shared" si="1"/>
        <v> </v>
      </c>
      <c r="E4342" s="11" t="str">
        <f t="shared" si="2"/>
        <v> </v>
      </c>
    </row>
    <row r="4343" ht="15.75" customHeight="1">
      <c r="A4343" s="11">
        <v>16016.0</v>
      </c>
      <c r="B4343" s="11" t="s">
        <v>4350</v>
      </c>
      <c r="C4343" s="12">
        <v>45664.0</v>
      </c>
      <c r="D4343" s="11" t="str">
        <f t="shared" si="1"/>
        <v>Repeat</v>
      </c>
      <c r="E4343" s="11" t="str">
        <f t="shared" si="2"/>
        <v>Repeat</v>
      </c>
    </row>
    <row r="4344" ht="15.75" customHeight="1">
      <c r="A4344" s="11">
        <v>16017.0</v>
      </c>
      <c r="B4344" s="11" t="s">
        <v>4351</v>
      </c>
      <c r="C4344" s="12">
        <v>23335.0</v>
      </c>
      <c r="D4344" s="11" t="str">
        <f t="shared" si="1"/>
        <v> </v>
      </c>
      <c r="E4344" s="11" t="str">
        <f t="shared" si="2"/>
        <v> </v>
      </c>
    </row>
    <row r="4345" ht="15.75" customHeight="1">
      <c r="A4345" s="11">
        <v>16018.0</v>
      </c>
      <c r="B4345" s="11" t="s">
        <v>4352</v>
      </c>
      <c r="C4345" s="12">
        <v>17183.0</v>
      </c>
      <c r="D4345" s="11" t="str">
        <f t="shared" si="1"/>
        <v> </v>
      </c>
      <c r="E4345" s="11" t="str">
        <f t="shared" si="2"/>
        <v> </v>
      </c>
    </row>
    <row r="4346" ht="15.75" customHeight="1">
      <c r="A4346" s="11">
        <v>16019.0</v>
      </c>
      <c r="B4346" s="11" t="s">
        <v>4353</v>
      </c>
      <c r="C4346" s="12">
        <v>27370.0</v>
      </c>
      <c r="D4346" s="11" t="str">
        <f t="shared" si="1"/>
        <v> </v>
      </c>
      <c r="E4346" s="11" t="str">
        <f t="shared" si="2"/>
        <v> </v>
      </c>
    </row>
    <row r="4347" ht="15.75" customHeight="1">
      <c r="A4347" s="11">
        <v>16020.0</v>
      </c>
      <c r="B4347" s="11" t="s">
        <v>4354</v>
      </c>
      <c r="C4347" s="12">
        <v>32693.0</v>
      </c>
      <c r="D4347" s="11" t="str">
        <f t="shared" si="1"/>
        <v> </v>
      </c>
      <c r="E4347" s="11" t="str">
        <f t="shared" si="2"/>
        <v> </v>
      </c>
    </row>
    <row r="4348" ht="15.75" customHeight="1">
      <c r="A4348" s="11">
        <v>16021.0</v>
      </c>
      <c r="B4348" s="11" t="s">
        <v>4355</v>
      </c>
      <c r="C4348" s="12">
        <v>16360.0</v>
      </c>
      <c r="D4348" s="11" t="str">
        <f t="shared" si="1"/>
        <v> </v>
      </c>
      <c r="E4348" s="11" t="str">
        <f t="shared" si="2"/>
        <v> </v>
      </c>
    </row>
    <row r="4349" ht="15.75" customHeight="1">
      <c r="A4349" s="11">
        <v>16022.0</v>
      </c>
      <c r="B4349" s="11" t="s">
        <v>4356</v>
      </c>
      <c r="C4349" s="12">
        <v>25835.0</v>
      </c>
      <c r="D4349" s="11" t="str">
        <f t="shared" si="1"/>
        <v> </v>
      </c>
      <c r="E4349" s="11" t="str">
        <f t="shared" si="2"/>
        <v> </v>
      </c>
    </row>
    <row r="4350" ht="15.75" customHeight="1">
      <c r="A4350" s="11">
        <v>16023.0</v>
      </c>
      <c r="B4350" s="11" t="s">
        <v>1401</v>
      </c>
      <c r="C4350" s="12">
        <v>32833.0</v>
      </c>
      <c r="D4350" s="11" t="str">
        <f t="shared" si="1"/>
        <v>Repeat</v>
      </c>
      <c r="E4350" s="11" t="str">
        <f t="shared" si="2"/>
        <v> </v>
      </c>
    </row>
    <row r="4351" ht="15.75" customHeight="1">
      <c r="A4351" s="11">
        <v>16024.0</v>
      </c>
      <c r="B4351" s="11" t="s">
        <v>4357</v>
      </c>
      <c r="C4351" s="12">
        <v>20948.0</v>
      </c>
      <c r="D4351" s="11" t="str">
        <f t="shared" si="1"/>
        <v> </v>
      </c>
      <c r="E4351" s="11" t="str">
        <f t="shared" si="2"/>
        <v> </v>
      </c>
    </row>
    <row r="4352" ht="15.75" customHeight="1">
      <c r="A4352" s="11">
        <v>16025.0</v>
      </c>
      <c r="B4352" s="11" t="s">
        <v>4358</v>
      </c>
      <c r="C4352" s="12">
        <v>19098.0</v>
      </c>
      <c r="D4352" s="11" t="str">
        <f t="shared" si="1"/>
        <v> </v>
      </c>
      <c r="E4352" s="11" t="str">
        <f t="shared" si="2"/>
        <v> </v>
      </c>
    </row>
    <row r="4353" ht="15.75" customHeight="1">
      <c r="A4353" s="11">
        <v>16026.0</v>
      </c>
      <c r="B4353" s="11" t="s">
        <v>4359</v>
      </c>
      <c r="C4353" s="12">
        <v>21139.0</v>
      </c>
      <c r="D4353" s="11" t="str">
        <f t="shared" si="1"/>
        <v> </v>
      </c>
      <c r="E4353" s="11" t="str">
        <f t="shared" si="2"/>
        <v> </v>
      </c>
    </row>
    <row r="4354" ht="15.75" customHeight="1">
      <c r="A4354" s="11">
        <v>16027.0</v>
      </c>
      <c r="B4354" s="11" t="s">
        <v>4360</v>
      </c>
      <c r="C4354" s="12">
        <v>30414.0</v>
      </c>
      <c r="D4354" s="11" t="str">
        <f t="shared" si="1"/>
        <v> </v>
      </c>
      <c r="E4354" s="11" t="str">
        <f t="shared" si="2"/>
        <v> </v>
      </c>
    </row>
    <row r="4355" ht="15.75" customHeight="1">
      <c r="A4355" s="11">
        <v>16028.0</v>
      </c>
      <c r="B4355" s="11" t="s">
        <v>4361</v>
      </c>
      <c r="C4355" s="12">
        <v>23078.0</v>
      </c>
      <c r="D4355" s="11" t="str">
        <f t="shared" si="1"/>
        <v> </v>
      </c>
      <c r="E4355" s="11" t="str">
        <f t="shared" si="2"/>
        <v> </v>
      </c>
    </row>
    <row r="4356" ht="15.75" customHeight="1">
      <c r="A4356" s="11">
        <v>16029.0</v>
      </c>
      <c r="B4356" s="11" t="s">
        <v>4362</v>
      </c>
      <c r="C4356" s="12">
        <v>15431.0</v>
      </c>
      <c r="D4356" s="11" t="str">
        <f t="shared" si="1"/>
        <v> </v>
      </c>
      <c r="E4356" s="11" t="str">
        <f t="shared" si="2"/>
        <v> </v>
      </c>
    </row>
    <row r="4357" ht="15.75" customHeight="1">
      <c r="A4357" s="11">
        <v>16030.0</v>
      </c>
      <c r="B4357" s="11" t="s">
        <v>4363</v>
      </c>
      <c r="C4357" s="12">
        <v>32598.0</v>
      </c>
      <c r="D4357" s="11" t="str">
        <f t="shared" si="1"/>
        <v> </v>
      </c>
      <c r="E4357" s="11" t="str">
        <f t="shared" si="2"/>
        <v> </v>
      </c>
    </row>
    <row r="4358" ht="15.75" customHeight="1">
      <c r="A4358" s="11">
        <v>16031.0</v>
      </c>
      <c r="B4358" s="11" t="s">
        <v>4364</v>
      </c>
      <c r="C4358" s="12">
        <v>17337.0</v>
      </c>
      <c r="D4358" s="11" t="str">
        <f t="shared" si="1"/>
        <v> </v>
      </c>
      <c r="E4358" s="11" t="str">
        <f t="shared" si="2"/>
        <v> </v>
      </c>
    </row>
    <row r="4359" ht="15.75" customHeight="1">
      <c r="A4359" s="11">
        <v>16034.0</v>
      </c>
      <c r="B4359" s="11" t="s">
        <v>4365</v>
      </c>
      <c r="C4359" s="12">
        <v>17158.0</v>
      </c>
      <c r="D4359" s="11" t="str">
        <f t="shared" si="1"/>
        <v> </v>
      </c>
      <c r="E4359" s="11" t="str">
        <f t="shared" si="2"/>
        <v>Repeat</v>
      </c>
    </row>
    <row r="4360" ht="15.75" customHeight="1">
      <c r="A4360" s="11">
        <v>16035.0</v>
      </c>
      <c r="B4360" s="11" t="s">
        <v>4366</v>
      </c>
      <c r="C4360" s="12">
        <v>19873.0</v>
      </c>
      <c r="D4360" s="11" t="str">
        <f t="shared" si="1"/>
        <v> </v>
      </c>
      <c r="E4360" s="11" t="str">
        <f t="shared" si="2"/>
        <v> </v>
      </c>
    </row>
    <row r="4361" ht="15.75" customHeight="1">
      <c r="A4361" s="11">
        <v>16036.0</v>
      </c>
      <c r="B4361" s="11" t="s">
        <v>4367</v>
      </c>
      <c r="C4361" s="12">
        <v>28050.0</v>
      </c>
      <c r="D4361" s="11" t="str">
        <f t="shared" si="1"/>
        <v> </v>
      </c>
      <c r="E4361" s="11" t="str">
        <f t="shared" si="2"/>
        <v> </v>
      </c>
    </row>
    <row r="4362" ht="15.75" customHeight="1">
      <c r="A4362" s="11">
        <v>16037.0</v>
      </c>
      <c r="B4362" s="11" t="s">
        <v>4368</v>
      </c>
      <c r="C4362" s="12">
        <v>16788.0</v>
      </c>
      <c r="D4362" s="11" t="str">
        <f t="shared" si="1"/>
        <v> </v>
      </c>
      <c r="E4362" s="11" t="str">
        <f t="shared" si="2"/>
        <v> </v>
      </c>
    </row>
    <row r="4363" ht="15.75" customHeight="1">
      <c r="A4363" s="11">
        <v>16039.0</v>
      </c>
      <c r="B4363" s="11" t="s">
        <v>4369</v>
      </c>
      <c r="C4363" s="12">
        <v>23742.0</v>
      </c>
      <c r="D4363" s="11" t="str">
        <f t="shared" si="1"/>
        <v> </v>
      </c>
      <c r="E4363" s="11" t="str">
        <f t="shared" si="2"/>
        <v>Repeat</v>
      </c>
    </row>
    <row r="4364" ht="15.75" customHeight="1">
      <c r="A4364" s="11">
        <v>16040.0</v>
      </c>
      <c r="B4364" s="11" t="s">
        <v>4370</v>
      </c>
      <c r="C4364" s="12">
        <v>27422.0</v>
      </c>
      <c r="D4364" s="11" t="str">
        <f t="shared" si="1"/>
        <v> </v>
      </c>
      <c r="E4364" s="11" t="str">
        <f t="shared" si="2"/>
        <v> </v>
      </c>
    </row>
    <row r="4365" ht="15.75" customHeight="1">
      <c r="A4365" s="11">
        <v>16041.0</v>
      </c>
      <c r="B4365" s="11" t="s">
        <v>4371</v>
      </c>
      <c r="C4365" s="12">
        <v>25669.0</v>
      </c>
      <c r="D4365" s="11" t="str">
        <f t="shared" si="1"/>
        <v> </v>
      </c>
      <c r="E4365" s="11" t="str">
        <f t="shared" si="2"/>
        <v> </v>
      </c>
    </row>
    <row r="4366" ht="15.75" customHeight="1">
      <c r="A4366" s="11">
        <v>16042.0</v>
      </c>
      <c r="B4366" s="11" t="s">
        <v>4372</v>
      </c>
      <c r="C4366" s="12">
        <v>20478.0</v>
      </c>
      <c r="D4366" s="11" t="str">
        <f t="shared" si="1"/>
        <v> </v>
      </c>
      <c r="E4366" s="11" t="str">
        <f t="shared" si="2"/>
        <v> </v>
      </c>
    </row>
    <row r="4367" ht="15.75" customHeight="1">
      <c r="A4367" s="11">
        <v>16044.0</v>
      </c>
      <c r="B4367" s="11" t="s">
        <v>4373</v>
      </c>
      <c r="C4367" s="12">
        <v>29615.0</v>
      </c>
      <c r="D4367" s="11" t="str">
        <f t="shared" si="1"/>
        <v> </v>
      </c>
      <c r="E4367" s="11" t="str">
        <f t="shared" si="2"/>
        <v> </v>
      </c>
    </row>
    <row r="4368" ht="15.75" customHeight="1">
      <c r="A4368" s="11">
        <v>16045.0</v>
      </c>
      <c r="B4368" s="11" t="s">
        <v>2611</v>
      </c>
      <c r="C4368" s="12">
        <v>24633.0</v>
      </c>
      <c r="D4368" s="11" t="str">
        <f t="shared" si="1"/>
        <v>Repeat</v>
      </c>
      <c r="E4368" s="11" t="str">
        <f t="shared" si="2"/>
        <v> </v>
      </c>
    </row>
    <row r="4369" ht="15.75" customHeight="1">
      <c r="A4369" s="11">
        <v>16046.0</v>
      </c>
      <c r="B4369" s="11" t="s">
        <v>4374</v>
      </c>
      <c r="C4369" s="12">
        <v>18837.0</v>
      </c>
      <c r="D4369" s="11" t="str">
        <f t="shared" si="1"/>
        <v> </v>
      </c>
      <c r="E4369" s="11" t="str">
        <f t="shared" si="2"/>
        <v> </v>
      </c>
    </row>
    <row r="4370" ht="15.75" customHeight="1">
      <c r="A4370" s="11">
        <v>16047.0</v>
      </c>
      <c r="B4370" s="11" t="s">
        <v>4375</v>
      </c>
      <c r="C4370" s="12">
        <v>22361.0</v>
      </c>
      <c r="D4370" s="11" t="str">
        <f t="shared" si="1"/>
        <v> </v>
      </c>
      <c r="E4370" s="11" t="str">
        <f t="shared" si="2"/>
        <v> </v>
      </c>
    </row>
    <row r="4371" ht="15.75" customHeight="1">
      <c r="A4371" s="11">
        <v>16048.0</v>
      </c>
      <c r="B4371" s="11" t="s">
        <v>4376</v>
      </c>
      <c r="C4371" s="12">
        <v>20964.0</v>
      </c>
      <c r="D4371" s="11" t="str">
        <f t="shared" si="1"/>
        <v> </v>
      </c>
      <c r="E4371" s="11" t="str">
        <f t="shared" si="2"/>
        <v> </v>
      </c>
    </row>
    <row r="4372" ht="15.75" customHeight="1">
      <c r="A4372" s="11">
        <v>16049.0</v>
      </c>
      <c r="B4372" s="11" t="s">
        <v>4377</v>
      </c>
      <c r="C4372" s="12">
        <v>21172.0</v>
      </c>
      <c r="D4372" s="11" t="str">
        <f t="shared" si="1"/>
        <v> </v>
      </c>
      <c r="E4372" s="11" t="str">
        <f t="shared" si="2"/>
        <v> </v>
      </c>
    </row>
    <row r="4373" ht="15.75" customHeight="1">
      <c r="A4373" s="11">
        <v>16050.0</v>
      </c>
      <c r="B4373" s="11" t="s">
        <v>4378</v>
      </c>
      <c r="C4373" s="12">
        <v>27133.0</v>
      </c>
      <c r="D4373" s="11" t="str">
        <f t="shared" si="1"/>
        <v> </v>
      </c>
      <c r="E4373" s="11" t="str">
        <f t="shared" si="2"/>
        <v> </v>
      </c>
    </row>
    <row r="4374" ht="15.75" customHeight="1">
      <c r="A4374" s="11">
        <v>16051.0</v>
      </c>
      <c r="B4374" s="11" t="s">
        <v>4379</v>
      </c>
      <c r="C4374" s="12">
        <v>24194.0</v>
      </c>
      <c r="D4374" s="11" t="str">
        <f t="shared" si="1"/>
        <v> </v>
      </c>
      <c r="E4374" s="11" t="str">
        <f t="shared" si="2"/>
        <v> </v>
      </c>
    </row>
    <row r="4375" ht="15.75" customHeight="1">
      <c r="A4375" s="11">
        <v>16052.0</v>
      </c>
      <c r="B4375" s="11" t="s">
        <v>4380</v>
      </c>
      <c r="C4375" s="12">
        <v>25440.0</v>
      </c>
      <c r="D4375" s="11" t="str">
        <f t="shared" si="1"/>
        <v> </v>
      </c>
      <c r="E4375" s="11" t="str">
        <f t="shared" si="2"/>
        <v> </v>
      </c>
    </row>
    <row r="4376" ht="15.75" customHeight="1">
      <c r="A4376" s="11">
        <v>16053.0</v>
      </c>
      <c r="B4376" s="11" t="s">
        <v>4381</v>
      </c>
      <c r="C4376" s="12">
        <v>22521.0</v>
      </c>
      <c r="D4376" s="11" t="str">
        <f t="shared" si="1"/>
        <v> </v>
      </c>
      <c r="E4376" s="11" t="str">
        <f t="shared" si="2"/>
        <v> </v>
      </c>
    </row>
    <row r="4377" ht="15.75" customHeight="1">
      <c r="A4377" s="11">
        <v>16054.0</v>
      </c>
      <c r="B4377" s="11" t="s">
        <v>4382</v>
      </c>
      <c r="C4377" s="12">
        <v>12950.0</v>
      </c>
      <c r="D4377" s="11" t="str">
        <f t="shared" si="1"/>
        <v>Repeat</v>
      </c>
      <c r="E4377" s="11" t="str">
        <f t="shared" si="2"/>
        <v> </v>
      </c>
    </row>
    <row r="4378" ht="15.75" customHeight="1">
      <c r="A4378" s="11">
        <v>16055.0</v>
      </c>
      <c r="B4378" s="11" t="s">
        <v>4383</v>
      </c>
      <c r="C4378" s="12">
        <v>16708.0</v>
      </c>
      <c r="D4378" s="11" t="str">
        <f t="shared" si="1"/>
        <v> </v>
      </c>
      <c r="E4378" s="11" t="str">
        <f t="shared" si="2"/>
        <v> </v>
      </c>
    </row>
    <row r="4379" ht="15.75" customHeight="1">
      <c r="A4379" s="11">
        <v>16056.0</v>
      </c>
      <c r="B4379" s="11" t="s">
        <v>4384</v>
      </c>
      <c r="C4379" s="12">
        <v>17399.0</v>
      </c>
      <c r="D4379" s="11" t="str">
        <f t="shared" si="1"/>
        <v> </v>
      </c>
      <c r="E4379" s="11" t="str">
        <f t="shared" si="2"/>
        <v> </v>
      </c>
    </row>
    <row r="4380" ht="15.75" customHeight="1">
      <c r="A4380" s="11">
        <v>16057.0</v>
      </c>
      <c r="B4380" s="11" t="s">
        <v>4385</v>
      </c>
      <c r="C4380" s="12">
        <v>26141.0</v>
      </c>
      <c r="D4380" s="11" t="str">
        <f t="shared" si="1"/>
        <v> </v>
      </c>
      <c r="E4380" s="11" t="str">
        <f t="shared" si="2"/>
        <v> </v>
      </c>
    </row>
    <row r="4381" ht="15.75" customHeight="1">
      <c r="A4381" s="11">
        <v>16058.0</v>
      </c>
      <c r="B4381" s="11" t="s">
        <v>4386</v>
      </c>
      <c r="C4381" s="12">
        <v>17853.0</v>
      </c>
      <c r="D4381" s="11" t="str">
        <f t="shared" si="1"/>
        <v> </v>
      </c>
      <c r="E4381" s="11" t="str">
        <f t="shared" si="2"/>
        <v> </v>
      </c>
    </row>
    <row r="4382" ht="15.75" customHeight="1">
      <c r="A4382" s="11">
        <v>16059.0</v>
      </c>
      <c r="B4382" s="11" t="s">
        <v>4387</v>
      </c>
      <c r="C4382" s="12">
        <v>28874.0</v>
      </c>
      <c r="D4382" s="11" t="str">
        <f t="shared" si="1"/>
        <v> </v>
      </c>
      <c r="E4382" s="11" t="str">
        <f t="shared" si="2"/>
        <v> </v>
      </c>
    </row>
    <row r="4383" ht="15.75" customHeight="1">
      <c r="A4383" s="11">
        <v>16060.0</v>
      </c>
      <c r="B4383" s="11" t="s">
        <v>4388</v>
      </c>
      <c r="C4383" s="12">
        <v>17891.0</v>
      </c>
      <c r="D4383" s="11" t="str">
        <f t="shared" si="1"/>
        <v> </v>
      </c>
      <c r="E4383" s="11" t="str">
        <f t="shared" si="2"/>
        <v> </v>
      </c>
    </row>
    <row r="4384" ht="15.75" customHeight="1">
      <c r="A4384" s="11">
        <v>16061.0</v>
      </c>
      <c r="B4384" s="11" t="s">
        <v>4389</v>
      </c>
      <c r="C4384" s="12">
        <v>11463.0</v>
      </c>
      <c r="D4384" s="11" t="str">
        <f t="shared" si="1"/>
        <v> </v>
      </c>
      <c r="E4384" s="11" t="str">
        <f t="shared" si="2"/>
        <v> </v>
      </c>
    </row>
    <row r="4385" ht="15.75" customHeight="1">
      <c r="A4385" s="11">
        <v>16062.0</v>
      </c>
      <c r="B4385" s="11" t="s">
        <v>4390</v>
      </c>
      <c r="C4385" s="12">
        <v>17777.0</v>
      </c>
      <c r="D4385" s="11" t="str">
        <f t="shared" si="1"/>
        <v> </v>
      </c>
      <c r="E4385" s="11" t="str">
        <f t="shared" si="2"/>
        <v> </v>
      </c>
    </row>
    <row r="4386" ht="15.75" customHeight="1">
      <c r="A4386" s="11">
        <v>16063.0</v>
      </c>
      <c r="B4386" s="11" t="s">
        <v>4391</v>
      </c>
      <c r="C4386" s="12">
        <v>24748.0</v>
      </c>
      <c r="D4386" s="11" t="str">
        <f t="shared" si="1"/>
        <v> </v>
      </c>
      <c r="E4386" s="11" t="str">
        <f t="shared" si="2"/>
        <v> </v>
      </c>
    </row>
    <row r="4387" ht="15.75" customHeight="1">
      <c r="A4387" s="11">
        <v>16064.0</v>
      </c>
      <c r="B4387" s="11" t="s">
        <v>4392</v>
      </c>
      <c r="C4387" s="12">
        <v>25890.0</v>
      </c>
      <c r="D4387" s="11" t="str">
        <f t="shared" si="1"/>
        <v> </v>
      </c>
      <c r="E4387" s="11" t="str">
        <f t="shared" si="2"/>
        <v> </v>
      </c>
    </row>
    <row r="4388" ht="15.75" customHeight="1">
      <c r="A4388" s="11">
        <v>16066.0</v>
      </c>
      <c r="B4388" s="11" t="s">
        <v>4393</v>
      </c>
      <c r="C4388" s="12">
        <v>31846.0</v>
      </c>
      <c r="D4388" s="11" t="str">
        <f t="shared" si="1"/>
        <v> </v>
      </c>
      <c r="E4388" s="11" t="str">
        <f t="shared" si="2"/>
        <v> </v>
      </c>
    </row>
    <row r="4389" ht="15.75" customHeight="1">
      <c r="A4389" s="11">
        <v>16068.0</v>
      </c>
      <c r="B4389" s="11" t="s">
        <v>4394</v>
      </c>
      <c r="C4389" s="12">
        <v>29571.0</v>
      </c>
      <c r="D4389" s="11" t="str">
        <f t="shared" si="1"/>
        <v> </v>
      </c>
      <c r="E4389" s="11" t="str">
        <f t="shared" si="2"/>
        <v> </v>
      </c>
    </row>
    <row r="4390" ht="15.75" customHeight="1">
      <c r="A4390" s="11">
        <v>16069.0</v>
      </c>
      <c r="B4390" s="11" t="s">
        <v>4395</v>
      </c>
      <c r="C4390" s="12">
        <v>27413.0</v>
      </c>
      <c r="D4390" s="11" t="str">
        <f t="shared" si="1"/>
        <v> </v>
      </c>
      <c r="E4390" s="11" t="str">
        <f t="shared" si="2"/>
        <v> </v>
      </c>
    </row>
    <row r="4391" ht="15.75" customHeight="1">
      <c r="A4391" s="11">
        <v>16070.0</v>
      </c>
      <c r="B4391" s="11" t="s">
        <v>4396</v>
      </c>
      <c r="C4391" s="12">
        <v>33918.0</v>
      </c>
      <c r="D4391" s="11" t="str">
        <f t="shared" si="1"/>
        <v> </v>
      </c>
      <c r="E4391" s="11" t="str">
        <f t="shared" si="2"/>
        <v> </v>
      </c>
    </row>
    <row r="4392" ht="15.75" customHeight="1">
      <c r="A4392" s="11">
        <v>16071.0</v>
      </c>
      <c r="B4392" s="11" t="s">
        <v>4397</v>
      </c>
      <c r="C4392" s="12">
        <v>22567.0</v>
      </c>
      <c r="D4392" s="11" t="str">
        <f t="shared" si="1"/>
        <v> </v>
      </c>
      <c r="E4392" s="11" t="str">
        <f t="shared" si="2"/>
        <v> </v>
      </c>
    </row>
    <row r="4393" ht="15.75" customHeight="1">
      <c r="A4393" s="11">
        <v>16072.0</v>
      </c>
      <c r="B4393" s="11" t="s">
        <v>4398</v>
      </c>
      <c r="C4393" s="12">
        <v>19202.0</v>
      </c>
      <c r="D4393" s="11" t="str">
        <f t="shared" si="1"/>
        <v> </v>
      </c>
      <c r="E4393" s="11" t="str">
        <f t="shared" si="2"/>
        <v> </v>
      </c>
    </row>
    <row r="4394" ht="15.75" customHeight="1">
      <c r="A4394" s="11">
        <v>16073.0</v>
      </c>
      <c r="B4394" s="11" t="s">
        <v>4399</v>
      </c>
      <c r="C4394" s="12">
        <v>15089.0</v>
      </c>
      <c r="D4394" s="11" t="str">
        <f t="shared" si="1"/>
        <v> </v>
      </c>
      <c r="E4394" s="11" t="str">
        <f t="shared" si="2"/>
        <v> </v>
      </c>
    </row>
    <row r="4395" ht="15.75" customHeight="1">
      <c r="A4395" s="11">
        <v>16074.0</v>
      </c>
      <c r="B4395" s="11" t="s">
        <v>4400</v>
      </c>
      <c r="C4395" s="12">
        <v>28808.0</v>
      </c>
      <c r="D4395" s="11" t="str">
        <f t="shared" si="1"/>
        <v> </v>
      </c>
      <c r="E4395" s="11" t="str">
        <f t="shared" si="2"/>
        <v> </v>
      </c>
    </row>
    <row r="4396" ht="15.75" customHeight="1">
      <c r="A4396" s="11">
        <v>16075.0</v>
      </c>
      <c r="B4396" s="11" t="s">
        <v>4401</v>
      </c>
      <c r="C4396" s="12">
        <v>15384.0</v>
      </c>
      <c r="D4396" s="11" t="str">
        <f t="shared" si="1"/>
        <v> </v>
      </c>
      <c r="E4396" s="11" t="str">
        <f t="shared" si="2"/>
        <v> </v>
      </c>
    </row>
    <row r="4397" ht="15.75" customHeight="1">
      <c r="A4397" s="11">
        <v>16076.0</v>
      </c>
      <c r="B4397" s="11" t="s">
        <v>1740</v>
      </c>
      <c r="C4397" s="12">
        <v>18911.0</v>
      </c>
      <c r="D4397" s="11" t="str">
        <f t="shared" si="1"/>
        <v>Repeat</v>
      </c>
      <c r="E4397" s="11" t="str">
        <f t="shared" si="2"/>
        <v> </v>
      </c>
    </row>
    <row r="4398" ht="15.75" customHeight="1">
      <c r="A4398" s="11">
        <v>16077.0</v>
      </c>
      <c r="B4398" s="11" t="s">
        <v>4402</v>
      </c>
      <c r="C4398" s="12">
        <v>32777.0</v>
      </c>
      <c r="D4398" s="11" t="str">
        <f t="shared" si="1"/>
        <v> </v>
      </c>
      <c r="E4398" s="11" t="str">
        <f t="shared" si="2"/>
        <v> </v>
      </c>
    </row>
    <row r="4399" ht="15.75" customHeight="1">
      <c r="A4399" s="11">
        <v>16078.0</v>
      </c>
      <c r="B4399" s="11" t="s">
        <v>4403</v>
      </c>
      <c r="C4399" s="12">
        <v>21707.0</v>
      </c>
      <c r="D4399" s="11" t="str">
        <f t="shared" si="1"/>
        <v> </v>
      </c>
      <c r="E4399" s="11" t="str">
        <f t="shared" si="2"/>
        <v> </v>
      </c>
    </row>
    <row r="4400" ht="15.75" customHeight="1">
      <c r="A4400" s="11">
        <v>16079.0</v>
      </c>
      <c r="B4400" s="11" t="s">
        <v>4404</v>
      </c>
      <c r="C4400" s="12">
        <v>20163.0</v>
      </c>
      <c r="D4400" s="11" t="str">
        <f t="shared" si="1"/>
        <v> </v>
      </c>
      <c r="E4400" s="11" t="str">
        <f t="shared" si="2"/>
        <v> </v>
      </c>
    </row>
    <row r="4401" ht="15.75" customHeight="1">
      <c r="A4401" s="11">
        <v>16080.0</v>
      </c>
      <c r="B4401" s="11" t="s">
        <v>4405</v>
      </c>
      <c r="C4401" s="12">
        <v>19123.0</v>
      </c>
      <c r="D4401" s="11" t="str">
        <f t="shared" si="1"/>
        <v> </v>
      </c>
      <c r="E4401" s="11" t="str">
        <f t="shared" si="2"/>
        <v> </v>
      </c>
    </row>
    <row r="4402" ht="15.75" customHeight="1">
      <c r="A4402" s="11">
        <v>16081.0</v>
      </c>
      <c r="B4402" s="11" t="s">
        <v>4406</v>
      </c>
      <c r="C4402" s="12">
        <v>18891.0</v>
      </c>
      <c r="D4402" s="11" t="str">
        <f t="shared" si="1"/>
        <v> </v>
      </c>
      <c r="E4402" s="11" t="str">
        <f t="shared" si="2"/>
        <v> </v>
      </c>
    </row>
    <row r="4403" ht="15.75" customHeight="1">
      <c r="A4403" s="11">
        <v>16082.0</v>
      </c>
      <c r="B4403" s="11" t="s">
        <v>4407</v>
      </c>
      <c r="C4403" s="12">
        <v>22883.0</v>
      </c>
      <c r="D4403" s="11" t="str">
        <f t="shared" si="1"/>
        <v> </v>
      </c>
      <c r="E4403" s="11" t="str">
        <f t="shared" si="2"/>
        <v> </v>
      </c>
    </row>
    <row r="4404" ht="15.75" customHeight="1">
      <c r="A4404" s="11">
        <v>16083.0</v>
      </c>
      <c r="B4404" s="11" t="s">
        <v>4408</v>
      </c>
      <c r="C4404" s="12">
        <v>18278.0</v>
      </c>
      <c r="D4404" s="11" t="str">
        <f t="shared" si="1"/>
        <v> </v>
      </c>
      <c r="E4404" s="11" t="str">
        <f t="shared" si="2"/>
        <v> </v>
      </c>
    </row>
    <row r="4405" ht="15.75" customHeight="1">
      <c r="A4405" s="11">
        <v>16084.0</v>
      </c>
      <c r="B4405" s="11" t="s">
        <v>4409</v>
      </c>
      <c r="C4405" s="12">
        <v>15012.0</v>
      </c>
      <c r="D4405" s="11" t="str">
        <f t="shared" si="1"/>
        <v> </v>
      </c>
      <c r="E4405" s="11" t="str">
        <f t="shared" si="2"/>
        <v> </v>
      </c>
    </row>
    <row r="4406" ht="15.75" customHeight="1">
      <c r="A4406" s="11">
        <v>16085.0</v>
      </c>
      <c r="B4406" s="11" t="s">
        <v>4410</v>
      </c>
      <c r="C4406" s="12">
        <v>31033.0</v>
      </c>
      <c r="D4406" s="11" t="str">
        <f t="shared" si="1"/>
        <v> </v>
      </c>
      <c r="E4406" s="11" t="str">
        <f t="shared" si="2"/>
        <v> </v>
      </c>
    </row>
    <row r="4407" ht="15.75" customHeight="1">
      <c r="A4407" s="11">
        <v>16086.0</v>
      </c>
      <c r="B4407" s="11" t="s">
        <v>4411</v>
      </c>
      <c r="C4407" s="12">
        <v>29859.0</v>
      </c>
      <c r="D4407" s="11" t="str">
        <f t="shared" si="1"/>
        <v> </v>
      </c>
      <c r="E4407" s="11" t="str">
        <f t="shared" si="2"/>
        <v> </v>
      </c>
    </row>
    <row r="4408" ht="15.75" customHeight="1">
      <c r="A4408" s="11">
        <v>16087.0</v>
      </c>
      <c r="B4408" s="11" t="s">
        <v>4412</v>
      </c>
      <c r="C4408" s="12">
        <v>13504.0</v>
      </c>
      <c r="D4408" s="11" t="str">
        <f t="shared" si="1"/>
        <v> </v>
      </c>
      <c r="E4408" s="11" t="str">
        <f t="shared" si="2"/>
        <v> </v>
      </c>
    </row>
    <row r="4409" ht="15.75" customHeight="1">
      <c r="A4409" s="11">
        <v>16088.0</v>
      </c>
      <c r="B4409" s="11" t="s">
        <v>4413</v>
      </c>
      <c r="C4409" s="12">
        <v>19588.0</v>
      </c>
      <c r="D4409" s="11" t="str">
        <f t="shared" si="1"/>
        <v> </v>
      </c>
      <c r="E4409" s="11" t="str">
        <f t="shared" si="2"/>
        <v> </v>
      </c>
    </row>
    <row r="4410" ht="15.75" customHeight="1">
      <c r="A4410" s="11">
        <v>16089.0</v>
      </c>
      <c r="B4410" s="11" t="s">
        <v>4414</v>
      </c>
      <c r="C4410" s="12">
        <v>16520.0</v>
      </c>
      <c r="D4410" s="11" t="str">
        <f t="shared" si="1"/>
        <v> </v>
      </c>
      <c r="E4410" s="11" t="str">
        <f t="shared" si="2"/>
        <v> </v>
      </c>
    </row>
    <row r="4411" ht="15.75" customHeight="1">
      <c r="A4411" s="11">
        <v>16090.0</v>
      </c>
      <c r="B4411" s="11" t="s">
        <v>4415</v>
      </c>
      <c r="C4411" s="12">
        <v>23657.0</v>
      </c>
      <c r="D4411" s="11" t="str">
        <f t="shared" si="1"/>
        <v> </v>
      </c>
      <c r="E4411" s="11" t="str">
        <f t="shared" si="2"/>
        <v> </v>
      </c>
    </row>
    <row r="4412" ht="15.75" customHeight="1">
      <c r="A4412" s="11">
        <v>16091.0</v>
      </c>
      <c r="B4412" s="11" t="s">
        <v>4416</v>
      </c>
      <c r="C4412" s="12">
        <v>14802.0</v>
      </c>
      <c r="D4412" s="11" t="str">
        <f t="shared" si="1"/>
        <v> </v>
      </c>
      <c r="E4412" s="11" t="str">
        <f t="shared" si="2"/>
        <v> </v>
      </c>
    </row>
    <row r="4413" ht="15.75" customHeight="1">
      <c r="A4413" s="11">
        <v>16092.0</v>
      </c>
      <c r="B4413" s="11" t="s">
        <v>4417</v>
      </c>
      <c r="C4413" s="12">
        <v>34952.0</v>
      </c>
      <c r="D4413" s="11" t="str">
        <f t="shared" si="1"/>
        <v> </v>
      </c>
      <c r="E4413" s="11" t="str">
        <f t="shared" si="2"/>
        <v> </v>
      </c>
    </row>
    <row r="4414" ht="15.75" customHeight="1">
      <c r="A4414" s="11">
        <v>16095.0</v>
      </c>
      <c r="B4414" s="11" t="s">
        <v>4418</v>
      </c>
      <c r="C4414" s="12">
        <v>28569.0</v>
      </c>
      <c r="D4414" s="11" t="str">
        <f t="shared" si="1"/>
        <v> </v>
      </c>
      <c r="E4414" s="11" t="str">
        <f t="shared" si="2"/>
        <v> </v>
      </c>
    </row>
    <row r="4415" ht="15.75" customHeight="1">
      <c r="A4415" s="11">
        <v>16096.0</v>
      </c>
      <c r="B4415" s="11" t="s">
        <v>4419</v>
      </c>
      <c r="C4415" s="12">
        <v>30163.0</v>
      </c>
      <c r="D4415" s="11" t="str">
        <f t="shared" si="1"/>
        <v> </v>
      </c>
      <c r="E4415" s="11" t="str">
        <f t="shared" si="2"/>
        <v> </v>
      </c>
    </row>
    <row r="4416" ht="15.75" customHeight="1">
      <c r="A4416" s="11">
        <v>16097.0</v>
      </c>
      <c r="B4416" s="11" t="s">
        <v>4420</v>
      </c>
      <c r="C4416" s="12">
        <v>19149.0</v>
      </c>
      <c r="D4416" s="11" t="str">
        <f t="shared" si="1"/>
        <v> </v>
      </c>
      <c r="E4416" s="11" t="str">
        <f t="shared" si="2"/>
        <v> </v>
      </c>
    </row>
    <row r="4417" ht="15.75" customHeight="1">
      <c r="A4417" s="11">
        <v>16098.0</v>
      </c>
      <c r="B4417" s="11" t="s">
        <v>1680</v>
      </c>
      <c r="C4417" s="12">
        <v>23770.0</v>
      </c>
      <c r="D4417" s="11" t="str">
        <f t="shared" si="1"/>
        <v>Repeat</v>
      </c>
      <c r="E4417" s="11" t="str">
        <f t="shared" si="2"/>
        <v> </v>
      </c>
    </row>
    <row r="4418" ht="15.75" customHeight="1">
      <c r="A4418" s="11">
        <v>16099.0</v>
      </c>
      <c r="B4418" s="11" t="s">
        <v>4421</v>
      </c>
      <c r="C4418" s="12">
        <v>11453.0</v>
      </c>
      <c r="D4418" s="11" t="str">
        <f t="shared" si="1"/>
        <v> </v>
      </c>
      <c r="E4418" s="11" t="str">
        <f t="shared" si="2"/>
        <v> </v>
      </c>
    </row>
    <row r="4419" ht="15.75" customHeight="1">
      <c r="A4419" s="11">
        <v>16100.0</v>
      </c>
      <c r="B4419" s="11" t="s">
        <v>4422</v>
      </c>
      <c r="C4419" s="12">
        <v>17443.0</v>
      </c>
      <c r="D4419" s="11" t="str">
        <f t="shared" si="1"/>
        <v> </v>
      </c>
      <c r="E4419" s="11" t="str">
        <f t="shared" si="2"/>
        <v> </v>
      </c>
    </row>
    <row r="4420" ht="15.75" customHeight="1">
      <c r="A4420" s="11">
        <v>16103.0</v>
      </c>
      <c r="B4420" s="11" t="s">
        <v>4423</v>
      </c>
      <c r="C4420" s="12">
        <v>16250.0</v>
      </c>
      <c r="D4420" s="11" t="str">
        <f t="shared" si="1"/>
        <v> </v>
      </c>
      <c r="E4420" s="11" t="str">
        <f t="shared" si="2"/>
        <v> </v>
      </c>
    </row>
    <row r="4421" ht="15.75" customHeight="1">
      <c r="A4421" s="11">
        <v>16104.0</v>
      </c>
      <c r="B4421" s="11" t="s">
        <v>4424</v>
      </c>
      <c r="C4421" s="12">
        <v>22488.0</v>
      </c>
      <c r="D4421" s="11" t="str">
        <f t="shared" si="1"/>
        <v> </v>
      </c>
      <c r="E4421" s="11" t="str">
        <f t="shared" si="2"/>
        <v> </v>
      </c>
    </row>
    <row r="4422" ht="15.75" customHeight="1">
      <c r="A4422" s="11">
        <v>16105.0</v>
      </c>
      <c r="B4422" s="11" t="s">
        <v>4425</v>
      </c>
      <c r="C4422" s="12">
        <v>32961.0</v>
      </c>
      <c r="D4422" s="11" t="str">
        <f t="shared" si="1"/>
        <v> </v>
      </c>
      <c r="E4422" s="11" t="str">
        <f t="shared" si="2"/>
        <v> </v>
      </c>
    </row>
    <row r="4423" ht="15.75" customHeight="1">
      <c r="A4423" s="11">
        <v>16106.0</v>
      </c>
      <c r="B4423" s="11" t="s">
        <v>4426</v>
      </c>
      <c r="C4423" s="12">
        <v>23484.0</v>
      </c>
      <c r="D4423" s="11" t="str">
        <f t="shared" si="1"/>
        <v>Repeat</v>
      </c>
      <c r="E4423" s="11" t="str">
        <f t="shared" si="2"/>
        <v>Repeat</v>
      </c>
    </row>
    <row r="4424" ht="15.75" customHeight="1">
      <c r="A4424" s="11">
        <v>16107.0</v>
      </c>
      <c r="B4424" s="11" t="s">
        <v>4427</v>
      </c>
      <c r="C4424" s="12">
        <v>14998.0</v>
      </c>
      <c r="D4424" s="11" t="str">
        <f t="shared" si="1"/>
        <v> </v>
      </c>
      <c r="E4424" s="11" t="str">
        <f t="shared" si="2"/>
        <v> </v>
      </c>
    </row>
    <row r="4425" ht="15.75" customHeight="1">
      <c r="A4425" s="11">
        <v>16108.0</v>
      </c>
      <c r="B4425" s="11" t="s">
        <v>4428</v>
      </c>
      <c r="C4425" s="12">
        <v>17951.0</v>
      </c>
      <c r="D4425" s="11" t="str">
        <f t="shared" si="1"/>
        <v> </v>
      </c>
      <c r="E4425" s="11" t="str">
        <f t="shared" si="2"/>
        <v> </v>
      </c>
    </row>
    <row r="4426" ht="15.75" customHeight="1">
      <c r="A4426" s="11">
        <v>16109.0</v>
      </c>
      <c r="B4426" s="11" t="s">
        <v>4429</v>
      </c>
      <c r="C4426" s="12">
        <v>30960.0</v>
      </c>
      <c r="D4426" s="11" t="str">
        <f t="shared" si="1"/>
        <v> </v>
      </c>
      <c r="E4426" s="11" t="str">
        <f t="shared" si="2"/>
        <v> </v>
      </c>
    </row>
    <row r="4427" ht="15.75" customHeight="1">
      <c r="A4427" s="11">
        <v>16111.0</v>
      </c>
      <c r="B4427" s="11" t="s">
        <v>4430</v>
      </c>
      <c r="C4427" s="12">
        <v>27323.0</v>
      </c>
      <c r="D4427" s="11" t="str">
        <f t="shared" si="1"/>
        <v> </v>
      </c>
      <c r="E4427" s="11" t="str">
        <f t="shared" si="2"/>
        <v> </v>
      </c>
    </row>
    <row r="4428" ht="15.75" customHeight="1">
      <c r="A4428" s="11">
        <v>16112.0</v>
      </c>
      <c r="B4428" s="11" t="s">
        <v>4431</v>
      </c>
      <c r="C4428" s="12">
        <v>19667.0</v>
      </c>
      <c r="D4428" s="11" t="str">
        <f t="shared" si="1"/>
        <v> </v>
      </c>
      <c r="E4428" s="11" t="str">
        <f t="shared" si="2"/>
        <v> </v>
      </c>
    </row>
    <row r="4429" ht="15.75" customHeight="1">
      <c r="A4429" s="11">
        <v>16113.0</v>
      </c>
      <c r="B4429" s="11" t="s">
        <v>4432</v>
      </c>
      <c r="C4429" s="12">
        <v>19846.0</v>
      </c>
      <c r="D4429" s="11" t="str">
        <f t="shared" si="1"/>
        <v> </v>
      </c>
      <c r="E4429" s="11" t="str">
        <f t="shared" si="2"/>
        <v> </v>
      </c>
    </row>
    <row r="4430" ht="15.75" customHeight="1">
      <c r="A4430" s="11">
        <v>16114.0</v>
      </c>
      <c r="B4430" s="11" t="s">
        <v>4433</v>
      </c>
      <c r="C4430" s="12">
        <v>35491.0</v>
      </c>
      <c r="D4430" s="11" t="str">
        <f t="shared" si="1"/>
        <v> </v>
      </c>
      <c r="E4430" s="11" t="str">
        <f t="shared" si="2"/>
        <v> </v>
      </c>
    </row>
    <row r="4431" ht="15.75" customHeight="1">
      <c r="A4431" s="11">
        <v>16115.0</v>
      </c>
      <c r="B4431" s="11" t="s">
        <v>4434</v>
      </c>
      <c r="C4431" s="12">
        <v>15091.0</v>
      </c>
      <c r="D4431" s="11" t="str">
        <f t="shared" si="1"/>
        <v> </v>
      </c>
      <c r="E4431" s="11" t="str">
        <f t="shared" si="2"/>
        <v> </v>
      </c>
    </row>
    <row r="4432" ht="15.75" customHeight="1">
      <c r="A4432" s="11">
        <v>16116.0</v>
      </c>
      <c r="B4432" s="11" t="s">
        <v>4435</v>
      </c>
      <c r="C4432" s="12">
        <v>18323.0</v>
      </c>
      <c r="D4432" s="11" t="str">
        <f t="shared" si="1"/>
        <v> </v>
      </c>
      <c r="E4432" s="11" t="str">
        <f t="shared" si="2"/>
        <v> </v>
      </c>
    </row>
    <row r="4433" ht="15.75" customHeight="1">
      <c r="A4433" s="11">
        <v>16117.0</v>
      </c>
      <c r="B4433" s="11" t="s">
        <v>4436</v>
      </c>
      <c r="C4433" s="12">
        <v>21870.0</v>
      </c>
      <c r="D4433" s="11" t="str">
        <f t="shared" si="1"/>
        <v> </v>
      </c>
      <c r="E4433" s="11" t="str">
        <f t="shared" si="2"/>
        <v> </v>
      </c>
    </row>
    <row r="4434" ht="15.75" customHeight="1">
      <c r="A4434" s="11">
        <v>16118.0</v>
      </c>
      <c r="B4434" s="11" t="s">
        <v>4437</v>
      </c>
      <c r="C4434" s="12">
        <v>26651.0</v>
      </c>
      <c r="D4434" s="11" t="str">
        <f t="shared" si="1"/>
        <v> </v>
      </c>
      <c r="E4434" s="11" t="str">
        <f t="shared" si="2"/>
        <v> </v>
      </c>
    </row>
    <row r="4435" ht="15.75" customHeight="1">
      <c r="A4435" s="11">
        <v>16119.0</v>
      </c>
      <c r="B4435" s="11" t="s">
        <v>4438</v>
      </c>
      <c r="C4435" s="12">
        <v>22435.0</v>
      </c>
      <c r="D4435" s="11" t="str">
        <f t="shared" si="1"/>
        <v> </v>
      </c>
      <c r="E4435" s="11" t="str">
        <f t="shared" si="2"/>
        <v> </v>
      </c>
    </row>
    <row r="4436" ht="15.75" customHeight="1">
      <c r="A4436" s="11">
        <v>16120.0</v>
      </c>
      <c r="B4436" s="11" t="s">
        <v>4439</v>
      </c>
      <c r="C4436" s="12">
        <v>27886.0</v>
      </c>
      <c r="D4436" s="11" t="str">
        <f t="shared" si="1"/>
        <v> </v>
      </c>
      <c r="E4436" s="11" t="str">
        <f t="shared" si="2"/>
        <v> </v>
      </c>
    </row>
    <row r="4437" ht="15.75" customHeight="1">
      <c r="A4437" s="11">
        <v>16121.0</v>
      </c>
      <c r="B4437" s="11" t="s">
        <v>4440</v>
      </c>
      <c r="C4437" s="12">
        <v>18931.0</v>
      </c>
      <c r="D4437" s="11" t="str">
        <f t="shared" si="1"/>
        <v> </v>
      </c>
      <c r="E4437" s="11" t="str">
        <f t="shared" si="2"/>
        <v> </v>
      </c>
    </row>
    <row r="4438" ht="15.75" customHeight="1">
      <c r="A4438" s="11">
        <v>16122.0</v>
      </c>
      <c r="B4438" s="11" t="s">
        <v>4441</v>
      </c>
      <c r="C4438" s="12">
        <v>31911.0</v>
      </c>
      <c r="D4438" s="11" t="str">
        <f t="shared" si="1"/>
        <v> </v>
      </c>
      <c r="E4438" s="11" t="str">
        <f t="shared" si="2"/>
        <v> </v>
      </c>
    </row>
    <row r="4439" ht="15.75" customHeight="1">
      <c r="A4439" s="11">
        <v>16123.0</v>
      </c>
      <c r="B4439" s="11" t="s">
        <v>4442</v>
      </c>
      <c r="C4439" s="12">
        <v>25164.0</v>
      </c>
      <c r="D4439" s="11" t="str">
        <f t="shared" si="1"/>
        <v> </v>
      </c>
      <c r="E4439" s="11" t="str">
        <f t="shared" si="2"/>
        <v> </v>
      </c>
    </row>
    <row r="4440" ht="15.75" customHeight="1">
      <c r="A4440" s="11">
        <v>16124.0</v>
      </c>
      <c r="B4440" s="11" t="s">
        <v>4443</v>
      </c>
      <c r="C4440" s="12">
        <v>16746.0</v>
      </c>
      <c r="D4440" s="11" t="str">
        <f t="shared" si="1"/>
        <v> </v>
      </c>
      <c r="E4440" s="11" t="str">
        <f t="shared" si="2"/>
        <v> </v>
      </c>
    </row>
    <row r="4441" ht="15.75" customHeight="1">
      <c r="A4441" s="11">
        <v>16125.0</v>
      </c>
      <c r="B4441" s="11" t="s">
        <v>4444</v>
      </c>
      <c r="C4441" s="12">
        <v>21786.0</v>
      </c>
      <c r="D4441" s="11" t="str">
        <f t="shared" si="1"/>
        <v> </v>
      </c>
      <c r="E4441" s="11" t="str">
        <f t="shared" si="2"/>
        <v> </v>
      </c>
    </row>
    <row r="4442" ht="15.75" customHeight="1">
      <c r="A4442" s="11">
        <v>16126.0</v>
      </c>
      <c r="B4442" s="11" t="s">
        <v>4445</v>
      </c>
      <c r="C4442" s="12">
        <v>18371.0</v>
      </c>
      <c r="D4442" s="11" t="str">
        <f t="shared" si="1"/>
        <v> </v>
      </c>
      <c r="E4442" s="11" t="str">
        <f t="shared" si="2"/>
        <v> </v>
      </c>
    </row>
    <row r="4443" ht="15.75" customHeight="1">
      <c r="A4443" s="11">
        <v>16127.0</v>
      </c>
      <c r="B4443" s="11" t="s">
        <v>4446</v>
      </c>
      <c r="C4443" s="12">
        <v>14684.0</v>
      </c>
      <c r="D4443" s="11" t="str">
        <f t="shared" si="1"/>
        <v> </v>
      </c>
      <c r="E4443" s="11" t="str">
        <f t="shared" si="2"/>
        <v> </v>
      </c>
    </row>
    <row r="4444" ht="15.75" customHeight="1">
      <c r="A4444" s="11">
        <v>16128.0</v>
      </c>
      <c r="B4444" s="11" t="s">
        <v>4447</v>
      </c>
      <c r="C4444" s="12">
        <v>16663.0</v>
      </c>
      <c r="D4444" s="11" t="str">
        <f t="shared" si="1"/>
        <v> </v>
      </c>
      <c r="E4444" s="11" t="str">
        <f t="shared" si="2"/>
        <v> </v>
      </c>
    </row>
    <row r="4445" ht="15.75" customHeight="1">
      <c r="A4445" s="11">
        <v>16129.0</v>
      </c>
      <c r="B4445" s="11" t="s">
        <v>4448</v>
      </c>
      <c r="C4445" s="12">
        <v>22600.0</v>
      </c>
      <c r="D4445" s="11" t="str">
        <f t="shared" si="1"/>
        <v> </v>
      </c>
      <c r="E4445" s="11" t="str">
        <f t="shared" si="2"/>
        <v> </v>
      </c>
    </row>
    <row r="4446" ht="15.75" customHeight="1">
      <c r="A4446" s="11">
        <v>16130.0</v>
      </c>
      <c r="B4446" s="11" t="s">
        <v>4449</v>
      </c>
      <c r="C4446" s="12">
        <v>11757.0</v>
      </c>
      <c r="D4446" s="11" t="str">
        <f t="shared" si="1"/>
        <v> </v>
      </c>
      <c r="E4446" s="11" t="str">
        <f t="shared" si="2"/>
        <v> </v>
      </c>
    </row>
    <row r="4447" ht="15.75" customHeight="1">
      <c r="A4447" s="11">
        <v>16131.0</v>
      </c>
      <c r="B4447" s="11" t="s">
        <v>4450</v>
      </c>
      <c r="C4447" s="12">
        <v>24979.0</v>
      </c>
      <c r="D4447" s="11" t="str">
        <f t="shared" si="1"/>
        <v> </v>
      </c>
      <c r="E4447" s="11" t="str">
        <f t="shared" si="2"/>
        <v> </v>
      </c>
    </row>
    <row r="4448" ht="15.75" customHeight="1">
      <c r="A4448" s="11">
        <v>16132.0</v>
      </c>
      <c r="B4448" s="11" t="s">
        <v>4451</v>
      </c>
      <c r="C4448" s="12">
        <v>27950.0</v>
      </c>
      <c r="D4448" s="11" t="str">
        <f t="shared" si="1"/>
        <v> </v>
      </c>
      <c r="E4448" s="11" t="str">
        <f t="shared" si="2"/>
        <v> </v>
      </c>
    </row>
    <row r="4449" ht="15.75" customHeight="1">
      <c r="A4449" s="11">
        <v>16133.0</v>
      </c>
      <c r="B4449" s="11" t="s">
        <v>4452</v>
      </c>
      <c r="C4449" s="12">
        <v>25822.0</v>
      </c>
      <c r="D4449" s="11" t="str">
        <f t="shared" si="1"/>
        <v> </v>
      </c>
      <c r="E4449" s="11" t="str">
        <f t="shared" si="2"/>
        <v> </v>
      </c>
    </row>
    <row r="4450" ht="15.75" customHeight="1">
      <c r="A4450" s="11">
        <v>16134.0</v>
      </c>
      <c r="B4450" s="11" t="s">
        <v>4453</v>
      </c>
      <c r="C4450" s="12">
        <v>13744.0</v>
      </c>
      <c r="D4450" s="11" t="str">
        <f t="shared" si="1"/>
        <v> </v>
      </c>
      <c r="E4450" s="11" t="str">
        <f t="shared" si="2"/>
        <v> </v>
      </c>
    </row>
    <row r="4451" ht="15.75" customHeight="1">
      <c r="A4451" s="11">
        <v>16135.0</v>
      </c>
      <c r="B4451" s="11" t="s">
        <v>4454</v>
      </c>
      <c r="C4451" s="12">
        <v>26455.0</v>
      </c>
      <c r="D4451" s="11" t="str">
        <f t="shared" si="1"/>
        <v> </v>
      </c>
      <c r="E4451" s="11" t="str">
        <f t="shared" si="2"/>
        <v> </v>
      </c>
    </row>
    <row r="4452" ht="15.75" customHeight="1">
      <c r="A4452" s="11">
        <v>16136.0</v>
      </c>
      <c r="B4452" s="11" t="s">
        <v>4455</v>
      </c>
      <c r="C4452" s="12">
        <v>24666.0</v>
      </c>
      <c r="D4452" s="11" t="str">
        <f t="shared" si="1"/>
        <v> </v>
      </c>
      <c r="E4452" s="11" t="str">
        <f t="shared" si="2"/>
        <v> </v>
      </c>
    </row>
    <row r="4453" ht="15.75" customHeight="1">
      <c r="A4453" s="11">
        <v>16138.0</v>
      </c>
      <c r="B4453" s="11" t="s">
        <v>4456</v>
      </c>
      <c r="C4453" s="12">
        <v>31240.0</v>
      </c>
      <c r="D4453" s="11" t="str">
        <f t="shared" si="1"/>
        <v> </v>
      </c>
      <c r="E4453" s="11" t="str">
        <f t="shared" si="2"/>
        <v> </v>
      </c>
    </row>
    <row r="4454" ht="15.75" customHeight="1">
      <c r="A4454" s="11">
        <v>16139.0</v>
      </c>
      <c r="B4454" s="11" t="s">
        <v>4457</v>
      </c>
      <c r="C4454" s="12">
        <v>31019.0</v>
      </c>
      <c r="D4454" s="11" t="str">
        <f t="shared" si="1"/>
        <v> </v>
      </c>
      <c r="E4454" s="11" t="str">
        <f t="shared" si="2"/>
        <v>Repeat</v>
      </c>
    </row>
    <row r="4455" ht="15.75" customHeight="1">
      <c r="A4455" s="11">
        <v>16140.0</v>
      </c>
      <c r="B4455" s="11" t="s">
        <v>4458</v>
      </c>
      <c r="C4455" s="12">
        <v>19835.0</v>
      </c>
      <c r="D4455" s="11" t="str">
        <f t="shared" si="1"/>
        <v> </v>
      </c>
      <c r="E4455" s="11" t="str">
        <f t="shared" si="2"/>
        <v> </v>
      </c>
    </row>
    <row r="4456" ht="15.75" customHeight="1">
      <c r="A4456" s="11">
        <v>16142.0</v>
      </c>
      <c r="B4456" s="11" t="s">
        <v>4459</v>
      </c>
      <c r="C4456" s="12">
        <v>28443.0</v>
      </c>
      <c r="D4456" s="11" t="str">
        <f t="shared" si="1"/>
        <v> </v>
      </c>
      <c r="E4456" s="11" t="str">
        <f t="shared" si="2"/>
        <v> </v>
      </c>
    </row>
    <row r="4457" ht="15.75" customHeight="1">
      <c r="A4457" s="11">
        <v>16145.0</v>
      </c>
      <c r="B4457" s="11" t="s">
        <v>4460</v>
      </c>
      <c r="C4457" s="12">
        <v>28048.0</v>
      </c>
      <c r="D4457" s="11" t="str">
        <f t="shared" si="1"/>
        <v> </v>
      </c>
      <c r="E4457" s="11" t="str">
        <f t="shared" si="2"/>
        <v> </v>
      </c>
    </row>
    <row r="4458" ht="15.75" customHeight="1">
      <c r="A4458" s="11">
        <v>16147.0</v>
      </c>
      <c r="B4458" s="11" t="s">
        <v>4461</v>
      </c>
      <c r="C4458" s="12">
        <v>21509.0</v>
      </c>
      <c r="D4458" s="11" t="str">
        <f t="shared" si="1"/>
        <v> </v>
      </c>
      <c r="E4458" s="11" t="str">
        <f t="shared" si="2"/>
        <v> </v>
      </c>
    </row>
    <row r="4459" ht="15.75" customHeight="1">
      <c r="A4459" s="11">
        <v>16148.0</v>
      </c>
      <c r="B4459" s="11" t="s">
        <v>4462</v>
      </c>
      <c r="C4459" s="12">
        <v>20613.0</v>
      </c>
      <c r="D4459" s="11" t="str">
        <f t="shared" si="1"/>
        <v> </v>
      </c>
      <c r="E4459" s="11" t="str">
        <f t="shared" si="2"/>
        <v> </v>
      </c>
    </row>
    <row r="4460" ht="15.75" customHeight="1">
      <c r="A4460" s="11">
        <v>16149.0</v>
      </c>
      <c r="B4460" s="11" t="s">
        <v>4463</v>
      </c>
      <c r="C4460" s="12">
        <v>14652.0</v>
      </c>
      <c r="D4460" s="11" t="str">
        <f t="shared" si="1"/>
        <v> </v>
      </c>
      <c r="E4460" s="11" t="str">
        <f t="shared" si="2"/>
        <v> </v>
      </c>
    </row>
    <row r="4461" ht="15.75" customHeight="1">
      <c r="A4461" s="11">
        <v>16150.0</v>
      </c>
      <c r="B4461" s="11" t="s">
        <v>4464</v>
      </c>
      <c r="C4461" s="12">
        <v>12095.0</v>
      </c>
      <c r="D4461" s="11" t="str">
        <f t="shared" si="1"/>
        <v> </v>
      </c>
      <c r="E4461" s="11" t="str">
        <f t="shared" si="2"/>
        <v> </v>
      </c>
    </row>
    <row r="4462" ht="15.75" customHeight="1">
      <c r="A4462" s="11">
        <v>16151.0</v>
      </c>
      <c r="B4462" s="11" t="s">
        <v>717</v>
      </c>
      <c r="C4462" s="12">
        <v>11393.0</v>
      </c>
      <c r="D4462" s="11" t="str">
        <f t="shared" si="1"/>
        <v>Repeat</v>
      </c>
      <c r="E4462" s="11" t="str">
        <f t="shared" si="2"/>
        <v> </v>
      </c>
    </row>
    <row r="4463" ht="15.75" customHeight="1">
      <c r="A4463" s="11">
        <v>16152.0</v>
      </c>
      <c r="B4463" s="11" t="s">
        <v>4465</v>
      </c>
      <c r="C4463" s="12">
        <v>20475.0</v>
      </c>
      <c r="D4463" s="11" t="str">
        <f t="shared" si="1"/>
        <v> </v>
      </c>
      <c r="E4463" s="11" t="str">
        <f t="shared" si="2"/>
        <v> </v>
      </c>
    </row>
    <row r="4464" ht="15.75" customHeight="1">
      <c r="A4464" s="11">
        <v>16153.0</v>
      </c>
      <c r="B4464" s="11" t="s">
        <v>4466</v>
      </c>
      <c r="C4464" s="12">
        <v>19614.0</v>
      </c>
      <c r="D4464" s="11" t="str">
        <f t="shared" si="1"/>
        <v> </v>
      </c>
      <c r="E4464" s="11" t="str">
        <f t="shared" si="2"/>
        <v> </v>
      </c>
    </row>
    <row r="4465" ht="15.75" customHeight="1">
      <c r="A4465" s="11">
        <v>16154.0</v>
      </c>
      <c r="B4465" s="11" t="s">
        <v>4467</v>
      </c>
      <c r="C4465" s="12">
        <v>21842.0</v>
      </c>
      <c r="D4465" s="11" t="str">
        <f t="shared" si="1"/>
        <v> </v>
      </c>
      <c r="E4465" s="11" t="str">
        <f t="shared" si="2"/>
        <v> </v>
      </c>
    </row>
    <row r="4466" ht="15.75" customHeight="1">
      <c r="A4466" s="11">
        <v>16155.0</v>
      </c>
      <c r="B4466" s="11" t="s">
        <v>4468</v>
      </c>
      <c r="C4466" s="12">
        <v>25004.0</v>
      </c>
      <c r="D4466" s="11" t="str">
        <f t="shared" si="1"/>
        <v> </v>
      </c>
      <c r="E4466" s="11" t="str">
        <f t="shared" si="2"/>
        <v> </v>
      </c>
    </row>
    <row r="4467" ht="15.75" customHeight="1">
      <c r="A4467" s="11">
        <v>16156.0</v>
      </c>
      <c r="B4467" s="11" t="s">
        <v>4469</v>
      </c>
      <c r="C4467" s="12">
        <v>29705.0</v>
      </c>
      <c r="D4467" s="11" t="str">
        <f t="shared" si="1"/>
        <v> </v>
      </c>
      <c r="E4467" s="11" t="str">
        <f t="shared" si="2"/>
        <v> </v>
      </c>
    </row>
    <row r="4468" ht="15.75" customHeight="1">
      <c r="A4468" s="11">
        <v>16157.0</v>
      </c>
      <c r="B4468" s="11" t="s">
        <v>4470</v>
      </c>
      <c r="C4468" s="12">
        <v>22862.0</v>
      </c>
      <c r="D4468" s="11" t="str">
        <f t="shared" si="1"/>
        <v> </v>
      </c>
      <c r="E4468" s="11" t="str">
        <f t="shared" si="2"/>
        <v> </v>
      </c>
    </row>
    <row r="4469" ht="15.75" customHeight="1">
      <c r="A4469" s="11">
        <v>16158.0</v>
      </c>
      <c r="B4469" s="11" t="s">
        <v>4471</v>
      </c>
      <c r="C4469" s="12">
        <v>32270.0</v>
      </c>
      <c r="D4469" s="11" t="str">
        <f t="shared" si="1"/>
        <v> </v>
      </c>
      <c r="E4469" s="11" t="str">
        <f t="shared" si="2"/>
        <v> </v>
      </c>
    </row>
    <row r="4470" ht="15.75" customHeight="1">
      <c r="A4470" s="11">
        <v>16159.0</v>
      </c>
      <c r="B4470" s="11" t="s">
        <v>4472</v>
      </c>
      <c r="C4470" s="12">
        <v>13470.0</v>
      </c>
      <c r="D4470" s="11" t="str">
        <f t="shared" si="1"/>
        <v> </v>
      </c>
      <c r="E4470" s="11" t="str">
        <f t="shared" si="2"/>
        <v> </v>
      </c>
    </row>
    <row r="4471" ht="15.75" customHeight="1">
      <c r="A4471" s="11">
        <v>16160.0</v>
      </c>
      <c r="B4471" s="11" t="s">
        <v>4473</v>
      </c>
      <c r="C4471" s="12">
        <v>15366.0</v>
      </c>
      <c r="D4471" s="11" t="str">
        <f t="shared" si="1"/>
        <v> </v>
      </c>
      <c r="E4471" s="11" t="str">
        <f t="shared" si="2"/>
        <v> </v>
      </c>
    </row>
    <row r="4472" ht="15.75" customHeight="1">
      <c r="A4472" s="11">
        <v>16161.0</v>
      </c>
      <c r="B4472" s="11" t="s">
        <v>4474</v>
      </c>
      <c r="C4472" s="12">
        <v>22085.0</v>
      </c>
      <c r="D4472" s="11" t="str">
        <f t="shared" si="1"/>
        <v> </v>
      </c>
      <c r="E4472" s="11" t="str">
        <f t="shared" si="2"/>
        <v> </v>
      </c>
    </row>
    <row r="4473" ht="15.75" customHeight="1">
      <c r="A4473" s="11">
        <v>16163.0</v>
      </c>
      <c r="B4473" s="11" t="s">
        <v>4475</v>
      </c>
      <c r="C4473" s="12">
        <v>30495.0</v>
      </c>
      <c r="D4473" s="11" t="str">
        <f t="shared" si="1"/>
        <v> </v>
      </c>
      <c r="E4473" s="11" t="str">
        <f t="shared" si="2"/>
        <v> </v>
      </c>
    </row>
    <row r="4474" ht="15.75" customHeight="1">
      <c r="A4474" s="11">
        <v>16164.0</v>
      </c>
      <c r="B4474" s="11" t="s">
        <v>4476</v>
      </c>
      <c r="C4474" s="12">
        <v>35660.0</v>
      </c>
      <c r="D4474" s="11" t="str">
        <f t="shared" si="1"/>
        <v> </v>
      </c>
      <c r="E4474" s="11" t="str">
        <f t="shared" si="2"/>
        <v> </v>
      </c>
    </row>
    <row r="4475" ht="15.75" customHeight="1">
      <c r="A4475" s="11">
        <v>16165.0</v>
      </c>
      <c r="B4475" s="11" t="s">
        <v>4477</v>
      </c>
      <c r="C4475" s="12">
        <v>20739.0</v>
      </c>
      <c r="D4475" s="11" t="str">
        <f t="shared" si="1"/>
        <v> </v>
      </c>
      <c r="E4475" s="11" t="str">
        <f t="shared" si="2"/>
        <v> </v>
      </c>
    </row>
    <row r="4476" ht="15.75" customHeight="1">
      <c r="A4476" s="11">
        <v>16166.0</v>
      </c>
      <c r="B4476" s="11" t="s">
        <v>4478</v>
      </c>
      <c r="C4476" s="12">
        <v>21767.0</v>
      </c>
      <c r="D4476" s="11" t="str">
        <f t="shared" si="1"/>
        <v> </v>
      </c>
      <c r="E4476" s="11" t="str">
        <f t="shared" si="2"/>
        <v> </v>
      </c>
    </row>
    <row r="4477" ht="15.75" customHeight="1">
      <c r="A4477" s="11">
        <v>16167.0</v>
      </c>
      <c r="B4477" s="11" t="s">
        <v>4479</v>
      </c>
      <c r="C4477" s="12">
        <v>19877.0</v>
      </c>
      <c r="D4477" s="11" t="str">
        <f t="shared" si="1"/>
        <v> </v>
      </c>
      <c r="E4477" s="11" t="str">
        <f t="shared" si="2"/>
        <v> </v>
      </c>
    </row>
    <row r="4478" ht="15.75" customHeight="1">
      <c r="A4478" s="11">
        <v>16170.0</v>
      </c>
      <c r="B4478" s="11" t="s">
        <v>4480</v>
      </c>
      <c r="C4478" s="12">
        <v>14821.0</v>
      </c>
      <c r="D4478" s="11" t="str">
        <f t="shared" si="1"/>
        <v> </v>
      </c>
      <c r="E4478" s="11" t="str">
        <f t="shared" si="2"/>
        <v> </v>
      </c>
    </row>
    <row r="4479" ht="15.75" customHeight="1">
      <c r="A4479" s="11">
        <v>16171.0</v>
      </c>
      <c r="B4479" s="11" t="s">
        <v>4481</v>
      </c>
      <c r="C4479" s="12">
        <v>23762.0</v>
      </c>
      <c r="D4479" s="11" t="str">
        <f t="shared" si="1"/>
        <v> </v>
      </c>
      <c r="E4479" s="11" t="str">
        <f t="shared" si="2"/>
        <v> </v>
      </c>
    </row>
    <row r="4480" ht="15.75" customHeight="1">
      <c r="A4480" s="11">
        <v>16172.0</v>
      </c>
      <c r="B4480" s="11" t="s">
        <v>4482</v>
      </c>
      <c r="C4480" s="12">
        <v>28162.0</v>
      </c>
      <c r="D4480" s="11" t="str">
        <f t="shared" si="1"/>
        <v> </v>
      </c>
      <c r="E4480" s="11" t="str">
        <f t="shared" si="2"/>
        <v> </v>
      </c>
    </row>
    <row r="4481" ht="15.75" customHeight="1">
      <c r="A4481" s="11">
        <v>16173.0</v>
      </c>
      <c r="B4481" s="11" t="s">
        <v>4483</v>
      </c>
      <c r="C4481" s="12">
        <v>28506.0</v>
      </c>
      <c r="D4481" s="11" t="str">
        <f t="shared" si="1"/>
        <v> </v>
      </c>
      <c r="E4481" s="11" t="str">
        <f t="shared" si="2"/>
        <v> </v>
      </c>
    </row>
    <row r="4482" ht="15.75" customHeight="1">
      <c r="A4482" s="11">
        <v>16174.0</v>
      </c>
      <c r="B4482" s="11" t="s">
        <v>4484</v>
      </c>
      <c r="C4482" s="12">
        <v>29733.0</v>
      </c>
      <c r="D4482" s="11" t="str">
        <f t="shared" si="1"/>
        <v> </v>
      </c>
      <c r="E4482" s="11" t="str">
        <f t="shared" si="2"/>
        <v> </v>
      </c>
    </row>
    <row r="4483" ht="15.75" customHeight="1">
      <c r="A4483" s="11">
        <v>16175.0</v>
      </c>
      <c r="B4483" s="11" t="s">
        <v>4485</v>
      </c>
      <c r="C4483" s="12">
        <v>15210.0</v>
      </c>
      <c r="D4483" s="11" t="str">
        <f t="shared" si="1"/>
        <v> </v>
      </c>
      <c r="E4483" s="11" t="str">
        <f t="shared" si="2"/>
        <v> </v>
      </c>
    </row>
    <row r="4484" ht="15.75" customHeight="1">
      <c r="A4484" s="11">
        <v>16176.0</v>
      </c>
      <c r="B4484" s="11" t="s">
        <v>4486</v>
      </c>
      <c r="C4484" s="12">
        <v>24766.0</v>
      </c>
      <c r="D4484" s="11" t="str">
        <f t="shared" si="1"/>
        <v> </v>
      </c>
      <c r="E4484" s="11" t="str">
        <f t="shared" si="2"/>
        <v> </v>
      </c>
    </row>
    <row r="4485" ht="15.75" customHeight="1">
      <c r="A4485" s="11">
        <v>16177.0</v>
      </c>
      <c r="B4485" s="11" t="s">
        <v>4487</v>
      </c>
      <c r="C4485" s="12">
        <v>15455.0</v>
      </c>
      <c r="D4485" s="11" t="str">
        <f t="shared" si="1"/>
        <v> </v>
      </c>
      <c r="E4485" s="11" t="str">
        <f t="shared" si="2"/>
        <v> </v>
      </c>
    </row>
    <row r="4486" ht="15.75" customHeight="1">
      <c r="A4486" s="11">
        <v>16178.0</v>
      </c>
      <c r="B4486" s="11" t="s">
        <v>4488</v>
      </c>
      <c r="C4486" s="12">
        <v>16356.0</v>
      </c>
      <c r="D4486" s="11" t="str">
        <f t="shared" si="1"/>
        <v> </v>
      </c>
      <c r="E4486" s="11" t="str">
        <f t="shared" si="2"/>
        <v> </v>
      </c>
    </row>
    <row r="4487" ht="15.75" customHeight="1">
      <c r="A4487" s="11">
        <v>16179.0</v>
      </c>
      <c r="B4487" s="11" t="s">
        <v>4489</v>
      </c>
      <c r="C4487" s="12">
        <v>22315.0</v>
      </c>
      <c r="D4487" s="11" t="str">
        <f t="shared" si="1"/>
        <v> </v>
      </c>
      <c r="E4487" s="11" t="str">
        <f t="shared" si="2"/>
        <v> </v>
      </c>
    </row>
    <row r="4488" ht="15.75" customHeight="1">
      <c r="A4488" s="11">
        <v>16181.0</v>
      </c>
      <c r="B4488" s="11" t="s">
        <v>4490</v>
      </c>
      <c r="C4488" s="12">
        <v>12396.0</v>
      </c>
      <c r="D4488" s="11" t="str">
        <f t="shared" si="1"/>
        <v> </v>
      </c>
      <c r="E4488" s="11" t="str">
        <f t="shared" si="2"/>
        <v> </v>
      </c>
    </row>
    <row r="4489" ht="15.75" customHeight="1">
      <c r="A4489" s="11">
        <v>16182.0</v>
      </c>
      <c r="B4489" s="11" t="s">
        <v>4491</v>
      </c>
      <c r="C4489" s="12">
        <v>19965.0</v>
      </c>
      <c r="D4489" s="11" t="str">
        <f t="shared" si="1"/>
        <v> </v>
      </c>
      <c r="E4489" s="11" t="str">
        <f t="shared" si="2"/>
        <v> </v>
      </c>
    </row>
    <row r="4490" ht="15.75" customHeight="1">
      <c r="A4490" s="11">
        <v>16183.0</v>
      </c>
      <c r="B4490" s="11" t="s">
        <v>4492</v>
      </c>
      <c r="C4490" s="12">
        <v>21935.0</v>
      </c>
      <c r="D4490" s="11" t="str">
        <f t="shared" si="1"/>
        <v> </v>
      </c>
      <c r="E4490" s="11" t="str">
        <f t="shared" si="2"/>
        <v> </v>
      </c>
    </row>
    <row r="4491" ht="15.75" customHeight="1">
      <c r="A4491" s="11">
        <v>16184.0</v>
      </c>
      <c r="B4491" s="11" t="s">
        <v>4493</v>
      </c>
      <c r="C4491" s="12">
        <v>17049.0</v>
      </c>
      <c r="D4491" s="11" t="str">
        <f t="shared" si="1"/>
        <v> </v>
      </c>
      <c r="E4491" s="11" t="str">
        <f t="shared" si="2"/>
        <v> </v>
      </c>
    </row>
    <row r="4492" ht="15.75" customHeight="1">
      <c r="A4492" s="11">
        <v>16186.0</v>
      </c>
      <c r="B4492" s="11" t="s">
        <v>4494</v>
      </c>
      <c r="C4492" s="12">
        <v>20468.0</v>
      </c>
      <c r="D4492" s="11" t="str">
        <f t="shared" si="1"/>
        <v> </v>
      </c>
      <c r="E4492" s="11" t="str">
        <f t="shared" si="2"/>
        <v> </v>
      </c>
    </row>
    <row r="4493" ht="15.75" customHeight="1">
      <c r="A4493" s="11">
        <v>16187.0</v>
      </c>
      <c r="B4493" s="11" t="s">
        <v>4495</v>
      </c>
      <c r="C4493" s="12">
        <v>16346.0</v>
      </c>
      <c r="D4493" s="11" t="str">
        <f t="shared" si="1"/>
        <v>Repeat</v>
      </c>
      <c r="E4493" s="11" t="str">
        <f t="shared" si="2"/>
        <v> </v>
      </c>
    </row>
    <row r="4494" ht="15.75" customHeight="1">
      <c r="A4494" s="11">
        <v>16188.0</v>
      </c>
      <c r="B4494" s="11" t="s">
        <v>4496</v>
      </c>
      <c r="C4494" s="12">
        <v>25958.0</v>
      </c>
      <c r="D4494" s="11" t="str">
        <f t="shared" si="1"/>
        <v> </v>
      </c>
      <c r="E4494" s="11" t="str">
        <f t="shared" si="2"/>
        <v> </v>
      </c>
    </row>
    <row r="4495" ht="15.75" customHeight="1">
      <c r="A4495" s="11">
        <v>16189.0</v>
      </c>
      <c r="B4495" s="11" t="s">
        <v>4497</v>
      </c>
      <c r="C4495" s="12">
        <v>21423.0</v>
      </c>
      <c r="D4495" s="11" t="str">
        <f t="shared" si="1"/>
        <v> </v>
      </c>
      <c r="E4495" s="11" t="str">
        <f t="shared" si="2"/>
        <v> </v>
      </c>
    </row>
    <row r="4496" ht="15.75" customHeight="1">
      <c r="A4496" s="11">
        <v>16190.0</v>
      </c>
      <c r="B4496" s="11" t="s">
        <v>4498</v>
      </c>
      <c r="C4496" s="12">
        <v>15922.0</v>
      </c>
      <c r="D4496" s="11" t="str">
        <f t="shared" si="1"/>
        <v> </v>
      </c>
      <c r="E4496" s="11" t="str">
        <f t="shared" si="2"/>
        <v> </v>
      </c>
    </row>
    <row r="4497" ht="15.75" customHeight="1">
      <c r="A4497" s="11">
        <v>16191.0</v>
      </c>
      <c r="B4497" s="11" t="s">
        <v>4499</v>
      </c>
      <c r="C4497" s="12">
        <v>20630.0</v>
      </c>
      <c r="D4497" s="11" t="str">
        <f t="shared" si="1"/>
        <v> </v>
      </c>
      <c r="E4497" s="11" t="str">
        <f t="shared" si="2"/>
        <v> </v>
      </c>
    </row>
    <row r="4498" ht="15.75" customHeight="1">
      <c r="A4498" s="11">
        <v>16192.0</v>
      </c>
      <c r="B4498" s="11" t="s">
        <v>4500</v>
      </c>
      <c r="C4498" s="12">
        <v>26875.0</v>
      </c>
      <c r="D4498" s="11" t="str">
        <f t="shared" si="1"/>
        <v> </v>
      </c>
      <c r="E4498" s="11" t="str">
        <f t="shared" si="2"/>
        <v> </v>
      </c>
    </row>
    <row r="4499" ht="15.75" customHeight="1">
      <c r="A4499" s="11">
        <v>16193.0</v>
      </c>
      <c r="B4499" s="11" t="s">
        <v>4501</v>
      </c>
      <c r="C4499" s="12">
        <v>17497.0</v>
      </c>
      <c r="D4499" s="11" t="str">
        <f t="shared" si="1"/>
        <v> </v>
      </c>
      <c r="E4499" s="11" t="str">
        <f t="shared" si="2"/>
        <v> </v>
      </c>
    </row>
    <row r="4500" ht="15.75" customHeight="1">
      <c r="A4500" s="11">
        <v>16194.0</v>
      </c>
      <c r="B4500" s="11" t="s">
        <v>4502</v>
      </c>
      <c r="C4500" s="12">
        <v>37491.0</v>
      </c>
      <c r="D4500" s="11" t="str">
        <f t="shared" si="1"/>
        <v> </v>
      </c>
      <c r="E4500" s="11" t="str">
        <f t="shared" si="2"/>
        <v> </v>
      </c>
    </row>
    <row r="4501" ht="15.75" customHeight="1">
      <c r="A4501" s="11">
        <v>16196.0</v>
      </c>
      <c r="B4501" s="11" t="s">
        <v>4503</v>
      </c>
      <c r="C4501" s="12">
        <v>17763.0</v>
      </c>
      <c r="D4501" s="11" t="str">
        <f t="shared" si="1"/>
        <v> </v>
      </c>
      <c r="E4501" s="11" t="str">
        <f t="shared" si="2"/>
        <v> </v>
      </c>
    </row>
    <row r="4502" ht="15.75" customHeight="1">
      <c r="A4502" s="11">
        <v>16197.0</v>
      </c>
      <c r="B4502" s="11" t="s">
        <v>4504</v>
      </c>
      <c r="C4502" s="12">
        <v>26334.0</v>
      </c>
      <c r="D4502" s="11" t="str">
        <f t="shared" si="1"/>
        <v> </v>
      </c>
      <c r="E4502" s="11" t="str">
        <f t="shared" si="2"/>
        <v> </v>
      </c>
    </row>
    <row r="4503" ht="15.75" customHeight="1">
      <c r="A4503" s="11">
        <v>16199.0</v>
      </c>
      <c r="B4503" s="11" t="s">
        <v>4505</v>
      </c>
      <c r="C4503" s="12">
        <v>22598.0</v>
      </c>
      <c r="D4503" s="11" t="str">
        <f t="shared" si="1"/>
        <v> </v>
      </c>
      <c r="E4503" s="11" t="str">
        <f t="shared" si="2"/>
        <v> </v>
      </c>
    </row>
    <row r="4504" ht="15.75" customHeight="1">
      <c r="A4504" s="11">
        <v>16200.0</v>
      </c>
      <c r="B4504" s="11" t="s">
        <v>4506</v>
      </c>
      <c r="C4504" s="12">
        <v>26484.0</v>
      </c>
      <c r="D4504" s="11" t="str">
        <f t="shared" si="1"/>
        <v> </v>
      </c>
      <c r="E4504" s="11" t="str">
        <f t="shared" si="2"/>
        <v> </v>
      </c>
    </row>
    <row r="4505" ht="15.75" customHeight="1">
      <c r="A4505" s="11">
        <v>16202.0</v>
      </c>
      <c r="B4505" s="11" t="s">
        <v>4507</v>
      </c>
      <c r="C4505" s="12">
        <v>24456.0</v>
      </c>
      <c r="D4505" s="11" t="str">
        <f t="shared" si="1"/>
        <v> </v>
      </c>
      <c r="E4505" s="11" t="str">
        <f t="shared" si="2"/>
        <v> </v>
      </c>
    </row>
    <row r="4506" ht="15.75" customHeight="1">
      <c r="A4506" s="11">
        <v>16203.0</v>
      </c>
      <c r="B4506" s="11" t="s">
        <v>4508</v>
      </c>
      <c r="C4506" s="12">
        <v>20489.0</v>
      </c>
      <c r="D4506" s="11" t="str">
        <f t="shared" si="1"/>
        <v> </v>
      </c>
      <c r="E4506" s="11" t="str">
        <f t="shared" si="2"/>
        <v> </v>
      </c>
    </row>
    <row r="4507" ht="15.75" customHeight="1">
      <c r="A4507" s="11">
        <v>16204.0</v>
      </c>
      <c r="B4507" s="11" t="s">
        <v>4509</v>
      </c>
      <c r="C4507" s="12">
        <v>19496.0</v>
      </c>
      <c r="D4507" s="11" t="str">
        <f t="shared" si="1"/>
        <v> </v>
      </c>
      <c r="E4507" s="11" t="str">
        <f t="shared" si="2"/>
        <v> </v>
      </c>
    </row>
    <row r="4508" ht="15.75" customHeight="1">
      <c r="A4508" s="11">
        <v>16206.0</v>
      </c>
      <c r="B4508" s="11" t="s">
        <v>4510</v>
      </c>
      <c r="C4508" s="12">
        <v>21629.0</v>
      </c>
      <c r="D4508" s="11" t="str">
        <f t="shared" si="1"/>
        <v> </v>
      </c>
      <c r="E4508" s="11" t="str">
        <f t="shared" si="2"/>
        <v> </v>
      </c>
    </row>
    <row r="4509" ht="15.75" customHeight="1">
      <c r="A4509" s="11">
        <v>16207.0</v>
      </c>
      <c r="B4509" s="11" t="s">
        <v>4511</v>
      </c>
      <c r="C4509" s="12">
        <v>21909.0</v>
      </c>
      <c r="D4509" s="11" t="str">
        <f t="shared" si="1"/>
        <v> </v>
      </c>
      <c r="E4509" s="11" t="str">
        <f t="shared" si="2"/>
        <v> </v>
      </c>
    </row>
    <row r="4510" ht="15.75" customHeight="1">
      <c r="A4510" s="11">
        <v>16208.0</v>
      </c>
      <c r="B4510" s="11" t="s">
        <v>4512</v>
      </c>
      <c r="C4510" s="12">
        <v>15733.0</v>
      </c>
      <c r="D4510" s="11" t="str">
        <f t="shared" si="1"/>
        <v> </v>
      </c>
      <c r="E4510" s="11" t="str">
        <f t="shared" si="2"/>
        <v> </v>
      </c>
    </row>
    <row r="4511" ht="15.75" customHeight="1">
      <c r="A4511" s="11">
        <v>16209.0</v>
      </c>
      <c r="B4511" s="11" t="s">
        <v>4513</v>
      </c>
      <c r="C4511" s="12">
        <v>18602.0</v>
      </c>
      <c r="D4511" s="11" t="str">
        <f t="shared" si="1"/>
        <v> </v>
      </c>
      <c r="E4511" s="11" t="str">
        <f t="shared" si="2"/>
        <v> </v>
      </c>
    </row>
    <row r="4512" ht="15.75" customHeight="1">
      <c r="A4512" s="11">
        <v>16210.0</v>
      </c>
      <c r="B4512" s="11" t="s">
        <v>4514</v>
      </c>
      <c r="C4512" s="12">
        <v>21794.0</v>
      </c>
      <c r="D4512" s="11" t="str">
        <f t="shared" si="1"/>
        <v> </v>
      </c>
      <c r="E4512" s="11" t="str">
        <f t="shared" si="2"/>
        <v> </v>
      </c>
    </row>
    <row r="4513" ht="15.75" customHeight="1">
      <c r="A4513" s="11">
        <v>16211.0</v>
      </c>
      <c r="B4513" s="11" t="s">
        <v>4515</v>
      </c>
      <c r="C4513" s="12">
        <v>21043.0</v>
      </c>
      <c r="D4513" s="11" t="str">
        <f t="shared" si="1"/>
        <v> </v>
      </c>
      <c r="E4513" s="11" t="str">
        <f t="shared" si="2"/>
        <v> </v>
      </c>
    </row>
    <row r="4514" ht="15.75" customHeight="1">
      <c r="A4514" s="11">
        <v>16213.0</v>
      </c>
      <c r="B4514" s="11" t="s">
        <v>4516</v>
      </c>
      <c r="C4514" s="12">
        <v>32484.0</v>
      </c>
      <c r="D4514" s="11" t="str">
        <f t="shared" si="1"/>
        <v> </v>
      </c>
      <c r="E4514" s="11" t="str">
        <f t="shared" si="2"/>
        <v> </v>
      </c>
    </row>
    <row r="4515" ht="15.75" customHeight="1">
      <c r="A4515" s="11">
        <v>16214.0</v>
      </c>
      <c r="B4515" s="11" t="s">
        <v>4517</v>
      </c>
      <c r="C4515" s="12">
        <v>28904.0</v>
      </c>
      <c r="D4515" s="11" t="str">
        <f t="shared" si="1"/>
        <v> </v>
      </c>
      <c r="E4515" s="11" t="str">
        <f t="shared" si="2"/>
        <v> </v>
      </c>
    </row>
    <row r="4516" ht="15.75" customHeight="1">
      <c r="A4516" s="11">
        <v>16215.0</v>
      </c>
      <c r="B4516" s="11" t="s">
        <v>4518</v>
      </c>
      <c r="C4516" s="12">
        <v>22092.0</v>
      </c>
      <c r="D4516" s="11" t="str">
        <f t="shared" si="1"/>
        <v> </v>
      </c>
      <c r="E4516" s="11" t="str">
        <f t="shared" si="2"/>
        <v> </v>
      </c>
    </row>
    <row r="4517" ht="15.75" customHeight="1">
      <c r="A4517" s="11">
        <v>16216.0</v>
      </c>
      <c r="B4517" s="11" t="s">
        <v>4519</v>
      </c>
      <c r="C4517" s="12">
        <v>25289.0</v>
      </c>
      <c r="D4517" s="11" t="str">
        <f t="shared" si="1"/>
        <v> </v>
      </c>
      <c r="E4517" s="11" t="str">
        <f t="shared" si="2"/>
        <v> </v>
      </c>
    </row>
    <row r="4518" ht="15.75" customHeight="1">
      <c r="A4518" s="11">
        <v>16218.0</v>
      </c>
      <c r="B4518" s="11" t="s">
        <v>4520</v>
      </c>
      <c r="C4518" s="12">
        <v>26306.0</v>
      </c>
      <c r="D4518" s="11" t="str">
        <f t="shared" si="1"/>
        <v> </v>
      </c>
      <c r="E4518" s="11" t="str">
        <f t="shared" si="2"/>
        <v> </v>
      </c>
    </row>
    <row r="4519" ht="15.75" customHeight="1">
      <c r="A4519" s="11">
        <v>16219.0</v>
      </c>
      <c r="B4519" s="11" t="s">
        <v>4521</v>
      </c>
      <c r="C4519" s="12">
        <v>24090.0</v>
      </c>
      <c r="D4519" s="11" t="str">
        <f t="shared" si="1"/>
        <v> </v>
      </c>
      <c r="E4519" s="11" t="str">
        <f t="shared" si="2"/>
        <v> </v>
      </c>
    </row>
    <row r="4520" ht="15.75" customHeight="1">
      <c r="A4520" s="11">
        <v>16220.0</v>
      </c>
      <c r="B4520" s="11" t="s">
        <v>2118</v>
      </c>
      <c r="C4520" s="12">
        <v>15500.0</v>
      </c>
      <c r="D4520" s="11" t="str">
        <f t="shared" si="1"/>
        <v>Repeat</v>
      </c>
      <c r="E4520" s="11" t="str">
        <f t="shared" si="2"/>
        <v> </v>
      </c>
    </row>
    <row r="4521" ht="15.75" customHeight="1">
      <c r="A4521" s="11">
        <v>16221.0</v>
      </c>
      <c r="B4521" s="11" t="s">
        <v>4522</v>
      </c>
      <c r="C4521" s="12">
        <v>11372.0</v>
      </c>
      <c r="D4521" s="11" t="str">
        <f t="shared" si="1"/>
        <v> </v>
      </c>
      <c r="E4521" s="11" t="str">
        <f t="shared" si="2"/>
        <v> </v>
      </c>
    </row>
    <row r="4522" ht="15.75" customHeight="1">
      <c r="A4522" s="11">
        <v>16222.0</v>
      </c>
      <c r="B4522" s="11" t="s">
        <v>3540</v>
      </c>
      <c r="C4522" s="12">
        <v>17215.0</v>
      </c>
      <c r="D4522" s="11" t="str">
        <f t="shared" si="1"/>
        <v>Repeat</v>
      </c>
      <c r="E4522" s="11" t="str">
        <f t="shared" si="2"/>
        <v> </v>
      </c>
    </row>
    <row r="4523" ht="15.75" customHeight="1">
      <c r="A4523" s="11">
        <v>16223.0</v>
      </c>
      <c r="B4523" s="11" t="s">
        <v>4523</v>
      </c>
      <c r="C4523" s="12">
        <v>20569.0</v>
      </c>
      <c r="D4523" s="11" t="str">
        <f t="shared" si="1"/>
        <v> </v>
      </c>
      <c r="E4523" s="11" t="str">
        <f t="shared" si="2"/>
        <v> </v>
      </c>
    </row>
    <row r="4524" ht="15.75" customHeight="1">
      <c r="A4524" s="11">
        <v>16224.0</v>
      </c>
      <c r="B4524" s="11" t="s">
        <v>4524</v>
      </c>
      <c r="C4524" s="12">
        <v>22750.0</v>
      </c>
      <c r="D4524" s="11" t="str">
        <f t="shared" si="1"/>
        <v> </v>
      </c>
      <c r="E4524" s="11" t="str">
        <f t="shared" si="2"/>
        <v> </v>
      </c>
    </row>
    <row r="4525" ht="15.75" customHeight="1">
      <c r="A4525" s="11">
        <v>16225.0</v>
      </c>
      <c r="B4525" s="11" t="s">
        <v>4525</v>
      </c>
      <c r="C4525" s="12">
        <v>28072.0</v>
      </c>
      <c r="D4525" s="11" t="str">
        <f t="shared" si="1"/>
        <v> </v>
      </c>
      <c r="E4525" s="11" t="str">
        <f t="shared" si="2"/>
        <v> </v>
      </c>
    </row>
    <row r="4526" ht="15.75" customHeight="1">
      <c r="A4526" s="11">
        <v>16226.0</v>
      </c>
      <c r="B4526" s="11" t="s">
        <v>4526</v>
      </c>
      <c r="C4526" s="12">
        <v>20927.0</v>
      </c>
      <c r="D4526" s="11" t="str">
        <f t="shared" si="1"/>
        <v> </v>
      </c>
      <c r="E4526" s="11" t="str">
        <f t="shared" si="2"/>
        <v> </v>
      </c>
    </row>
    <row r="4527" ht="15.75" customHeight="1">
      <c r="A4527" s="11">
        <v>16227.0</v>
      </c>
      <c r="B4527" s="11" t="s">
        <v>2739</v>
      </c>
      <c r="C4527" s="12">
        <v>16681.0</v>
      </c>
      <c r="D4527" s="11" t="str">
        <f t="shared" si="1"/>
        <v>Repeat</v>
      </c>
      <c r="E4527" s="11" t="str">
        <f t="shared" si="2"/>
        <v> </v>
      </c>
    </row>
    <row r="4528" ht="15.75" customHeight="1">
      <c r="A4528" s="11">
        <v>16228.0</v>
      </c>
      <c r="B4528" s="11" t="s">
        <v>4527</v>
      </c>
      <c r="C4528" s="12">
        <v>25122.0</v>
      </c>
      <c r="D4528" s="11" t="str">
        <f t="shared" si="1"/>
        <v> </v>
      </c>
      <c r="E4528" s="11" t="str">
        <f t="shared" si="2"/>
        <v> </v>
      </c>
    </row>
    <row r="4529" ht="15.75" customHeight="1">
      <c r="A4529" s="11">
        <v>16229.0</v>
      </c>
      <c r="B4529" s="11" t="s">
        <v>4528</v>
      </c>
      <c r="C4529" s="12">
        <v>23957.0</v>
      </c>
      <c r="D4529" s="11" t="str">
        <f t="shared" si="1"/>
        <v> </v>
      </c>
      <c r="E4529" s="11" t="str">
        <f t="shared" si="2"/>
        <v> </v>
      </c>
    </row>
    <row r="4530" ht="15.75" customHeight="1">
      <c r="A4530" s="11">
        <v>16230.0</v>
      </c>
      <c r="B4530" s="11" t="s">
        <v>4529</v>
      </c>
      <c r="C4530" s="12">
        <v>24608.0</v>
      </c>
      <c r="D4530" s="11" t="str">
        <f t="shared" si="1"/>
        <v> </v>
      </c>
      <c r="E4530" s="11" t="str">
        <f t="shared" si="2"/>
        <v> </v>
      </c>
    </row>
    <row r="4531" ht="15.75" customHeight="1">
      <c r="A4531" s="11">
        <v>16232.0</v>
      </c>
      <c r="B4531" s="11" t="s">
        <v>4530</v>
      </c>
      <c r="C4531" s="12">
        <v>24755.0</v>
      </c>
      <c r="D4531" s="11" t="str">
        <f t="shared" si="1"/>
        <v> </v>
      </c>
      <c r="E4531" s="11" t="str">
        <f t="shared" si="2"/>
        <v> </v>
      </c>
    </row>
    <row r="4532" ht="15.75" customHeight="1">
      <c r="A4532" s="11">
        <v>16233.0</v>
      </c>
      <c r="B4532" s="11" t="s">
        <v>4531</v>
      </c>
      <c r="C4532" s="12">
        <v>33630.0</v>
      </c>
      <c r="D4532" s="11" t="str">
        <f t="shared" si="1"/>
        <v> </v>
      </c>
      <c r="E4532" s="11" t="str">
        <f t="shared" si="2"/>
        <v> </v>
      </c>
    </row>
    <row r="4533" ht="15.75" customHeight="1">
      <c r="A4533" s="11">
        <v>16234.0</v>
      </c>
      <c r="B4533" s="11" t="s">
        <v>4532</v>
      </c>
      <c r="C4533" s="12">
        <v>15843.0</v>
      </c>
      <c r="D4533" s="11" t="str">
        <f t="shared" si="1"/>
        <v> </v>
      </c>
      <c r="E4533" s="11" t="str">
        <f t="shared" si="2"/>
        <v> </v>
      </c>
    </row>
    <row r="4534" ht="15.75" customHeight="1">
      <c r="A4534" s="11">
        <v>16235.0</v>
      </c>
      <c r="B4534" s="11" t="s">
        <v>4533</v>
      </c>
      <c r="C4534" s="12">
        <v>21675.0</v>
      </c>
      <c r="D4534" s="11" t="str">
        <f t="shared" si="1"/>
        <v> </v>
      </c>
      <c r="E4534" s="11" t="str">
        <f t="shared" si="2"/>
        <v> </v>
      </c>
    </row>
    <row r="4535" ht="15.75" customHeight="1">
      <c r="A4535" s="11">
        <v>16236.0</v>
      </c>
      <c r="B4535" s="11" t="s">
        <v>4534</v>
      </c>
      <c r="C4535" s="12">
        <v>20696.0</v>
      </c>
      <c r="D4535" s="11" t="str">
        <f t="shared" si="1"/>
        <v> </v>
      </c>
      <c r="E4535" s="11" t="str">
        <f t="shared" si="2"/>
        <v> </v>
      </c>
    </row>
    <row r="4536" ht="15.75" customHeight="1">
      <c r="A4536" s="11">
        <v>16238.0</v>
      </c>
      <c r="B4536" s="11" t="s">
        <v>4535</v>
      </c>
      <c r="C4536" s="12">
        <v>22844.0</v>
      </c>
      <c r="D4536" s="11" t="str">
        <f t="shared" si="1"/>
        <v> </v>
      </c>
      <c r="E4536" s="11" t="str">
        <f t="shared" si="2"/>
        <v> </v>
      </c>
    </row>
    <row r="4537" ht="15.75" customHeight="1">
      <c r="A4537" s="11">
        <v>16239.0</v>
      </c>
      <c r="B4537" s="11" t="s">
        <v>4536</v>
      </c>
      <c r="C4537" s="12">
        <v>20907.0</v>
      </c>
      <c r="D4537" s="11" t="str">
        <f t="shared" si="1"/>
        <v> </v>
      </c>
      <c r="E4537" s="11" t="str">
        <f t="shared" si="2"/>
        <v> </v>
      </c>
    </row>
    <row r="4538" ht="15.75" customHeight="1">
      <c r="A4538" s="11">
        <v>16240.0</v>
      </c>
      <c r="B4538" s="11" t="s">
        <v>4537</v>
      </c>
      <c r="C4538" s="12">
        <v>28893.0</v>
      </c>
      <c r="D4538" s="11" t="str">
        <f t="shared" si="1"/>
        <v> </v>
      </c>
      <c r="E4538" s="11" t="str">
        <f t="shared" si="2"/>
        <v> </v>
      </c>
    </row>
    <row r="4539" ht="15.75" customHeight="1">
      <c r="A4539" s="11">
        <v>16241.0</v>
      </c>
      <c r="B4539" s="11" t="s">
        <v>4538</v>
      </c>
      <c r="C4539" s="12">
        <v>25861.0</v>
      </c>
      <c r="D4539" s="11" t="str">
        <f t="shared" si="1"/>
        <v> </v>
      </c>
      <c r="E4539" s="11" t="str">
        <f t="shared" si="2"/>
        <v> </v>
      </c>
    </row>
    <row r="4540" ht="15.75" customHeight="1">
      <c r="A4540" s="11">
        <v>16242.0</v>
      </c>
      <c r="B4540" s="11" t="s">
        <v>4539</v>
      </c>
      <c r="C4540" s="12">
        <v>14365.0</v>
      </c>
      <c r="D4540" s="11" t="str">
        <f t="shared" si="1"/>
        <v> </v>
      </c>
      <c r="E4540" s="11" t="str">
        <f t="shared" si="2"/>
        <v> </v>
      </c>
    </row>
    <row r="4541" ht="15.75" customHeight="1">
      <c r="A4541" s="11">
        <v>16243.0</v>
      </c>
      <c r="B4541" s="11" t="s">
        <v>4540</v>
      </c>
      <c r="C4541" s="12">
        <v>16671.0</v>
      </c>
      <c r="D4541" s="11" t="str">
        <f t="shared" si="1"/>
        <v> </v>
      </c>
      <c r="E4541" s="11" t="str">
        <f t="shared" si="2"/>
        <v>Repeat</v>
      </c>
    </row>
    <row r="4542" ht="15.75" customHeight="1">
      <c r="A4542" s="11">
        <v>16245.0</v>
      </c>
      <c r="B4542" s="11" t="s">
        <v>4541</v>
      </c>
      <c r="C4542" s="12">
        <v>22836.0</v>
      </c>
      <c r="D4542" s="11" t="str">
        <f t="shared" si="1"/>
        <v> </v>
      </c>
      <c r="E4542" s="11" t="str">
        <f t="shared" si="2"/>
        <v> </v>
      </c>
    </row>
    <row r="4543" ht="15.75" customHeight="1">
      <c r="A4543" s="11">
        <v>16246.0</v>
      </c>
      <c r="B4543" s="11" t="s">
        <v>4542</v>
      </c>
      <c r="C4543" s="12">
        <v>24375.0</v>
      </c>
      <c r="D4543" s="11" t="str">
        <f t="shared" si="1"/>
        <v> </v>
      </c>
      <c r="E4543" s="11" t="str">
        <f t="shared" si="2"/>
        <v> </v>
      </c>
    </row>
    <row r="4544" ht="15.75" customHeight="1">
      <c r="A4544" s="11">
        <v>16247.0</v>
      </c>
      <c r="B4544" s="11" t="s">
        <v>4543</v>
      </c>
      <c r="C4544" s="12">
        <v>23869.0</v>
      </c>
      <c r="D4544" s="11" t="str">
        <f t="shared" si="1"/>
        <v> </v>
      </c>
      <c r="E4544" s="11" t="str">
        <f t="shared" si="2"/>
        <v> </v>
      </c>
    </row>
    <row r="4545" ht="15.75" customHeight="1">
      <c r="A4545" s="11">
        <v>16248.0</v>
      </c>
      <c r="B4545" s="11" t="s">
        <v>4544</v>
      </c>
      <c r="C4545" s="12">
        <v>26284.0</v>
      </c>
      <c r="D4545" s="11" t="str">
        <f t="shared" si="1"/>
        <v> </v>
      </c>
      <c r="E4545" s="11" t="str">
        <f t="shared" si="2"/>
        <v> </v>
      </c>
    </row>
    <row r="4546" ht="15.75" customHeight="1">
      <c r="A4546" s="11">
        <v>16249.0</v>
      </c>
      <c r="B4546" s="11" t="s">
        <v>4545</v>
      </c>
      <c r="C4546" s="12">
        <v>17512.0</v>
      </c>
      <c r="D4546" s="11" t="str">
        <f t="shared" si="1"/>
        <v> </v>
      </c>
      <c r="E4546" s="11" t="str">
        <f t="shared" si="2"/>
        <v> </v>
      </c>
    </row>
    <row r="4547" ht="15.75" customHeight="1">
      <c r="A4547" s="11">
        <v>16250.0</v>
      </c>
      <c r="B4547" s="11" t="s">
        <v>4546</v>
      </c>
      <c r="C4547" s="12">
        <v>19230.0</v>
      </c>
      <c r="D4547" s="11" t="str">
        <f t="shared" si="1"/>
        <v> </v>
      </c>
      <c r="E4547" s="11" t="str">
        <f t="shared" si="2"/>
        <v> </v>
      </c>
    </row>
    <row r="4548" ht="15.75" customHeight="1">
      <c r="A4548" s="11">
        <v>16251.0</v>
      </c>
      <c r="B4548" s="11" t="s">
        <v>4547</v>
      </c>
      <c r="C4548" s="12">
        <v>14044.0</v>
      </c>
      <c r="D4548" s="11" t="str">
        <f t="shared" si="1"/>
        <v> </v>
      </c>
      <c r="E4548" s="11" t="str">
        <f t="shared" si="2"/>
        <v> </v>
      </c>
    </row>
    <row r="4549" ht="15.75" customHeight="1">
      <c r="A4549" s="11">
        <v>16252.0</v>
      </c>
      <c r="B4549" s="11" t="s">
        <v>4548</v>
      </c>
      <c r="C4549" s="12">
        <v>31498.0</v>
      </c>
      <c r="D4549" s="11" t="str">
        <f t="shared" si="1"/>
        <v> </v>
      </c>
      <c r="E4549" s="11" t="str">
        <f t="shared" si="2"/>
        <v> </v>
      </c>
    </row>
    <row r="4550" ht="15.75" customHeight="1">
      <c r="A4550" s="11">
        <v>16253.0</v>
      </c>
      <c r="B4550" s="11" t="s">
        <v>4549</v>
      </c>
      <c r="C4550" s="12">
        <v>25892.0</v>
      </c>
      <c r="D4550" s="11" t="str">
        <f t="shared" si="1"/>
        <v> </v>
      </c>
      <c r="E4550" s="11" t="str">
        <f t="shared" si="2"/>
        <v> </v>
      </c>
    </row>
    <row r="4551" ht="15.75" customHeight="1">
      <c r="A4551" s="11">
        <v>16254.0</v>
      </c>
      <c r="B4551" s="11" t="s">
        <v>4550</v>
      </c>
      <c r="C4551" s="12">
        <v>25486.0</v>
      </c>
      <c r="D4551" s="11" t="str">
        <f t="shared" si="1"/>
        <v> </v>
      </c>
      <c r="E4551" s="11" t="str">
        <f t="shared" si="2"/>
        <v> </v>
      </c>
    </row>
    <row r="4552" ht="15.75" customHeight="1">
      <c r="A4552" s="11">
        <v>16255.0</v>
      </c>
      <c r="B4552" s="11" t="s">
        <v>4551</v>
      </c>
      <c r="C4552" s="12">
        <v>18350.0</v>
      </c>
      <c r="D4552" s="11" t="str">
        <f t="shared" si="1"/>
        <v> </v>
      </c>
      <c r="E4552" s="11" t="str">
        <f t="shared" si="2"/>
        <v> </v>
      </c>
    </row>
    <row r="4553" ht="15.75" customHeight="1">
      <c r="A4553" s="11">
        <v>16256.0</v>
      </c>
      <c r="B4553" s="11" t="s">
        <v>4552</v>
      </c>
      <c r="C4553" s="12">
        <v>16967.0</v>
      </c>
      <c r="D4553" s="11" t="str">
        <f t="shared" si="1"/>
        <v> </v>
      </c>
      <c r="E4553" s="11" t="str">
        <f t="shared" si="2"/>
        <v> </v>
      </c>
    </row>
    <row r="4554" ht="15.75" customHeight="1">
      <c r="A4554" s="11">
        <v>16257.0</v>
      </c>
      <c r="B4554" s="11" t="s">
        <v>4553</v>
      </c>
      <c r="C4554" s="12">
        <v>28758.0</v>
      </c>
      <c r="D4554" s="11" t="str">
        <f t="shared" si="1"/>
        <v> </v>
      </c>
      <c r="E4554" s="11" t="str">
        <f t="shared" si="2"/>
        <v> </v>
      </c>
    </row>
    <row r="4555" ht="15.75" customHeight="1">
      <c r="A4555" s="11">
        <v>16258.0</v>
      </c>
      <c r="B4555" s="11" t="s">
        <v>4554</v>
      </c>
      <c r="C4555" s="12">
        <v>24869.0</v>
      </c>
      <c r="D4555" s="11" t="str">
        <f t="shared" si="1"/>
        <v> </v>
      </c>
      <c r="E4555" s="11" t="str">
        <f t="shared" si="2"/>
        <v> </v>
      </c>
    </row>
    <row r="4556" ht="15.75" customHeight="1">
      <c r="A4556" s="11">
        <v>16259.0</v>
      </c>
      <c r="B4556" s="11" t="s">
        <v>4555</v>
      </c>
      <c r="C4556" s="12">
        <v>17763.0</v>
      </c>
      <c r="D4556" s="11" t="str">
        <f t="shared" si="1"/>
        <v> </v>
      </c>
      <c r="E4556" s="11" t="str">
        <f t="shared" si="2"/>
        <v> </v>
      </c>
    </row>
    <row r="4557" ht="15.75" customHeight="1">
      <c r="A4557" s="11">
        <v>16260.0</v>
      </c>
      <c r="B4557" s="11" t="s">
        <v>4556</v>
      </c>
      <c r="C4557" s="12">
        <v>17025.0</v>
      </c>
      <c r="D4557" s="11" t="str">
        <f t="shared" si="1"/>
        <v> </v>
      </c>
      <c r="E4557" s="11" t="str">
        <f t="shared" si="2"/>
        <v> </v>
      </c>
    </row>
    <row r="4558" ht="15.75" customHeight="1">
      <c r="A4558" s="11">
        <v>16261.0</v>
      </c>
      <c r="B4558" s="11" t="s">
        <v>4557</v>
      </c>
      <c r="C4558" s="12">
        <v>19464.0</v>
      </c>
      <c r="D4558" s="11" t="str">
        <f t="shared" si="1"/>
        <v> </v>
      </c>
      <c r="E4558" s="11" t="str">
        <f t="shared" si="2"/>
        <v> </v>
      </c>
    </row>
    <row r="4559" ht="15.75" customHeight="1">
      <c r="A4559" s="11">
        <v>16262.0</v>
      </c>
      <c r="B4559" s="11" t="s">
        <v>4558</v>
      </c>
      <c r="C4559" s="12">
        <v>23868.0</v>
      </c>
      <c r="D4559" s="11" t="str">
        <f t="shared" si="1"/>
        <v> </v>
      </c>
      <c r="E4559" s="11" t="str">
        <f t="shared" si="2"/>
        <v> </v>
      </c>
    </row>
    <row r="4560" ht="15.75" customHeight="1">
      <c r="A4560" s="11">
        <v>16263.0</v>
      </c>
      <c r="B4560" s="11" t="s">
        <v>4559</v>
      </c>
      <c r="C4560" s="12">
        <v>19913.0</v>
      </c>
      <c r="D4560" s="11" t="str">
        <f t="shared" si="1"/>
        <v> </v>
      </c>
      <c r="E4560" s="11" t="str">
        <f t="shared" si="2"/>
        <v> </v>
      </c>
    </row>
    <row r="4561" ht="15.75" customHeight="1">
      <c r="A4561" s="11">
        <v>15709.0</v>
      </c>
      <c r="B4561" s="11" t="s">
        <v>4560</v>
      </c>
      <c r="C4561" s="12">
        <v>33385.0</v>
      </c>
      <c r="D4561" s="11" t="str">
        <f t="shared" si="1"/>
        <v> </v>
      </c>
      <c r="E4561" s="11" t="str">
        <f t="shared" si="2"/>
        <v> </v>
      </c>
    </row>
    <row r="4562" ht="15.75" customHeight="1">
      <c r="A4562" s="11">
        <v>16265.0</v>
      </c>
      <c r="B4562" s="11" t="s">
        <v>4561</v>
      </c>
      <c r="C4562" s="12">
        <v>32027.0</v>
      </c>
      <c r="D4562" s="11" t="str">
        <f t="shared" si="1"/>
        <v> </v>
      </c>
      <c r="E4562" s="11" t="str">
        <f t="shared" si="2"/>
        <v> </v>
      </c>
    </row>
    <row r="4563" ht="15.75" customHeight="1">
      <c r="A4563" s="11">
        <v>16271.0</v>
      </c>
      <c r="B4563" s="11" t="s">
        <v>4562</v>
      </c>
      <c r="C4563" s="12">
        <v>19087.0</v>
      </c>
      <c r="D4563" s="11" t="str">
        <f t="shared" si="1"/>
        <v> </v>
      </c>
      <c r="E4563" s="11" t="str">
        <f t="shared" si="2"/>
        <v> </v>
      </c>
    </row>
    <row r="4564" ht="15.75" customHeight="1">
      <c r="A4564" s="11">
        <v>16272.0</v>
      </c>
      <c r="B4564" s="11" t="s">
        <v>4563</v>
      </c>
      <c r="C4564" s="12">
        <v>15035.0</v>
      </c>
      <c r="D4564" s="11" t="str">
        <f t="shared" si="1"/>
        <v> </v>
      </c>
      <c r="E4564" s="11" t="str">
        <f t="shared" si="2"/>
        <v> </v>
      </c>
    </row>
    <row r="4565" ht="15.75" customHeight="1">
      <c r="A4565" s="11">
        <v>16273.0</v>
      </c>
      <c r="B4565" s="11" t="s">
        <v>4564</v>
      </c>
      <c r="C4565" s="12">
        <v>22114.0</v>
      </c>
      <c r="D4565" s="11" t="str">
        <f t="shared" si="1"/>
        <v> </v>
      </c>
      <c r="E4565" s="11" t="str">
        <f t="shared" si="2"/>
        <v> </v>
      </c>
    </row>
    <row r="4566" ht="15.75" customHeight="1">
      <c r="A4566" s="11">
        <v>16274.0</v>
      </c>
      <c r="B4566" s="11" t="s">
        <v>4565</v>
      </c>
      <c r="C4566" s="12">
        <v>20144.0</v>
      </c>
      <c r="D4566" s="11" t="str">
        <f t="shared" si="1"/>
        <v> </v>
      </c>
      <c r="E4566" s="11" t="str">
        <f t="shared" si="2"/>
        <v> </v>
      </c>
    </row>
    <row r="4567" ht="15.75" customHeight="1">
      <c r="A4567" s="11">
        <v>16280.0</v>
      </c>
      <c r="B4567" s="11" t="s">
        <v>4566</v>
      </c>
      <c r="C4567" s="12">
        <v>19214.0</v>
      </c>
      <c r="D4567" s="11" t="str">
        <f t="shared" si="1"/>
        <v> </v>
      </c>
      <c r="E4567" s="11" t="str">
        <f t="shared" si="2"/>
        <v> </v>
      </c>
    </row>
    <row r="4568" ht="15.75" customHeight="1">
      <c r="A4568" s="11">
        <v>16283.0</v>
      </c>
      <c r="B4568" s="11" t="s">
        <v>4009</v>
      </c>
      <c r="C4568" s="12">
        <v>19566.0</v>
      </c>
      <c r="D4568" s="11" t="str">
        <f t="shared" si="1"/>
        <v>Repeat</v>
      </c>
      <c r="E4568" s="11" t="str">
        <f t="shared" si="2"/>
        <v> </v>
      </c>
    </row>
    <row r="4569" ht="15.75" customHeight="1">
      <c r="A4569" s="11">
        <v>16284.0</v>
      </c>
      <c r="B4569" s="11" t="s">
        <v>4567</v>
      </c>
      <c r="C4569" s="12">
        <v>17455.0</v>
      </c>
      <c r="D4569" s="11" t="str">
        <f t="shared" si="1"/>
        <v> </v>
      </c>
      <c r="E4569" s="11" t="str">
        <f t="shared" si="2"/>
        <v> </v>
      </c>
    </row>
    <row r="4570" ht="15.75" customHeight="1">
      <c r="A4570" s="11">
        <v>16285.0</v>
      </c>
      <c r="B4570" s="11" t="s">
        <v>4568</v>
      </c>
      <c r="C4570" s="12">
        <v>22722.0</v>
      </c>
      <c r="D4570" s="11" t="str">
        <f t="shared" si="1"/>
        <v> </v>
      </c>
      <c r="E4570" s="11" t="str">
        <f t="shared" si="2"/>
        <v> </v>
      </c>
    </row>
    <row r="4571" ht="15.75" customHeight="1">
      <c r="A4571" s="11">
        <v>16286.0</v>
      </c>
      <c r="B4571" s="11" t="s">
        <v>4569</v>
      </c>
      <c r="C4571" s="12">
        <v>16305.0</v>
      </c>
      <c r="D4571" s="11" t="str">
        <f t="shared" si="1"/>
        <v> </v>
      </c>
      <c r="E4571" s="11" t="str">
        <f t="shared" si="2"/>
        <v> </v>
      </c>
    </row>
    <row r="4572" ht="15.75" customHeight="1">
      <c r="A4572" s="11">
        <v>16287.0</v>
      </c>
      <c r="B4572" s="11" t="s">
        <v>4570</v>
      </c>
      <c r="C4572" s="12">
        <v>11138.0</v>
      </c>
      <c r="D4572" s="11" t="str">
        <f t="shared" si="1"/>
        <v> </v>
      </c>
      <c r="E4572" s="11" t="str">
        <f t="shared" si="2"/>
        <v> </v>
      </c>
    </row>
    <row r="4573" ht="15.75" customHeight="1">
      <c r="A4573" s="11">
        <v>16288.0</v>
      </c>
      <c r="B4573" s="11" t="s">
        <v>4571</v>
      </c>
      <c r="C4573" s="12">
        <v>14894.0</v>
      </c>
      <c r="D4573" s="11" t="str">
        <f t="shared" si="1"/>
        <v> </v>
      </c>
      <c r="E4573" s="11" t="str">
        <f t="shared" si="2"/>
        <v> </v>
      </c>
    </row>
    <row r="4574" ht="15.75" customHeight="1">
      <c r="A4574" s="11">
        <v>16291.0</v>
      </c>
      <c r="B4574" s="11" t="s">
        <v>4572</v>
      </c>
      <c r="C4574" s="12">
        <v>12545.0</v>
      </c>
      <c r="D4574" s="11" t="str">
        <f t="shared" si="1"/>
        <v> </v>
      </c>
      <c r="E4574" s="11" t="str">
        <f t="shared" si="2"/>
        <v> </v>
      </c>
    </row>
    <row r="4575" ht="15.75" customHeight="1">
      <c r="A4575" s="11">
        <v>16292.0</v>
      </c>
      <c r="B4575" s="11" t="s">
        <v>4573</v>
      </c>
      <c r="C4575" s="12">
        <v>22019.0</v>
      </c>
      <c r="D4575" s="11" t="str">
        <f t="shared" si="1"/>
        <v> </v>
      </c>
      <c r="E4575" s="11" t="str">
        <f t="shared" si="2"/>
        <v> </v>
      </c>
    </row>
    <row r="4576" ht="15.75" customHeight="1">
      <c r="A4576" s="11">
        <v>16293.0</v>
      </c>
      <c r="B4576" s="11" t="s">
        <v>4574</v>
      </c>
      <c r="C4576" s="12">
        <v>23364.0</v>
      </c>
      <c r="D4576" s="11" t="str">
        <f t="shared" si="1"/>
        <v> </v>
      </c>
      <c r="E4576" s="11" t="str">
        <f t="shared" si="2"/>
        <v> </v>
      </c>
    </row>
    <row r="4577" ht="15.75" customHeight="1">
      <c r="A4577" s="11">
        <v>16294.0</v>
      </c>
      <c r="B4577" s="11" t="s">
        <v>4575</v>
      </c>
      <c r="C4577" s="12">
        <v>24388.0</v>
      </c>
      <c r="D4577" s="11" t="str">
        <f t="shared" si="1"/>
        <v> </v>
      </c>
      <c r="E4577" s="11" t="str">
        <f t="shared" si="2"/>
        <v> </v>
      </c>
    </row>
    <row r="4578" ht="15.75" customHeight="1">
      <c r="A4578" s="11">
        <v>16295.0</v>
      </c>
      <c r="B4578" s="11" t="s">
        <v>4576</v>
      </c>
      <c r="C4578" s="12">
        <v>19737.0</v>
      </c>
      <c r="D4578" s="11" t="str">
        <f t="shared" si="1"/>
        <v> </v>
      </c>
      <c r="E4578" s="11" t="str">
        <f t="shared" si="2"/>
        <v> </v>
      </c>
    </row>
    <row r="4579" ht="15.75" customHeight="1">
      <c r="A4579" s="11">
        <v>16296.0</v>
      </c>
      <c r="B4579" s="11" t="s">
        <v>4577</v>
      </c>
      <c r="C4579" s="12">
        <v>28301.0</v>
      </c>
      <c r="D4579" s="11" t="str">
        <f t="shared" si="1"/>
        <v> </v>
      </c>
      <c r="E4579" s="11" t="str">
        <f t="shared" si="2"/>
        <v> </v>
      </c>
    </row>
    <row r="4580" ht="15.75" customHeight="1">
      <c r="A4580" s="11">
        <v>16297.0</v>
      </c>
      <c r="B4580" s="11" t="s">
        <v>4578</v>
      </c>
      <c r="C4580" s="12">
        <v>15281.0</v>
      </c>
      <c r="D4580" s="11" t="str">
        <f t="shared" si="1"/>
        <v> </v>
      </c>
      <c r="E4580" s="11" t="str">
        <f t="shared" si="2"/>
        <v> </v>
      </c>
    </row>
    <row r="4581" ht="15.75" customHeight="1">
      <c r="A4581" s="11">
        <v>16298.0</v>
      </c>
      <c r="B4581" s="11" t="s">
        <v>4579</v>
      </c>
      <c r="C4581" s="12">
        <v>22478.0</v>
      </c>
      <c r="D4581" s="11" t="str">
        <f t="shared" si="1"/>
        <v> </v>
      </c>
      <c r="E4581" s="11" t="str">
        <f t="shared" si="2"/>
        <v> </v>
      </c>
    </row>
    <row r="4582" ht="15.75" customHeight="1">
      <c r="A4582" s="11">
        <v>16299.0</v>
      </c>
      <c r="B4582" s="11" t="s">
        <v>4580</v>
      </c>
      <c r="C4582" s="12">
        <v>17491.0</v>
      </c>
      <c r="D4582" s="11" t="str">
        <f t="shared" si="1"/>
        <v>Repeat</v>
      </c>
      <c r="E4582" s="11" t="str">
        <f t="shared" si="2"/>
        <v>Repeat</v>
      </c>
    </row>
    <row r="4583" ht="15.75" customHeight="1">
      <c r="A4583" s="11">
        <v>16302.0</v>
      </c>
      <c r="B4583" s="11" t="s">
        <v>4581</v>
      </c>
      <c r="C4583" s="12">
        <v>24212.0</v>
      </c>
      <c r="D4583" s="11" t="str">
        <f t="shared" si="1"/>
        <v> </v>
      </c>
      <c r="E4583" s="11" t="str">
        <f t="shared" si="2"/>
        <v> </v>
      </c>
    </row>
    <row r="4584" ht="15.75" customHeight="1">
      <c r="A4584" s="11">
        <v>16304.0</v>
      </c>
      <c r="B4584" s="11" t="s">
        <v>4582</v>
      </c>
      <c r="C4584" s="12">
        <v>22300.0</v>
      </c>
      <c r="D4584" s="11" t="str">
        <f t="shared" si="1"/>
        <v> </v>
      </c>
      <c r="E4584" s="11" t="str">
        <f t="shared" si="2"/>
        <v> </v>
      </c>
    </row>
    <row r="4585" ht="15.75" customHeight="1">
      <c r="A4585" s="11">
        <v>16306.0</v>
      </c>
      <c r="B4585" s="11" t="s">
        <v>4583</v>
      </c>
      <c r="C4585" s="12">
        <v>21606.0</v>
      </c>
      <c r="D4585" s="11" t="str">
        <f t="shared" si="1"/>
        <v> </v>
      </c>
      <c r="E4585" s="11" t="str">
        <f t="shared" si="2"/>
        <v> </v>
      </c>
    </row>
    <row r="4586" ht="15.75" customHeight="1">
      <c r="A4586" s="11">
        <v>16307.0</v>
      </c>
      <c r="B4586" s="11" t="s">
        <v>4584</v>
      </c>
      <c r="C4586" s="12">
        <v>33237.0</v>
      </c>
      <c r="D4586" s="11" t="str">
        <f t="shared" si="1"/>
        <v> </v>
      </c>
      <c r="E4586" s="11" t="str">
        <f t="shared" si="2"/>
        <v> </v>
      </c>
    </row>
    <row r="4587" ht="15.75" customHeight="1">
      <c r="A4587" s="11">
        <v>16308.0</v>
      </c>
      <c r="B4587" s="11" t="s">
        <v>4585</v>
      </c>
      <c r="C4587" s="12">
        <v>14928.0</v>
      </c>
      <c r="D4587" s="11" t="str">
        <f t="shared" si="1"/>
        <v> </v>
      </c>
      <c r="E4587" s="11" t="str">
        <f t="shared" si="2"/>
        <v> </v>
      </c>
    </row>
    <row r="4588" ht="15.75" customHeight="1">
      <c r="A4588" s="11">
        <v>16310.0</v>
      </c>
      <c r="B4588" s="11" t="s">
        <v>4586</v>
      </c>
      <c r="C4588" s="12">
        <v>20014.0</v>
      </c>
      <c r="D4588" s="11" t="str">
        <f t="shared" si="1"/>
        <v> </v>
      </c>
      <c r="E4588" s="11" t="str">
        <f t="shared" si="2"/>
        <v> </v>
      </c>
    </row>
    <row r="4589" ht="15.75" customHeight="1">
      <c r="A4589" s="11">
        <v>16311.0</v>
      </c>
      <c r="B4589" s="11" t="s">
        <v>4587</v>
      </c>
      <c r="C4589" s="12">
        <v>21912.0</v>
      </c>
      <c r="D4589" s="11" t="str">
        <f t="shared" si="1"/>
        <v> </v>
      </c>
      <c r="E4589" s="11" t="str">
        <f t="shared" si="2"/>
        <v> </v>
      </c>
    </row>
    <row r="4590" ht="15.75" customHeight="1">
      <c r="A4590" s="11">
        <v>16312.0</v>
      </c>
      <c r="B4590" s="11" t="s">
        <v>4588</v>
      </c>
      <c r="C4590" s="12">
        <v>25387.0</v>
      </c>
      <c r="D4590" s="11" t="str">
        <f t="shared" si="1"/>
        <v> </v>
      </c>
      <c r="E4590" s="11" t="str">
        <f t="shared" si="2"/>
        <v> </v>
      </c>
    </row>
    <row r="4591" ht="15.75" customHeight="1">
      <c r="A4591" s="11">
        <v>16313.0</v>
      </c>
      <c r="B4591" s="11" t="s">
        <v>4589</v>
      </c>
      <c r="C4591" s="12">
        <v>32768.0</v>
      </c>
      <c r="D4591" s="11" t="str">
        <f t="shared" si="1"/>
        <v> </v>
      </c>
      <c r="E4591" s="11" t="str">
        <f t="shared" si="2"/>
        <v> </v>
      </c>
    </row>
    <row r="4592" ht="15.75" customHeight="1">
      <c r="A4592" s="11">
        <v>16314.0</v>
      </c>
      <c r="B4592" s="11" t="s">
        <v>4590</v>
      </c>
      <c r="C4592" s="12">
        <v>17524.0</v>
      </c>
      <c r="D4592" s="11" t="str">
        <f t="shared" si="1"/>
        <v> </v>
      </c>
      <c r="E4592" s="11" t="str">
        <f t="shared" si="2"/>
        <v> </v>
      </c>
    </row>
    <row r="4593" ht="15.75" customHeight="1">
      <c r="A4593" s="11">
        <v>16316.0</v>
      </c>
      <c r="B4593" s="11" t="s">
        <v>4591</v>
      </c>
      <c r="C4593" s="12">
        <v>18500.0</v>
      </c>
      <c r="D4593" s="11" t="str">
        <f t="shared" si="1"/>
        <v> </v>
      </c>
      <c r="E4593" s="11" t="str">
        <f t="shared" si="2"/>
        <v> </v>
      </c>
    </row>
    <row r="4594" ht="15.75" customHeight="1">
      <c r="A4594" s="11">
        <v>16317.0</v>
      </c>
      <c r="B4594" s="11" t="s">
        <v>4592</v>
      </c>
      <c r="C4594" s="12">
        <v>26513.0</v>
      </c>
      <c r="D4594" s="11" t="str">
        <f t="shared" si="1"/>
        <v> </v>
      </c>
      <c r="E4594" s="11" t="str">
        <f t="shared" si="2"/>
        <v> </v>
      </c>
    </row>
    <row r="4595" ht="15.75" customHeight="1">
      <c r="A4595" s="11">
        <v>16318.0</v>
      </c>
      <c r="B4595" s="11" t="s">
        <v>4593</v>
      </c>
      <c r="C4595" s="12">
        <v>18967.0</v>
      </c>
      <c r="D4595" s="11" t="str">
        <f t="shared" si="1"/>
        <v> </v>
      </c>
      <c r="E4595" s="11" t="str">
        <f t="shared" si="2"/>
        <v> </v>
      </c>
    </row>
    <row r="4596" ht="15.75" customHeight="1">
      <c r="A4596" s="11">
        <v>16319.0</v>
      </c>
      <c r="B4596" s="11" t="s">
        <v>4594</v>
      </c>
      <c r="C4596" s="12">
        <v>31878.0</v>
      </c>
      <c r="D4596" s="11" t="str">
        <f t="shared" si="1"/>
        <v> </v>
      </c>
      <c r="E4596" s="11" t="str">
        <f t="shared" si="2"/>
        <v> </v>
      </c>
    </row>
    <row r="4597" ht="15.75" customHeight="1">
      <c r="A4597" s="11">
        <v>16320.0</v>
      </c>
      <c r="B4597" s="11" t="s">
        <v>4595</v>
      </c>
      <c r="C4597" s="12">
        <v>12609.0</v>
      </c>
      <c r="D4597" s="11" t="str">
        <f t="shared" si="1"/>
        <v> </v>
      </c>
      <c r="E4597" s="11" t="str">
        <f t="shared" si="2"/>
        <v> </v>
      </c>
    </row>
    <row r="4598" ht="15.75" customHeight="1">
      <c r="A4598" s="11">
        <v>16321.0</v>
      </c>
      <c r="B4598" s="11" t="s">
        <v>4596</v>
      </c>
      <c r="C4598" s="12">
        <v>26031.0</v>
      </c>
      <c r="D4598" s="11" t="str">
        <f t="shared" si="1"/>
        <v> </v>
      </c>
      <c r="E4598" s="11" t="str">
        <f t="shared" si="2"/>
        <v> </v>
      </c>
    </row>
    <row r="4599" ht="15.75" customHeight="1">
      <c r="A4599" s="11">
        <v>16323.0</v>
      </c>
      <c r="B4599" s="11" t="s">
        <v>4597</v>
      </c>
      <c r="C4599" s="12">
        <v>18129.0</v>
      </c>
      <c r="D4599" s="11" t="str">
        <f t="shared" si="1"/>
        <v> </v>
      </c>
      <c r="E4599" s="11" t="str">
        <f t="shared" si="2"/>
        <v> </v>
      </c>
    </row>
    <row r="4600" ht="15.75" customHeight="1">
      <c r="A4600" s="11">
        <v>16324.0</v>
      </c>
      <c r="B4600" s="11" t="s">
        <v>4598</v>
      </c>
      <c r="C4600" s="12">
        <v>19977.0</v>
      </c>
      <c r="D4600" s="11" t="str">
        <f t="shared" si="1"/>
        <v> </v>
      </c>
      <c r="E4600" s="11" t="str">
        <f t="shared" si="2"/>
        <v> </v>
      </c>
    </row>
    <row r="4601" ht="15.75" customHeight="1">
      <c r="A4601" s="11">
        <v>16325.0</v>
      </c>
      <c r="B4601" s="11" t="s">
        <v>4599</v>
      </c>
      <c r="C4601" s="12">
        <v>22374.0</v>
      </c>
      <c r="D4601" s="11" t="str">
        <f t="shared" si="1"/>
        <v> </v>
      </c>
      <c r="E4601" s="11" t="str">
        <f t="shared" si="2"/>
        <v> </v>
      </c>
    </row>
    <row r="4602" ht="15.75" customHeight="1">
      <c r="A4602" s="11">
        <v>16327.0</v>
      </c>
      <c r="B4602" s="11" t="s">
        <v>4600</v>
      </c>
      <c r="C4602" s="12">
        <v>20204.0</v>
      </c>
      <c r="D4602" s="11" t="str">
        <f t="shared" si="1"/>
        <v> </v>
      </c>
      <c r="E4602" s="11" t="str">
        <f t="shared" si="2"/>
        <v> </v>
      </c>
    </row>
    <row r="4603" ht="15.75" customHeight="1">
      <c r="A4603" s="11">
        <v>16328.0</v>
      </c>
      <c r="B4603" s="11" t="s">
        <v>4601</v>
      </c>
      <c r="C4603" s="12">
        <v>18603.0</v>
      </c>
      <c r="D4603" s="11" t="str">
        <f t="shared" si="1"/>
        <v> </v>
      </c>
      <c r="E4603" s="11" t="str">
        <f t="shared" si="2"/>
        <v> </v>
      </c>
    </row>
    <row r="4604" ht="15.75" customHeight="1">
      <c r="A4604" s="11">
        <v>16329.0</v>
      </c>
      <c r="B4604" s="11" t="s">
        <v>4602</v>
      </c>
      <c r="C4604" s="12">
        <v>23619.0</v>
      </c>
      <c r="D4604" s="11" t="str">
        <f t="shared" si="1"/>
        <v> </v>
      </c>
      <c r="E4604" s="11" t="str">
        <f t="shared" si="2"/>
        <v> </v>
      </c>
    </row>
    <row r="4605" ht="15.75" customHeight="1">
      <c r="A4605" s="11">
        <v>16330.0</v>
      </c>
      <c r="B4605" s="11" t="s">
        <v>4603</v>
      </c>
      <c r="C4605" s="12">
        <v>24636.0</v>
      </c>
      <c r="D4605" s="11" t="str">
        <f t="shared" si="1"/>
        <v> </v>
      </c>
      <c r="E4605" s="11" t="str">
        <f t="shared" si="2"/>
        <v> </v>
      </c>
    </row>
    <row r="4606" ht="15.75" customHeight="1">
      <c r="A4606" s="11">
        <v>16331.0</v>
      </c>
      <c r="B4606" s="11" t="s">
        <v>4604</v>
      </c>
      <c r="C4606" s="12">
        <v>18606.0</v>
      </c>
      <c r="D4606" s="11" t="str">
        <f t="shared" si="1"/>
        <v> </v>
      </c>
      <c r="E4606" s="11" t="str">
        <f t="shared" si="2"/>
        <v> </v>
      </c>
    </row>
    <row r="4607" ht="15.75" customHeight="1">
      <c r="A4607" s="11">
        <v>16332.0</v>
      </c>
      <c r="B4607" s="11" t="s">
        <v>4605</v>
      </c>
      <c r="C4607" s="12">
        <v>35335.0</v>
      </c>
      <c r="D4607" s="11" t="str">
        <f t="shared" si="1"/>
        <v> </v>
      </c>
      <c r="E4607" s="11" t="str">
        <f t="shared" si="2"/>
        <v> </v>
      </c>
    </row>
    <row r="4608" ht="15.75" customHeight="1">
      <c r="A4608" s="11">
        <v>16333.0</v>
      </c>
      <c r="B4608" s="11" t="s">
        <v>4606</v>
      </c>
      <c r="C4608" s="12">
        <v>31071.0</v>
      </c>
      <c r="D4608" s="11" t="str">
        <f t="shared" si="1"/>
        <v> </v>
      </c>
      <c r="E4608" s="11" t="str">
        <f t="shared" si="2"/>
        <v> </v>
      </c>
    </row>
    <row r="4609" ht="15.75" customHeight="1">
      <c r="A4609" s="11">
        <v>16334.0</v>
      </c>
      <c r="B4609" s="11" t="s">
        <v>4607</v>
      </c>
      <c r="C4609" s="12">
        <v>16945.0</v>
      </c>
      <c r="D4609" s="11" t="str">
        <f t="shared" si="1"/>
        <v> </v>
      </c>
      <c r="E4609" s="11" t="str">
        <f t="shared" si="2"/>
        <v> </v>
      </c>
    </row>
    <row r="4610" ht="15.75" customHeight="1">
      <c r="A4610" s="11">
        <v>16335.0</v>
      </c>
      <c r="B4610" s="11" t="s">
        <v>4608</v>
      </c>
      <c r="C4610" s="12">
        <v>32209.0</v>
      </c>
      <c r="D4610" s="11" t="str">
        <f t="shared" si="1"/>
        <v> </v>
      </c>
      <c r="E4610" s="11" t="str">
        <f t="shared" si="2"/>
        <v> </v>
      </c>
    </row>
    <row r="4611" ht="15.75" customHeight="1">
      <c r="A4611" s="11">
        <v>16336.0</v>
      </c>
      <c r="B4611" s="11" t="s">
        <v>4609</v>
      </c>
      <c r="C4611" s="12">
        <v>20145.0</v>
      </c>
      <c r="D4611" s="11" t="str">
        <f t="shared" si="1"/>
        <v> </v>
      </c>
      <c r="E4611" s="11" t="str">
        <f t="shared" si="2"/>
        <v> </v>
      </c>
    </row>
    <row r="4612" ht="15.75" customHeight="1">
      <c r="A4612" s="11">
        <v>16337.0</v>
      </c>
      <c r="B4612" s="11" t="s">
        <v>4610</v>
      </c>
      <c r="C4612" s="12">
        <v>19762.0</v>
      </c>
      <c r="D4612" s="11" t="str">
        <f t="shared" si="1"/>
        <v> </v>
      </c>
      <c r="E4612" s="11" t="str">
        <f t="shared" si="2"/>
        <v> </v>
      </c>
    </row>
    <row r="4613" ht="15.75" customHeight="1">
      <c r="A4613" s="11">
        <v>16338.0</v>
      </c>
      <c r="B4613" s="11" t="s">
        <v>4611</v>
      </c>
      <c r="C4613" s="12">
        <v>21227.0</v>
      </c>
      <c r="D4613" s="11" t="str">
        <f t="shared" si="1"/>
        <v> </v>
      </c>
      <c r="E4613" s="11" t="str">
        <f t="shared" si="2"/>
        <v> </v>
      </c>
    </row>
    <row r="4614" ht="15.75" customHeight="1">
      <c r="A4614" s="11">
        <v>16339.0</v>
      </c>
      <c r="B4614" s="11" t="s">
        <v>4612</v>
      </c>
      <c r="C4614" s="12">
        <v>29836.0</v>
      </c>
      <c r="D4614" s="11" t="str">
        <f t="shared" si="1"/>
        <v> </v>
      </c>
      <c r="E4614" s="11" t="str">
        <f t="shared" si="2"/>
        <v> </v>
      </c>
    </row>
    <row r="4615" ht="15.75" customHeight="1">
      <c r="A4615" s="11">
        <v>16340.0</v>
      </c>
      <c r="B4615" s="11" t="s">
        <v>4613</v>
      </c>
      <c r="C4615" s="12">
        <v>21007.0</v>
      </c>
      <c r="D4615" s="11" t="str">
        <f t="shared" si="1"/>
        <v> </v>
      </c>
      <c r="E4615" s="11" t="str">
        <f t="shared" si="2"/>
        <v> </v>
      </c>
    </row>
    <row r="4616" ht="15.75" customHeight="1">
      <c r="A4616" s="11">
        <v>16341.0</v>
      </c>
      <c r="B4616" s="11" t="s">
        <v>4614</v>
      </c>
      <c r="C4616" s="12">
        <v>22969.0</v>
      </c>
      <c r="D4616" s="11" t="str">
        <f t="shared" si="1"/>
        <v> </v>
      </c>
      <c r="E4616" s="11" t="str">
        <f t="shared" si="2"/>
        <v> </v>
      </c>
    </row>
    <row r="4617" ht="15.75" customHeight="1">
      <c r="A4617" s="11">
        <v>16342.0</v>
      </c>
      <c r="B4617" s="11" t="s">
        <v>4615</v>
      </c>
      <c r="C4617" s="12">
        <v>31335.0</v>
      </c>
      <c r="D4617" s="11" t="str">
        <f t="shared" si="1"/>
        <v> </v>
      </c>
      <c r="E4617" s="11" t="str">
        <f t="shared" si="2"/>
        <v> </v>
      </c>
    </row>
    <row r="4618" ht="15.75" customHeight="1">
      <c r="A4618" s="11">
        <v>16343.0</v>
      </c>
      <c r="B4618" s="11" t="s">
        <v>3077</v>
      </c>
      <c r="C4618" s="12">
        <v>22755.0</v>
      </c>
      <c r="D4618" s="11" t="str">
        <f t="shared" si="1"/>
        <v>Repeat</v>
      </c>
      <c r="E4618" s="11" t="str">
        <f t="shared" si="2"/>
        <v> </v>
      </c>
    </row>
    <row r="4619" ht="15.75" customHeight="1">
      <c r="A4619" s="11">
        <v>16344.0</v>
      </c>
      <c r="B4619" s="11" t="s">
        <v>4616</v>
      </c>
      <c r="C4619" s="12">
        <v>36990.0</v>
      </c>
      <c r="D4619" s="11" t="str">
        <f t="shared" si="1"/>
        <v> </v>
      </c>
      <c r="E4619" s="11" t="str">
        <f t="shared" si="2"/>
        <v> </v>
      </c>
    </row>
    <row r="4620" ht="15.75" customHeight="1">
      <c r="A4620" s="11">
        <v>16345.0</v>
      </c>
      <c r="B4620" s="11" t="s">
        <v>4617</v>
      </c>
      <c r="C4620" s="12">
        <v>25107.0</v>
      </c>
      <c r="D4620" s="11" t="str">
        <f t="shared" si="1"/>
        <v> </v>
      </c>
      <c r="E4620" s="11" t="str">
        <f t="shared" si="2"/>
        <v> </v>
      </c>
    </row>
    <row r="4621" ht="15.75" customHeight="1">
      <c r="A4621" s="11">
        <v>16346.0</v>
      </c>
      <c r="B4621" s="11" t="s">
        <v>4618</v>
      </c>
      <c r="C4621" s="12">
        <v>18157.0</v>
      </c>
      <c r="D4621" s="11" t="str">
        <f t="shared" si="1"/>
        <v> </v>
      </c>
      <c r="E4621" s="11" t="str">
        <f t="shared" si="2"/>
        <v> </v>
      </c>
    </row>
    <row r="4622" ht="15.75" customHeight="1">
      <c r="A4622" s="11">
        <v>16347.0</v>
      </c>
      <c r="B4622" s="11" t="s">
        <v>4619</v>
      </c>
      <c r="C4622" s="12">
        <v>21818.0</v>
      </c>
      <c r="D4622" s="11" t="str">
        <f t="shared" si="1"/>
        <v> </v>
      </c>
      <c r="E4622" s="11" t="str">
        <f t="shared" si="2"/>
        <v> </v>
      </c>
    </row>
    <row r="4623" ht="15.75" customHeight="1">
      <c r="A4623" s="11">
        <v>16348.0</v>
      </c>
      <c r="B4623" s="11" t="s">
        <v>4620</v>
      </c>
      <c r="C4623" s="12">
        <v>15288.0</v>
      </c>
      <c r="D4623" s="11" t="str">
        <f t="shared" si="1"/>
        <v> </v>
      </c>
      <c r="E4623" s="11" t="str">
        <f t="shared" si="2"/>
        <v> </v>
      </c>
    </row>
    <row r="4624" ht="15.75" customHeight="1">
      <c r="A4624" s="11">
        <v>16349.0</v>
      </c>
      <c r="B4624" s="11" t="s">
        <v>4621</v>
      </c>
      <c r="C4624" s="12">
        <v>13922.0</v>
      </c>
      <c r="D4624" s="11" t="str">
        <f t="shared" si="1"/>
        <v> </v>
      </c>
      <c r="E4624" s="11" t="str">
        <f t="shared" si="2"/>
        <v> </v>
      </c>
    </row>
    <row r="4625" ht="15.75" customHeight="1">
      <c r="A4625" s="11">
        <v>16350.0</v>
      </c>
      <c r="B4625" s="11" t="s">
        <v>4622</v>
      </c>
      <c r="C4625" s="12">
        <v>22243.0</v>
      </c>
      <c r="D4625" s="11" t="str">
        <f t="shared" si="1"/>
        <v> </v>
      </c>
      <c r="E4625" s="11" t="str">
        <f t="shared" si="2"/>
        <v> </v>
      </c>
    </row>
    <row r="4626" ht="15.75" customHeight="1">
      <c r="A4626" s="11">
        <v>16352.0</v>
      </c>
      <c r="B4626" s="11" t="s">
        <v>4623</v>
      </c>
      <c r="C4626" s="12">
        <v>15725.0</v>
      </c>
      <c r="D4626" s="11" t="str">
        <f t="shared" si="1"/>
        <v> </v>
      </c>
      <c r="E4626" s="11" t="str">
        <f t="shared" si="2"/>
        <v> </v>
      </c>
    </row>
    <row r="4627" ht="15.75" customHeight="1">
      <c r="A4627" s="11">
        <v>16353.0</v>
      </c>
      <c r="B4627" s="11" t="s">
        <v>4624</v>
      </c>
      <c r="C4627" s="12">
        <v>14083.0</v>
      </c>
      <c r="D4627" s="11" t="str">
        <f t="shared" si="1"/>
        <v> </v>
      </c>
      <c r="E4627" s="11" t="str">
        <f t="shared" si="2"/>
        <v> </v>
      </c>
    </row>
    <row r="4628" ht="15.75" customHeight="1">
      <c r="A4628" s="11">
        <v>16354.0</v>
      </c>
      <c r="B4628" s="11" t="s">
        <v>4625</v>
      </c>
      <c r="C4628" s="12">
        <v>15506.0</v>
      </c>
      <c r="D4628" s="11" t="str">
        <f t="shared" si="1"/>
        <v> </v>
      </c>
      <c r="E4628" s="11" t="str">
        <f t="shared" si="2"/>
        <v> </v>
      </c>
    </row>
    <row r="4629" ht="15.75" customHeight="1">
      <c r="A4629" s="11">
        <v>16355.0</v>
      </c>
      <c r="B4629" s="11" t="s">
        <v>4626</v>
      </c>
      <c r="C4629" s="12">
        <v>13948.0</v>
      </c>
      <c r="D4629" s="11" t="str">
        <f t="shared" si="1"/>
        <v> </v>
      </c>
      <c r="E4629" s="11" t="str">
        <f t="shared" si="2"/>
        <v> </v>
      </c>
    </row>
    <row r="4630" ht="15.75" customHeight="1">
      <c r="A4630" s="11">
        <v>16356.0</v>
      </c>
      <c r="B4630" s="11" t="s">
        <v>4627</v>
      </c>
      <c r="C4630" s="12">
        <v>15053.0</v>
      </c>
      <c r="D4630" s="11" t="str">
        <f t="shared" si="1"/>
        <v> </v>
      </c>
      <c r="E4630" s="11" t="str">
        <f t="shared" si="2"/>
        <v> </v>
      </c>
    </row>
    <row r="4631" ht="15.75" customHeight="1">
      <c r="A4631" s="11">
        <v>16357.0</v>
      </c>
      <c r="B4631" s="11" t="s">
        <v>4628</v>
      </c>
      <c r="C4631" s="12">
        <v>22879.0</v>
      </c>
      <c r="D4631" s="11" t="str">
        <f t="shared" si="1"/>
        <v> </v>
      </c>
      <c r="E4631" s="11" t="str">
        <f t="shared" si="2"/>
        <v> </v>
      </c>
    </row>
    <row r="4632" ht="15.75" customHeight="1">
      <c r="A4632" s="11">
        <v>16358.0</v>
      </c>
      <c r="B4632" s="11" t="s">
        <v>4629</v>
      </c>
      <c r="C4632" s="12">
        <v>34143.0</v>
      </c>
      <c r="D4632" s="11" t="str">
        <f t="shared" si="1"/>
        <v> </v>
      </c>
      <c r="E4632" s="11" t="str">
        <f t="shared" si="2"/>
        <v> </v>
      </c>
    </row>
    <row r="4633" ht="15.75" customHeight="1">
      <c r="A4633" s="11">
        <v>16359.0</v>
      </c>
      <c r="B4633" s="11" t="s">
        <v>4630</v>
      </c>
      <c r="C4633" s="12">
        <v>19129.0</v>
      </c>
      <c r="D4633" s="11" t="str">
        <f t="shared" si="1"/>
        <v> </v>
      </c>
      <c r="E4633" s="11" t="str">
        <f t="shared" si="2"/>
        <v> </v>
      </c>
    </row>
    <row r="4634" ht="15.75" customHeight="1">
      <c r="A4634" s="11">
        <v>16360.0</v>
      </c>
      <c r="B4634" s="11" t="s">
        <v>4631</v>
      </c>
      <c r="C4634" s="12">
        <v>27597.0</v>
      </c>
      <c r="D4634" s="11" t="str">
        <f t="shared" si="1"/>
        <v> </v>
      </c>
      <c r="E4634" s="11" t="str">
        <f t="shared" si="2"/>
        <v> </v>
      </c>
    </row>
    <row r="4635" ht="15.75" customHeight="1">
      <c r="A4635" s="11">
        <v>16361.0</v>
      </c>
      <c r="B4635" s="11" t="s">
        <v>4632</v>
      </c>
      <c r="C4635" s="12">
        <v>22156.0</v>
      </c>
      <c r="D4635" s="11" t="str">
        <f t="shared" si="1"/>
        <v> </v>
      </c>
      <c r="E4635" s="11" t="str">
        <f t="shared" si="2"/>
        <v> </v>
      </c>
    </row>
    <row r="4636" ht="15.75" customHeight="1">
      <c r="A4636" s="11">
        <v>16362.0</v>
      </c>
      <c r="B4636" s="11" t="s">
        <v>4633</v>
      </c>
      <c r="C4636" s="12">
        <v>26714.0</v>
      </c>
      <c r="D4636" s="11" t="str">
        <f t="shared" si="1"/>
        <v>Repeat</v>
      </c>
      <c r="E4636" s="11" t="str">
        <f t="shared" si="2"/>
        <v> </v>
      </c>
    </row>
    <row r="4637" ht="15.75" customHeight="1">
      <c r="A4637" s="11">
        <v>16363.0</v>
      </c>
      <c r="B4637" s="11" t="s">
        <v>4634</v>
      </c>
      <c r="C4637" s="12">
        <v>16762.0</v>
      </c>
      <c r="D4637" s="11" t="str">
        <f t="shared" si="1"/>
        <v> </v>
      </c>
      <c r="E4637" s="11" t="str">
        <f t="shared" si="2"/>
        <v> </v>
      </c>
    </row>
    <row r="4638" ht="15.75" customHeight="1">
      <c r="A4638" s="11">
        <v>16364.0</v>
      </c>
      <c r="B4638" s="11" t="s">
        <v>4635</v>
      </c>
      <c r="C4638" s="12">
        <v>32591.0</v>
      </c>
      <c r="D4638" s="11" t="str">
        <f t="shared" si="1"/>
        <v> </v>
      </c>
      <c r="E4638" s="11" t="str">
        <f t="shared" si="2"/>
        <v> </v>
      </c>
    </row>
    <row r="4639" ht="15.75" customHeight="1">
      <c r="A4639" s="11">
        <v>16365.0</v>
      </c>
      <c r="B4639" s="11" t="s">
        <v>4636</v>
      </c>
      <c r="C4639" s="12">
        <v>26324.0</v>
      </c>
      <c r="D4639" s="11" t="str">
        <f t="shared" si="1"/>
        <v> </v>
      </c>
      <c r="E4639" s="11" t="str">
        <f t="shared" si="2"/>
        <v> </v>
      </c>
    </row>
    <row r="4640" ht="15.75" customHeight="1">
      <c r="A4640" s="11">
        <v>16366.0</v>
      </c>
      <c r="B4640" s="11" t="s">
        <v>4637</v>
      </c>
      <c r="C4640" s="12">
        <v>25871.0</v>
      </c>
      <c r="D4640" s="11" t="str">
        <f t="shared" si="1"/>
        <v> </v>
      </c>
      <c r="E4640" s="11" t="str">
        <f t="shared" si="2"/>
        <v> </v>
      </c>
    </row>
    <row r="4641" ht="15.75" customHeight="1">
      <c r="A4641" s="11">
        <v>16368.0</v>
      </c>
      <c r="B4641" s="11" t="s">
        <v>4638</v>
      </c>
      <c r="C4641" s="12">
        <v>33256.0</v>
      </c>
      <c r="D4641" s="11" t="str">
        <f t="shared" si="1"/>
        <v> </v>
      </c>
      <c r="E4641" s="11" t="str">
        <f t="shared" si="2"/>
        <v> </v>
      </c>
    </row>
    <row r="4642" ht="15.75" customHeight="1">
      <c r="A4642" s="11">
        <v>16370.0</v>
      </c>
      <c r="B4642" s="11" t="s">
        <v>4639</v>
      </c>
      <c r="C4642" s="12">
        <v>16144.0</v>
      </c>
      <c r="D4642" s="11" t="str">
        <f t="shared" si="1"/>
        <v> </v>
      </c>
      <c r="E4642" s="11" t="str">
        <f t="shared" si="2"/>
        <v> </v>
      </c>
    </row>
    <row r="4643" ht="15.75" customHeight="1">
      <c r="A4643" s="11">
        <v>16371.0</v>
      </c>
      <c r="B4643" s="11" t="s">
        <v>4640</v>
      </c>
      <c r="C4643" s="12">
        <v>32368.0</v>
      </c>
      <c r="D4643" s="11" t="str">
        <f t="shared" si="1"/>
        <v> </v>
      </c>
      <c r="E4643" s="11" t="str">
        <f t="shared" si="2"/>
        <v> </v>
      </c>
    </row>
    <row r="4644" ht="15.75" customHeight="1">
      <c r="A4644" s="11">
        <v>16372.0</v>
      </c>
      <c r="B4644" s="11" t="s">
        <v>4641</v>
      </c>
      <c r="C4644" s="12">
        <v>15209.0</v>
      </c>
      <c r="D4644" s="11" t="str">
        <f t="shared" si="1"/>
        <v> </v>
      </c>
      <c r="E4644" s="11" t="str">
        <f t="shared" si="2"/>
        <v> </v>
      </c>
    </row>
    <row r="4645" ht="15.75" customHeight="1">
      <c r="A4645" s="11">
        <v>16373.0</v>
      </c>
      <c r="B4645" s="11" t="s">
        <v>4642</v>
      </c>
      <c r="C4645" s="12">
        <v>20996.0</v>
      </c>
      <c r="D4645" s="11" t="str">
        <f t="shared" si="1"/>
        <v> </v>
      </c>
      <c r="E4645" s="11" t="str">
        <f t="shared" si="2"/>
        <v> </v>
      </c>
    </row>
    <row r="4646" ht="15.75" customHeight="1">
      <c r="A4646" s="11">
        <v>16374.0</v>
      </c>
      <c r="B4646" s="11" t="s">
        <v>4643</v>
      </c>
      <c r="C4646" s="12">
        <v>23831.0</v>
      </c>
      <c r="D4646" s="11" t="str">
        <f t="shared" si="1"/>
        <v> </v>
      </c>
      <c r="E4646" s="11" t="str">
        <f t="shared" si="2"/>
        <v> </v>
      </c>
    </row>
    <row r="4647" ht="15.75" customHeight="1">
      <c r="A4647" s="11">
        <v>16375.0</v>
      </c>
      <c r="B4647" s="11" t="s">
        <v>4644</v>
      </c>
      <c r="C4647" s="12">
        <v>19442.0</v>
      </c>
      <c r="D4647" s="11" t="str">
        <f t="shared" si="1"/>
        <v> </v>
      </c>
      <c r="E4647" s="11" t="str">
        <f t="shared" si="2"/>
        <v> </v>
      </c>
    </row>
    <row r="4648" ht="15.75" customHeight="1">
      <c r="A4648" s="11">
        <v>16376.0</v>
      </c>
      <c r="B4648" s="11" t="s">
        <v>4645</v>
      </c>
      <c r="C4648" s="12">
        <v>30915.0</v>
      </c>
      <c r="D4648" s="11" t="str">
        <f t="shared" si="1"/>
        <v> </v>
      </c>
      <c r="E4648" s="11" t="str">
        <f t="shared" si="2"/>
        <v> </v>
      </c>
    </row>
    <row r="4649" ht="15.75" customHeight="1">
      <c r="A4649" s="11">
        <v>16377.0</v>
      </c>
      <c r="B4649" s="11" t="s">
        <v>4646</v>
      </c>
      <c r="C4649" s="12">
        <v>26719.0</v>
      </c>
      <c r="D4649" s="11" t="str">
        <f t="shared" si="1"/>
        <v> </v>
      </c>
      <c r="E4649" s="11" t="str">
        <f t="shared" si="2"/>
        <v> </v>
      </c>
    </row>
    <row r="4650" ht="15.75" customHeight="1">
      <c r="A4650" s="11">
        <v>16378.0</v>
      </c>
      <c r="B4650" s="11" t="s">
        <v>4647</v>
      </c>
      <c r="C4650" s="12">
        <v>28236.0</v>
      </c>
      <c r="D4650" s="11" t="str">
        <f t="shared" si="1"/>
        <v> </v>
      </c>
      <c r="E4650" s="11" t="str">
        <f t="shared" si="2"/>
        <v> </v>
      </c>
    </row>
    <row r="4651" ht="15.75" customHeight="1">
      <c r="A4651" s="11">
        <v>16379.0</v>
      </c>
      <c r="B4651" s="11" t="s">
        <v>4648</v>
      </c>
      <c r="C4651" s="12">
        <v>29634.0</v>
      </c>
      <c r="D4651" s="11" t="str">
        <f t="shared" si="1"/>
        <v> </v>
      </c>
      <c r="E4651" s="11" t="str">
        <f t="shared" si="2"/>
        <v> </v>
      </c>
    </row>
    <row r="4652" ht="15.75" customHeight="1">
      <c r="A4652" s="11">
        <v>16380.0</v>
      </c>
      <c r="B4652" s="11" t="s">
        <v>4649</v>
      </c>
      <c r="C4652" s="12">
        <v>14198.0</v>
      </c>
      <c r="D4652" s="11" t="str">
        <f t="shared" si="1"/>
        <v> </v>
      </c>
      <c r="E4652" s="11" t="str">
        <f t="shared" si="2"/>
        <v> </v>
      </c>
    </row>
    <row r="4653" ht="15.75" customHeight="1">
      <c r="A4653" s="11">
        <v>16381.0</v>
      </c>
      <c r="B4653" s="11" t="s">
        <v>4650</v>
      </c>
      <c r="C4653" s="12">
        <v>21829.0</v>
      </c>
      <c r="D4653" s="11" t="str">
        <f t="shared" si="1"/>
        <v> </v>
      </c>
      <c r="E4653" s="11" t="str">
        <f t="shared" si="2"/>
        <v> </v>
      </c>
    </row>
    <row r="4654" ht="15.75" customHeight="1">
      <c r="A4654" s="11">
        <v>16382.0</v>
      </c>
      <c r="B4654" s="11" t="s">
        <v>4651</v>
      </c>
      <c r="C4654" s="12">
        <v>34529.0</v>
      </c>
      <c r="D4654" s="11" t="str">
        <f t="shared" si="1"/>
        <v> </v>
      </c>
      <c r="E4654" s="11" t="str">
        <f t="shared" si="2"/>
        <v> </v>
      </c>
    </row>
    <row r="4655" ht="15.75" customHeight="1">
      <c r="A4655" s="11">
        <v>16383.0</v>
      </c>
      <c r="B4655" s="11" t="s">
        <v>4652</v>
      </c>
      <c r="C4655" s="12">
        <v>13721.0</v>
      </c>
      <c r="D4655" s="11" t="str">
        <f t="shared" si="1"/>
        <v> </v>
      </c>
      <c r="E4655" s="11" t="str">
        <f t="shared" si="2"/>
        <v> </v>
      </c>
    </row>
    <row r="4656" ht="15.75" customHeight="1">
      <c r="A4656" s="11">
        <v>16384.0</v>
      </c>
      <c r="B4656" s="11" t="s">
        <v>4653</v>
      </c>
      <c r="C4656" s="12">
        <v>22210.0</v>
      </c>
      <c r="D4656" s="11" t="str">
        <f t="shared" si="1"/>
        <v> </v>
      </c>
      <c r="E4656" s="11" t="str">
        <f t="shared" si="2"/>
        <v> </v>
      </c>
    </row>
    <row r="4657" ht="15.75" customHeight="1">
      <c r="A4657" s="11">
        <v>16387.0</v>
      </c>
      <c r="B4657" s="11" t="s">
        <v>4654</v>
      </c>
      <c r="C4657" s="12">
        <v>21921.0</v>
      </c>
      <c r="D4657" s="11" t="str">
        <f t="shared" si="1"/>
        <v> </v>
      </c>
      <c r="E4657" s="11" t="str">
        <f t="shared" si="2"/>
        <v> </v>
      </c>
    </row>
    <row r="4658" ht="15.75" customHeight="1">
      <c r="A4658" s="11">
        <v>16388.0</v>
      </c>
      <c r="B4658" s="11" t="s">
        <v>4655</v>
      </c>
      <c r="C4658" s="12">
        <v>15830.0</v>
      </c>
      <c r="D4658" s="11" t="str">
        <f t="shared" si="1"/>
        <v> </v>
      </c>
      <c r="E4658" s="11" t="str">
        <f t="shared" si="2"/>
        <v> </v>
      </c>
    </row>
    <row r="4659" ht="15.75" customHeight="1">
      <c r="A4659" s="11">
        <v>16390.0</v>
      </c>
      <c r="B4659" s="11" t="s">
        <v>4656</v>
      </c>
      <c r="C4659" s="12">
        <v>17473.0</v>
      </c>
      <c r="D4659" s="11" t="str">
        <f t="shared" si="1"/>
        <v> </v>
      </c>
      <c r="E4659" s="11" t="str">
        <f t="shared" si="2"/>
        <v> </v>
      </c>
    </row>
    <row r="4660" ht="15.75" customHeight="1">
      <c r="A4660" s="11">
        <v>16391.0</v>
      </c>
      <c r="B4660" s="11" t="s">
        <v>4657</v>
      </c>
      <c r="C4660" s="12">
        <v>15883.0</v>
      </c>
      <c r="D4660" s="11" t="str">
        <f t="shared" si="1"/>
        <v> </v>
      </c>
      <c r="E4660" s="11" t="str">
        <f t="shared" si="2"/>
        <v> </v>
      </c>
    </row>
    <row r="4661" ht="15.75" customHeight="1">
      <c r="A4661" s="11">
        <v>16392.0</v>
      </c>
      <c r="B4661" s="11" t="s">
        <v>4658</v>
      </c>
      <c r="C4661" s="12">
        <v>29159.0</v>
      </c>
      <c r="D4661" s="11" t="str">
        <f t="shared" si="1"/>
        <v> </v>
      </c>
      <c r="E4661" s="11" t="str">
        <f t="shared" si="2"/>
        <v> </v>
      </c>
    </row>
    <row r="4662" ht="15.75" customHeight="1">
      <c r="A4662" s="11">
        <v>16395.0</v>
      </c>
      <c r="B4662" s="11" t="s">
        <v>4659</v>
      </c>
      <c r="C4662" s="12">
        <v>34341.0</v>
      </c>
      <c r="D4662" s="11" t="str">
        <f t="shared" si="1"/>
        <v> </v>
      </c>
      <c r="E4662" s="11" t="str">
        <f t="shared" si="2"/>
        <v> </v>
      </c>
    </row>
    <row r="4663" ht="15.75" customHeight="1">
      <c r="A4663" s="11">
        <v>16398.0</v>
      </c>
      <c r="B4663" s="11" t="s">
        <v>4660</v>
      </c>
      <c r="C4663" s="12">
        <v>17697.0</v>
      </c>
      <c r="D4663" s="11" t="str">
        <f t="shared" si="1"/>
        <v> </v>
      </c>
      <c r="E4663" s="11" t="str">
        <f t="shared" si="2"/>
        <v> </v>
      </c>
    </row>
    <row r="4664" ht="15.75" customHeight="1">
      <c r="A4664" s="11">
        <v>16399.0</v>
      </c>
      <c r="B4664" s="11" t="s">
        <v>4661</v>
      </c>
      <c r="C4664" s="12">
        <v>19889.0</v>
      </c>
      <c r="D4664" s="11" t="str">
        <f t="shared" si="1"/>
        <v> </v>
      </c>
      <c r="E4664" s="11" t="str">
        <f t="shared" si="2"/>
        <v> </v>
      </c>
    </row>
    <row r="4665" ht="15.75" customHeight="1">
      <c r="A4665" s="11">
        <v>16401.0</v>
      </c>
      <c r="B4665" s="11" t="s">
        <v>4662</v>
      </c>
      <c r="C4665" s="12">
        <v>23628.0</v>
      </c>
      <c r="D4665" s="11" t="str">
        <f t="shared" si="1"/>
        <v> </v>
      </c>
      <c r="E4665" s="11" t="str">
        <f t="shared" si="2"/>
        <v> </v>
      </c>
    </row>
    <row r="4666" ht="15.75" customHeight="1">
      <c r="A4666" s="11">
        <v>16402.0</v>
      </c>
      <c r="B4666" s="11" t="s">
        <v>4663</v>
      </c>
      <c r="C4666" s="12">
        <v>16827.0</v>
      </c>
      <c r="D4666" s="11" t="str">
        <f t="shared" si="1"/>
        <v> </v>
      </c>
      <c r="E4666" s="11" t="str">
        <f t="shared" si="2"/>
        <v> </v>
      </c>
    </row>
    <row r="4667" ht="15.75" customHeight="1">
      <c r="A4667" s="11">
        <v>16403.0</v>
      </c>
      <c r="B4667" s="11" t="s">
        <v>4664</v>
      </c>
      <c r="C4667" s="12">
        <v>14184.0</v>
      </c>
      <c r="D4667" s="11" t="str">
        <f t="shared" si="1"/>
        <v> </v>
      </c>
      <c r="E4667" s="11" t="str">
        <f t="shared" si="2"/>
        <v> </v>
      </c>
    </row>
    <row r="4668" ht="15.75" customHeight="1">
      <c r="A4668" s="11">
        <v>16404.0</v>
      </c>
      <c r="B4668" s="11" t="s">
        <v>4665</v>
      </c>
      <c r="C4668" s="12">
        <v>21743.0</v>
      </c>
      <c r="D4668" s="11" t="str">
        <f t="shared" si="1"/>
        <v> </v>
      </c>
      <c r="E4668" s="11" t="str">
        <f t="shared" si="2"/>
        <v> </v>
      </c>
    </row>
    <row r="4669" ht="15.75" customHeight="1">
      <c r="A4669" s="11">
        <v>16407.0</v>
      </c>
      <c r="B4669" s="11" t="s">
        <v>4666</v>
      </c>
      <c r="C4669" s="12">
        <v>30011.0</v>
      </c>
      <c r="D4669" s="11" t="str">
        <f t="shared" si="1"/>
        <v> </v>
      </c>
      <c r="E4669" s="11" t="str">
        <f t="shared" si="2"/>
        <v> </v>
      </c>
    </row>
    <row r="4670" ht="15.75" customHeight="1">
      <c r="A4670" s="11">
        <v>16408.0</v>
      </c>
      <c r="B4670" s="11" t="s">
        <v>4667</v>
      </c>
      <c r="C4670" s="12">
        <v>17007.0</v>
      </c>
      <c r="D4670" s="11" t="str">
        <f t="shared" si="1"/>
        <v> </v>
      </c>
      <c r="E4670" s="11" t="str">
        <f t="shared" si="2"/>
        <v> </v>
      </c>
    </row>
    <row r="4671" ht="15.75" customHeight="1">
      <c r="A4671" s="11">
        <v>16409.0</v>
      </c>
      <c r="B4671" s="11" t="s">
        <v>4668</v>
      </c>
      <c r="C4671" s="12">
        <v>19377.0</v>
      </c>
      <c r="D4671" s="11" t="str">
        <f t="shared" si="1"/>
        <v> </v>
      </c>
      <c r="E4671" s="11" t="str">
        <f t="shared" si="2"/>
        <v> </v>
      </c>
    </row>
    <row r="4672" ht="15.75" customHeight="1">
      <c r="A4672" s="11">
        <v>16411.0</v>
      </c>
      <c r="B4672" s="11" t="s">
        <v>452</v>
      </c>
      <c r="C4672" s="12">
        <v>19376.0</v>
      </c>
      <c r="D4672" s="11" t="str">
        <f t="shared" si="1"/>
        <v>Repeat</v>
      </c>
      <c r="E4672" s="11" t="str">
        <f t="shared" si="2"/>
        <v> </v>
      </c>
    </row>
    <row r="4673" ht="15.75" customHeight="1">
      <c r="A4673" s="11">
        <v>16412.0</v>
      </c>
      <c r="B4673" s="11" t="s">
        <v>4669</v>
      </c>
      <c r="C4673" s="12">
        <v>16226.0</v>
      </c>
      <c r="D4673" s="11" t="str">
        <f t="shared" si="1"/>
        <v> </v>
      </c>
      <c r="E4673" s="11" t="str">
        <f t="shared" si="2"/>
        <v> </v>
      </c>
    </row>
    <row r="4674" ht="15.75" customHeight="1">
      <c r="A4674" s="11">
        <v>16413.0</v>
      </c>
      <c r="B4674" s="11" t="s">
        <v>2381</v>
      </c>
      <c r="C4674" s="12">
        <v>17781.0</v>
      </c>
      <c r="D4674" s="11" t="str">
        <f t="shared" si="1"/>
        <v>Repeat</v>
      </c>
      <c r="E4674" s="11" t="str">
        <f t="shared" si="2"/>
        <v> </v>
      </c>
    </row>
    <row r="4675" ht="15.75" customHeight="1">
      <c r="A4675" s="11">
        <v>16414.0</v>
      </c>
      <c r="B4675" s="11" t="s">
        <v>4670</v>
      </c>
      <c r="C4675" s="12">
        <v>12283.0</v>
      </c>
      <c r="D4675" s="11" t="str">
        <f t="shared" si="1"/>
        <v> </v>
      </c>
      <c r="E4675" s="11" t="str">
        <f t="shared" si="2"/>
        <v> </v>
      </c>
    </row>
    <row r="4676" ht="15.75" customHeight="1">
      <c r="A4676" s="11">
        <v>16415.0</v>
      </c>
      <c r="B4676" s="11" t="s">
        <v>4671</v>
      </c>
      <c r="C4676" s="12">
        <v>31942.0</v>
      </c>
      <c r="D4676" s="11" t="str">
        <f t="shared" si="1"/>
        <v> </v>
      </c>
      <c r="E4676" s="11" t="str">
        <f t="shared" si="2"/>
        <v> </v>
      </c>
    </row>
    <row r="4677" ht="15.75" customHeight="1">
      <c r="A4677" s="11">
        <v>16417.0</v>
      </c>
      <c r="B4677" s="11" t="s">
        <v>4672</v>
      </c>
      <c r="C4677" s="12">
        <v>29034.0</v>
      </c>
      <c r="D4677" s="11" t="str">
        <f t="shared" si="1"/>
        <v> </v>
      </c>
      <c r="E4677" s="11" t="str">
        <f t="shared" si="2"/>
        <v> </v>
      </c>
    </row>
    <row r="4678" ht="15.75" customHeight="1">
      <c r="A4678" s="11">
        <v>16420.0</v>
      </c>
      <c r="B4678" s="11" t="s">
        <v>4673</v>
      </c>
      <c r="C4678" s="12">
        <v>24177.0</v>
      </c>
      <c r="D4678" s="11" t="str">
        <f t="shared" si="1"/>
        <v> </v>
      </c>
      <c r="E4678" s="11" t="str">
        <f t="shared" si="2"/>
        <v> </v>
      </c>
    </row>
    <row r="4679" ht="15.75" customHeight="1">
      <c r="A4679" s="11">
        <v>16421.0</v>
      </c>
      <c r="B4679" s="11" t="s">
        <v>4674</v>
      </c>
      <c r="C4679" s="12">
        <v>22284.0</v>
      </c>
      <c r="D4679" s="11" t="str">
        <f t="shared" si="1"/>
        <v> </v>
      </c>
      <c r="E4679" s="11" t="str">
        <f t="shared" si="2"/>
        <v> </v>
      </c>
    </row>
    <row r="4680" ht="15.75" customHeight="1">
      <c r="A4680" s="11">
        <v>16425.0</v>
      </c>
      <c r="B4680" s="11" t="s">
        <v>4675</v>
      </c>
      <c r="C4680" s="12">
        <v>28522.0</v>
      </c>
      <c r="D4680" s="11" t="str">
        <f t="shared" si="1"/>
        <v> </v>
      </c>
      <c r="E4680" s="11" t="str">
        <f t="shared" si="2"/>
        <v> </v>
      </c>
    </row>
    <row r="4681" ht="15.75" customHeight="1">
      <c r="A4681" s="11">
        <v>16426.0</v>
      </c>
      <c r="B4681" s="11" t="s">
        <v>2228</v>
      </c>
      <c r="C4681" s="12">
        <v>12302.0</v>
      </c>
      <c r="D4681" s="11" t="str">
        <f t="shared" si="1"/>
        <v>Repeat</v>
      </c>
      <c r="E4681" s="11" t="str">
        <f t="shared" si="2"/>
        <v> </v>
      </c>
    </row>
    <row r="4682" ht="15.75" customHeight="1">
      <c r="A4682" s="11">
        <v>16427.0</v>
      </c>
      <c r="B4682" s="11" t="s">
        <v>4676</v>
      </c>
      <c r="C4682" s="12">
        <v>24828.0</v>
      </c>
      <c r="D4682" s="11" t="str">
        <f t="shared" si="1"/>
        <v> </v>
      </c>
      <c r="E4682" s="11" t="str">
        <f t="shared" si="2"/>
        <v> </v>
      </c>
    </row>
    <row r="4683" ht="15.75" customHeight="1">
      <c r="A4683" s="11">
        <v>16429.0</v>
      </c>
      <c r="B4683" s="11" t="s">
        <v>4677</v>
      </c>
      <c r="C4683" s="12">
        <v>14422.0</v>
      </c>
      <c r="D4683" s="11" t="str">
        <f t="shared" si="1"/>
        <v> </v>
      </c>
      <c r="E4683" s="11" t="str">
        <f t="shared" si="2"/>
        <v> </v>
      </c>
    </row>
    <row r="4684" ht="15.75" customHeight="1">
      <c r="A4684" s="11">
        <v>16430.0</v>
      </c>
      <c r="B4684" s="11" t="s">
        <v>4678</v>
      </c>
      <c r="C4684" s="12">
        <v>24420.0</v>
      </c>
      <c r="D4684" s="11" t="str">
        <f t="shared" si="1"/>
        <v>Repeat</v>
      </c>
      <c r="E4684" s="11" t="str">
        <f t="shared" si="2"/>
        <v> </v>
      </c>
    </row>
    <row r="4685" ht="15.75" customHeight="1">
      <c r="A4685" s="11">
        <v>16431.0</v>
      </c>
      <c r="B4685" s="11" t="s">
        <v>4679</v>
      </c>
      <c r="C4685" s="12">
        <v>18157.0</v>
      </c>
      <c r="D4685" s="11" t="str">
        <f t="shared" si="1"/>
        <v> </v>
      </c>
      <c r="E4685" s="11" t="str">
        <f t="shared" si="2"/>
        <v> </v>
      </c>
    </row>
    <row r="4686" ht="15.75" customHeight="1">
      <c r="A4686" s="11">
        <v>16432.0</v>
      </c>
      <c r="B4686" s="11" t="s">
        <v>4680</v>
      </c>
      <c r="C4686" s="12">
        <v>29938.0</v>
      </c>
      <c r="D4686" s="11" t="str">
        <f t="shared" si="1"/>
        <v> </v>
      </c>
      <c r="E4686" s="11" t="str">
        <f t="shared" si="2"/>
        <v> </v>
      </c>
    </row>
    <row r="4687" ht="15.75" customHeight="1">
      <c r="A4687" s="11">
        <v>16433.0</v>
      </c>
      <c r="B4687" s="11" t="s">
        <v>4681</v>
      </c>
      <c r="C4687" s="12">
        <v>22177.0</v>
      </c>
      <c r="D4687" s="11" t="str">
        <f t="shared" si="1"/>
        <v> </v>
      </c>
      <c r="E4687" s="11" t="str">
        <f t="shared" si="2"/>
        <v> </v>
      </c>
    </row>
    <row r="4688" ht="15.75" customHeight="1">
      <c r="A4688" s="11">
        <v>16434.0</v>
      </c>
      <c r="B4688" s="11" t="s">
        <v>4682</v>
      </c>
      <c r="C4688" s="12">
        <v>29227.0</v>
      </c>
      <c r="D4688" s="11" t="str">
        <f t="shared" si="1"/>
        <v> </v>
      </c>
      <c r="E4688" s="11" t="str">
        <f t="shared" si="2"/>
        <v> </v>
      </c>
    </row>
    <row r="4689" ht="15.75" customHeight="1">
      <c r="A4689" s="11">
        <v>16435.0</v>
      </c>
      <c r="B4689" s="11" t="s">
        <v>4683</v>
      </c>
      <c r="C4689" s="12">
        <v>21752.0</v>
      </c>
      <c r="D4689" s="11" t="str">
        <f t="shared" si="1"/>
        <v> </v>
      </c>
      <c r="E4689" s="11" t="str">
        <f t="shared" si="2"/>
        <v> </v>
      </c>
    </row>
    <row r="4690" ht="15.75" customHeight="1">
      <c r="A4690" s="11">
        <v>16436.0</v>
      </c>
      <c r="B4690" s="11" t="s">
        <v>4684</v>
      </c>
      <c r="C4690" s="12">
        <v>18434.0</v>
      </c>
      <c r="D4690" s="11" t="str">
        <f t="shared" si="1"/>
        <v> </v>
      </c>
      <c r="E4690" s="11" t="str">
        <f t="shared" si="2"/>
        <v> </v>
      </c>
    </row>
    <row r="4691" ht="15.75" customHeight="1">
      <c r="A4691" s="11">
        <v>16438.0</v>
      </c>
      <c r="B4691" s="11" t="s">
        <v>4685</v>
      </c>
      <c r="C4691" s="12">
        <v>16578.0</v>
      </c>
      <c r="D4691" s="11" t="str">
        <f t="shared" si="1"/>
        <v> </v>
      </c>
      <c r="E4691" s="11" t="str">
        <f t="shared" si="2"/>
        <v> </v>
      </c>
    </row>
    <row r="4692" ht="15.75" customHeight="1">
      <c r="A4692" s="11">
        <v>16439.0</v>
      </c>
      <c r="B4692" s="11" t="s">
        <v>4686</v>
      </c>
      <c r="C4692" s="12">
        <v>27354.0</v>
      </c>
      <c r="D4692" s="11" t="str">
        <f t="shared" si="1"/>
        <v> </v>
      </c>
      <c r="E4692" s="11" t="str">
        <f t="shared" si="2"/>
        <v> </v>
      </c>
    </row>
    <row r="4693" ht="15.75" customHeight="1">
      <c r="A4693" s="11">
        <v>16441.0</v>
      </c>
      <c r="B4693" s="11" t="s">
        <v>4687</v>
      </c>
      <c r="C4693" s="12">
        <v>22733.0</v>
      </c>
      <c r="D4693" s="11" t="str">
        <f t="shared" si="1"/>
        <v> </v>
      </c>
      <c r="E4693" s="11" t="str">
        <f t="shared" si="2"/>
        <v> </v>
      </c>
    </row>
    <row r="4694" ht="15.75" customHeight="1">
      <c r="A4694" s="11">
        <v>16442.0</v>
      </c>
      <c r="B4694" s="11" t="s">
        <v>4688</v>
      </c>
      <c r="C4694" s="12">
        <v>22978.0</v>
      </c>
      <c r="D4694" s="11" t="str">
        <f t="shared" si="1"/>
        <v>Repeat</v>
      </c>
      <c r="E4694" s="11" t="str">
        <f t="shared" si="2"/>
        <v>Repeat</v>
      </c>
    </row>
    <row r="4695" ht="15.75" customHeight="1">
      <c r="A4695" s="11">
        <v>16443.0</v>
      </c>
      <c r="B4695" s="11" t="s">
        <v>4689</v>
      </c>
      <c r="C4695" s="12">
        <v>33995.0</v>
      </c>
      <c r="D4695" s="11" t="str">
        <f t="shared" si="1"/>
        <v> </v>
      </c>
      <c r="E4695" s="11" t="str">
        <f t="shared" si="2"/>
        <v> </v>
      </c>
    </row>
    <row r="4696" ht="15.75" customHeight="1">
      <c r="A4696" s="11">
        <v>16444.0</v>
      </c>
      <c r="B4696" s="11" t="s">
        <v>4690</v>
      </c>
      <c r="C4696" s="12">
        <v>13772.0</v>
      </c>
      <c r="D4696" s="11" t="str">
        <f t="shared" si="1"/>
        <v> </v>
      </c>
      <c r="E4696" s="11" t="str">
        <f t="shared" si="2"/>
        <v> </v>
      </c>
    </row>
    <row r="4697" ht="15.75" customHeight="1">
      <c r="A4697" s="11">
        <v>16445.0</v>
      </c>
      <c r="B4697" s="11" t="s">
        <v>4691</v>
      </c>
      <c r="C4697" s="12">
        <v>23082.0</v>
      </c>
      <c r="D4697" s="11" t="str">
        <f t="shared" si="1"/>
        <v> </v>
      </c>
      <c r="E4697" s="11" t="str">
        <f t="shared" si="2"/>
        <v> </v>
      </c>
    </row>
    <row r="4698" ht="15.75" customHeight="1">
      <c r="A4698" s="11">
        <v>16446.0</v>
      </c>
      <c r="B4698" s="11" t="s">
        <v>4692</v>
      </c>
      <c r="C4698" s="12">
        <v>27864.0</v>
      </c>
      <c r="D4698" s="11" t="str">
        <f t="shared" si="1"/>
        <v> </v>
      </c>
      <c r="E4698" s="11" t="str">
        <f t="shared" si="2"/>
        <v> </v>
      </c>
    </row>
    <row r="4699" ht="15.75" customHeight="1">
      <c r="A4699" s="11">
        <v>16448.0</v>
      </c>
      <c r="B4699" s="11" t="s">
        <v>4693</v>
      </c>
      <c r="C4699" s="12">
        <v>31169.0</v>
      </c>
      <c r="D4699" s="11" t="str">
        <f t="shared" si="1"/>
        <v> </v>
      </c>
      <c r="E4699" s="11" t="str">
        <f t="shared" si="2"/>
        <v> </v>
      </c>
    </row>
    <row r="4700" ht="15.75" customHeight="1">
      <c r="A4700" s="11">
        <v>16449.0</v>
      </c>
      <c r="B4700" s="11" t="s">
        <v>4694</v>
      </c>
      <c r="C4700" s="12">
        <v>23434.0</v>
      </c>
      <c r="D4700" s="11" t="str">
        <f t="shared" si="1"/>
        <v> </v>
      </c>
      <c r="E4700" s="11" t="str">
        <f t="shared" si="2"/>
        <v> </v>
      </c>
    </row>
    <row r="4701" ht="15.75" customHeight="1">
      <c r="A4701" s="11">
        <v>16450.0</v>
      </c>
      <c r="B4701" s="11" t="s">
        <v>4695</v>
      </c>
      <c r="C4701" s="12">
        <v>31453.0</v>
      </c>
      <c r="D4701" s="11" t="str">
        <f t="shared" si="1"/>
        <v> </v>
      </c>
      <c r="E4701" s="11" t="str">
        <f t="shared" si="2"/>
        <v> </v>
      </c>
    </row>
    <row r="4702" ht="15.75" customHeight="1">
      <c r="A4702" s="11">
        <v>16451.0</v>
      </c>
      <c r="B4702" s="11" t="s">
        <v>4696</v>
      </c>
      <c r="C4702" s="12">
        <v>17091.0</v>
      </c>
      <c r="D4702" s="11" t="str">
        <f t="shared" si="1"/>
        <v> </v>
      </c>
      <c r="E4702" s="11" t="str">
        <f t="shared" si="2"/>
        <v> </v>
      </c>
    </row>
    <row r="4703" ht="15.75" customHeight="1">
      <c r="A4703" s="11">
        <v>16453.0</v>
      </c>
      <c r="B4703" s="11" t="s">
        <v>4697</v>
      </c>
      <c r="C4703" s="12">
        <v>26860.0</v>
      </c>
      <c r="D4703" s="11" t="str">
        <f t="shared" si="1"/>
        <v> </v>
      </c>
      <c r="E4703" s="11" t="str">
        <f t="shared" si="2"/>
        <v> </v>
      </c>
    </row>
    <row r="4704" ht="15.75" customHeight="1">
      <c r="A4704" s="11">
        <v>16455.0</v>
      </c>
      <c r="B4704" s="11" t="s">
        <v>4698</v>
      </c>
      <c r="C4704" s="12">
        <v>27691.0</v>
      </c>
      <c r="D4704" s="11" t="str">
        <f t="shared" si="1"/>
        <v> </v>
      </c>
      <c r="E4704" s="11" t="str">
        <f t="shared" si="2"/>
        <v> </v>
      </c>
    </row>
    <row r="4705" ht="15.75" customHeight="1">
      <c r="A4705" s="11">
        <v>16456.0</v>
      </c>
      <c r="B4705" s="11" t="s">
        <v>4699</v>
      </c>
      <c r="C4705" s="12">
        <v>33340.0</v>
      </c>
      <c r="D4705" s="11" t="str">
        <f t="shared" si="1"/>
        <v> </v>
      </c>
      <c r="E4705" s="11" t="str">
        <f t="shared" si="2"/>
        <v> </v>
      </c>
    </row>
    <row r="4706" ht="15.75" customHeight="1">
      <c r="A4706" s="11">
        <v>16457.0</v>
      </c>
      <c r="B4706" s="11" t="s">
        <v>4700</v>
      </c>
      <c r="C4706" s="12">
        <v>20610.0</v>
      </c>
      <c r="D4706" s="11" t="str">
        <f t="shared" si="1"/>
        <v> </v>
      </c>
      <c r="E4706" s="11" t="str">
        <f t="shared" si="2"/>
        <v> </v>
      </c>
    </row>
    <row r="4707" ht="15.75" customHeight="1">
      <c r="A4707" s="11">
        <v>16458.0</v>
      </c>
      <c r="B4707" s="11" t="s">
        <v>4701</v>
      </c>
      <c r="C4707" s="12">
        <v>17921.0</v>
      </c>
      <c r="D4707" s="11" t="str">
        <f t="shared" si="1"/>
        <v> </v>
      </c>
      <c r="E4707" s="11" t="str">
        <f t="shared" si="2"/>
        <v> </v>
      </c>
    </row>
    <row r="4708" ht="15.75" customHeight="1">
      <c r="A4708" s="11">
        <v>16459.0</v>
      </c>
      <c r="B4708" s="11" t="s">
        <v>4702</v>
      </c>
      <c r="C4708" s="12">
        <v>19018.0</v>
      </c>
      <c r="D4708" s="11" t="str">
        <f t="shared" si="1"/>
        <v> </v>
      </c>
      <c r="E4708" s="11" t="str">
        <f t="shared" si="2"/>
        <v> </v>
      </c>
    </row>
    <row r="4709" ht="15.75" customHeight="1">
      <c r="A4709" s="11">
        <v>16462.0</v>
      </c>
      <c r="B4709" s="11" t="s">
        <v>4703</v>
      </c>
      <c r="C4709" s="12">
        <v>17504.0</v>
      </c>
      <c r="D4709" s="11" t="str">
        <f t="shared" si="1"/>
        <v> </v>
      </c>
      <c r="E4709" s="11" t="str">
        <f t="shared" si="2"/>
        <v> </v>
      </c>
    </row>
    <row r="4710" ht="15.75" customHeight="1">
      <c r="A4710" s="11">
        <v>16463.0</v>
      </c>
      <c r="B4710" s="11" t="s">
        <v>4704</v>
      </c>
      <c r="C4710" s="12">
        <v>29506.0</v>
      </c>
      <c r="D4710" s="11" t="str">
        <f t="shared" si="1"/>
        <v> </v>
      </c>
      <c r="E4710" s="11" t="str">
        <f t="shared" si="2"/>
        <v> </v>
      </c>
    </row>
    <row r="4711" ht="15.75" customHeight="1">
      <c r="A4711" s="11">
        <v>16464.0</v>
      </c>
      <c r="B4711" s="11" t="s">
        <v>4705</v>
      </c>
      <c r="C4711" s="12">
        <v>25109.0</v>
      </c>
      <c r="D4711" s="11" t="str">
        <f t="shared" si="1"/>
        <v> </v>
      </c>
      <c r="E4711" s="11" t="str">
        <f t="shared" si="2"/>
        <v> </v>
      </c>
    </row>
    <row r="4712" ht="15.75" customHeight="1">
      <c r="A4712" s="11">
        <v>16465.0</v>
      </c>
      <c r="B4712" s="11" t="s">
        <v>4706</v>
      </c>
      <c r="C4712" s="12">
        <v>30615.0</v>
      </c>
      <c r="D4712" s="11" t="str">
        <f t="shared" si="1"/>
        <v> </v>
      </c>
      <c r="E4712" s="11" t="str">
        <f t="shared" si="2"/>
        <v> </v>
      </c>
    </row>
    <row r="4713" ht="15.75" customHeight="1">
      <c r="A4713" s="11">
        <v>16466.0</v>
      </c>
      <c r="B4713" s="11" t="s">
        <v>4707</v>
      </c>
      <c r="C4713" s="12">
        <v>23152.0</v>
      </c>
      <c r="D4713" s="11" t="str">
        <f t="shared" si="1"/>
        <v> </v>
      </c>
      <c r="E4713" s="11" t="str">
        <f t="shared" si="2"/>
        <v> </v>
      </c>
    </row>
    <row r="4714" ht="15.75" customHeight="1">
      <c r="A4714" s="11">
        <v>16467.0</v>
      </c>
      <c r="B4714" s="11" t="s">
        <v>4708</v>
      </c>
      <c r="C4714" s="12">
        <v>25813.0</v>
      </c>
      <c r="D4714" s="11" t="str">
        <f t="shared" si="1"/>
        <v> </v>
      </c>
      <c r="E4714" s="11" t="str">
        <f t="shared" si="2"/>
        <v> </v>
      </c>
    </row>
    <row r="4715" ht="15.75" customHeight="1">
      <c r="A4715" s="11">
        <v>16468.0</v>
      </c>
      <c r="B4715" s="11" t="s">
        <v>4709</v>
      </c>
      <c r="C4715" s="12">
        <v>21058.0</v>
      </c>
      <c r="D4715" s="11" t="str">
        <f t="shared" si="1"/>
        <v> </v>
      </c>
      <c r="E4715" s="11" t="str">
        <f t="shared" si="2"/>
        <v> </v>
      </c>
    </row>
    <row r="4716" ht="15.75" customHeight="1">
      <c r="A4716" s="11">
        <v>16470.0</v>
      </c>
      <c r="B4716" s="11" t="s">
        <v>4710</v>
      </c>
      <c r="C4716" s="12">
        <v>15618.0</v>
      </c>
      <c r="D4716" s="11" t="str">
        <f t="shared" si="1"/>
        <v> </v>
      </c>
      <c r="E4716" s="11" t="str">
        <f t="shared" si="2"/>
        <v> </v>
      </c>
    </row>
    <row r="4717" ht="15.75" customHeight="1">
      <c r="A4717" s="11">
        <v>16471.0</v>
      </c>
      <c r="B4717" s="11" t="s">
        <v>4711</v>
      </c>
      <c r="C4717" s="12">
        <v>23867.0</v>
      </c>
      <c r="D4717" s="11" t="str">
        <f t="shared" si="1"/>
        <v> </v>
      </c>
      <c r="E4717" s="11" t="str">
        <f t="shared" si="2"/>
        <v> </v>
      </c>
    </row>
    <row r="4718" ht="15.75" customHeight="1">
      <c r="A4718" s="11">
        <v>16472.0</v>
      </c>
      <c r="B4718" s="11" t="s">
        <v>4712</v>
      </c>
      <c r="C4718" s="12">
        <v>27250.0</v>
      </c>
      <c r="D4718" s="11" t="str">
        <f t="shared" si="1"/>
        <v> </v>
      </c>
      <c r="E4718" s="11" t="str">
        <f t="shared" si="2"/>
        <v> </v>
      </c>
    </row>
    <row r="4719" ht="15.75" customHeight="1">
      <c r="A4719" s="11">
        <v>16473.0</v>
      </c>
      <c r="B4719" s="11" t="s">
        <v>4713</v>
      </c>
      <c r="C4719" s="12">
        <v>22507.0</v>
      </c>
      <c r="D4719" s="11" t="str">
        <f t="shared" si="1"/>
        <v> </v>
      </c>
      <c r="E4719" s="11" t="str">
        <f t="shared" si="2"/>
        <v> </v>
      </c>
    </row>
    <row r="4720" ht="15.75" customHeight="1">
      <c r="A4720" s="11">
        <v>16474.0</v>
      </c>
      <c r="B4720" s="11" t="s">
        <v>4714</v>
      </c>
      <c r="C4720" s="12">
        <v>24316.0</v>
      </c>
      <c r="D4720" s="11" t="str">
        <f t="shared" si="1"/>
        <v> </v>
      </c>
      <c r="E4720" s="11" t="str">
        <f t="shared" si="2"/>
        <v> </v>
      </c>
    </row>
    <row r="4721" ht="15.75" customHeight="1">
      <c r="A4721" s="11">
        <v>16475.0</v>
      </c>
      <c r="B4721" s="11" t="s">
        <v>4715</v>
      </c>
      <c r="C4721" s="12">
        <v>27121.0</v>
      </c>
      <c r="D4721" s="11" t="str">
        <f t="shared" si="1"/>
        <v> </v>
      </c>
      <c r="E4721" s="11" t="str">
        <f t="shared" si="2"/>
        <v> </v>
      </c>
    </row>
    <row r="4722" ht="15.75" customHeight="1">
      <c r="A4722" s="11">
        <v>16476.0</v>
      </c>
      <c r="B4722" s="11" t="s">
        <v>4716</v>
      </c>
      <c r="C4722" s="12">
        <v>23386.0</v>
      </c>
      <c r="D4722" s="11" t="str">
        <f t="shared" si="1"/>
        <v> </v>
      </c>
      <c r="E4722" s="11" t="str">
        <f t="shared" si="2"/>
        <v> </v>
      </c>
    </row>
    <row r="4723" ht="15.75" customHeight="1">
      <c r="A4723" s="11">
        <v>16477.0</v>
      </c>
      <c r="B4723" s="11" t="s">
        <v>4717</v>
      </c>
      <c r="C4723" s="12">
        <v>22135.0</v>
      </c>
      <c r="D4723" s="11" t="str">
        <f t="shared" si="1"/>
        <v> </v>
      </c>
      <c r="E4723" s="11" t="str">
        <f t="shared" si="2"/>
        <v> </v>
      </c>
    </row>
    <row r="4724" ht="15.75" customHeight="1">
      <c r="A4724" s="11">
        <v>16478.0</v>
      </c>
      <c r="B4724" s="11" t="s">
        <v>4718</v>
      </c>
      <c r="C4724" s="12">
        <v>19153.0</v>
      </c>
      <c r="D4724" s="11" t="str">
        <f t="shared" si="1"/>
        <v> </v>
      </c>
      <c r="E4724" s="11" t="str">
        <f t="shared" si="2"/>
        <v> </v>
      </c>
    </row>
    <row r="4725" ht="15.75" customHeight="1">
      <c r="A4725" s="11">
        <v>16481.0</v>
      </c>
      <c r="B4725" s="11" t="s">
        <v>4719</v>
      </c>
      <c r="C4725" s="12">
        <v>23102.0</v>
      </c>
      <c r="D4725" s="11" t="str">
        <f t="shared" si="1"/>
        <v> </v>
      </c>
      <c r="E4725" s="11" t="str">
        <f t="shared" si="2"/>
        <v> </v>
      </c>
    </row>
    <row r="4726" ht="15.75" customHeight="1">
      <c r="A4726" s="11">
        <v>16482.0</v>
      </c>
      <c r="B4726" s="11" t="s">
        <v>4720</v>
      </c>
      <c r="C4726" s="12">
        <v>13256.0</v>
      </c>
      <c r="D4726" s="11" t="str">
        <f t="shared" si="1"/>
        <v> </v>
      </c>
      <c r="E4726" s="11" t="str">
        <f t="shared" si="2"/>
        <v> </v>
      </c>
    </row>
    <row r="4727" ht="15.75" customHeight="1">
      <c r="A4727" s="11">
        <v>16483.0</v>
      </c>
      <c r="B4727" s="11" t="s">
        <v>4721</v>
      </c>
      <c r="C4727" s="12">
        <v>25298.0</v>
      </c>
      <c r="D4727" s="11" t="str">
        <f t="shared" si="1"/>
        <v> </v>
      </c>
      <c r="E4727" s="11" t="str">
        <f t="shared" si="2"/>
        <v> </v>
      </c>
    </row>
    <row r="4728" ht="15.75" customHeight="1">
      <c r="A4728" s="11">
        <v>16484.0</v>
      </c>
      <c r="B4728" s="11" t="s">
        <v>4722</v>
      </c>
      <c r="C4728" s="12">
        <v>31168.0</v>
      </c>
      <c r="D4728" s="11" t="str">
        <f t="shared" si="1"/>
        <v> </v>
      </c>
      <c r="E4728" s="11" t="str">
        <f t="shared" si="2"/>
        <v> </v>
      </c>
    </row>
    <row r="4729" ht="15.75" customHeight="1">
      <c r="A4729" s="11">
        <v>16485.0</v>
      </c>
      <c r="B4729" s="11" t="s">
        <v>4723</v>
      </c>
      <c r="C4729" s="12">
        <v>17407.0</v>
      </c>
      <c r="D4729" s="11" t="str">
        <f t="shared" si="1"/>
        <v> </v>
      </c>
      <c r="E4729" s="11" t="str">
        <f t="shared" si="2"/>
        <v> </v>
      </c>
    </row>
    <row r="4730" ht="15.75" customHeight="1">
      <c r="A4730" s="11">
        <v>16488.0</v>
      </c>
      <c r="B4730" s="11" t="s">
        <v>4724</v>
      </c>
      <c r="C4730" s="12">
        <v>22921.0</v>
      </c>
      <c r="D4730" s="11" t="str">
        <f t="shared" si="1"/>
        <v> </v>
      </c>
      <c r="E4730" s="11" t="str">
        <f t="shared" si="2"/>
        <v> </v>
      </c>
    </row>
    <row r="4731" ht="15.75" customHeight="1">
      <c r="A4731" s="11">
        <v>16490.0</v>
      </c>
      <c r="B4731" s="11" t="s">
        <v>4725</v>
      </c>
      <c r="C4731" s="12">
        <v>17970.0</v>
      </c>
      <c r="D4731" s="11" t="str">
        <f t="shared" si="1"/>
        <v> </v>
      </c>
      <c r="E4731" s="11" t="str">
        <f t="shared" si="2"/>
        <v> </v>
      </c>
    </row>
    <row r="4732" ht="15.75" customHeight="1">
      <c r="A4732" s="11">
        <v>16491.0</v>
      </c>
      <c r="B4732" s="11" t="s">
        <v>4726</v>
      </c>
      <c r="C4732" s="12">
        <v>16179.0</v>
      </c>
      <c r="D4732" s="11" t="str">
        <f t="shared" si="1"/>
        <v> </v>
      </c>
      <c r="E4732" s="11" t="str">
        <f t="shared" si="2"/>
        <v> </v>
      </c>
    </row>
    <row r="4733" ht="15.75" customHeight="1">
      <c r="A4733" s="11">
        <v>16492.0</v>
      </c>
      <c r="B4733" s="11" t="s">
        <v>4727</v>
      </c>
      <c r="C4733" s="12">
        <v>31364.0</v>
      </c>
      <c r="D4733" s="11" t="str">
        <f t="shared" si="1"/>
        <v> </v>
      </c>
      <c r="E4733" s="11" t="str">
        <f t="shared" si="2"/>
        <v> </v>
      </c>
    </row>
    <row r="4734" ht="15.75" customHeight="1">
      <c r="A4734" s="11">
        <v>16494.0</v>
      </c>
      <c r="B4734" s="11" t="s">
        <v>4728</v>
      </c>
      <c r="C4734" s="12">
        <v>24579.0</v>
      </c>
      <c r="D4734" s="11" t="str">
        <f t="shared" si="1"/>
        <v> </v>
      </c>
      <c r="E4734" s="11" t="str">
        <f t="shared" si="2"/>
        <v> </v>
      </c>
    </row>
    <row r="4735" ht="15.75" customHeight="1">
      <c r="A4735" s="11">
        <v>16495.0</v>
      </c>
      <c r="B4735" s="11" t="s">
        <v>4729</v>
      </c>
      <c r="C4735" s="12">
        <v>25245.0</v>
      </c>
      <c r="D4735" s="11" t="str">
        <f t="shared" si="1"/>
        <v> </v>
      </c>
      <c r="E4735" s="11" t="str">
        <f t="shared" si="2"/>
        <v> </v>
      </c>
    </row>
    <row r="4736" ht="15.75" customHeight="1">
      <c r="A4736" s="11">
        <v>16496.0</v>
      </c>
      <c r="B4736" s="11" t="s">
        <v>4730</v>
      </c>
      <c r="C4736" s="12">
        <v>19235.0</v>
      </c>
      <c r="D4736" s="11" t="str">
        <f t="shared" si="1"/>
        <v> </v>
      </c>
      <c r="E4736" s="11" t="str">
        <f t="shared" si="2"/>
        <v> </v>
      </c>
    </row>
    <row r="4737" ht="15.75" customHeight="1">
      <c r="A4737" s="11">
        <v>16497.0</v>
      </c>
      <c r="B4737" s="11" t="s">
        <v>4731</v>
      </c>
      <c r="C4737" s="12">
        <v>19950.0</v>
      </c>
      <c r="D4737" s="11" t="str">
        <f t="shared" si="1"/>
        <v> </v>
      </c>
      <c r="E4737" s="11" t="str">
        <f t="shared" si="2"/>
        <v> </v>
      </c>
    </row>
    <row r="4738" ht="15.75" customHeight="1">
      <c r="A4738" s="11">
        <v>16498.0</v>
      </c>
      <c r="B4738" s="11" t="s">
        <v>4732</v>
      </c>
      <c r="C4738" s="12">
        <v>20803.0</v>
      </c>
      <c r="D4738" s="11" t="str">
        <f t="shared" si="1"/>
        <v> </v>
      </c>
      <c r="E4738" s="11" t="str">
        <f t="shared" si="2"/>
        <v> </v>
      </c>
    </row>
    <row r="4739" ht="15.75" customHeight="1">
      <c r="A4739" s="11">
        <v>16499.0</v>
      </c>
      <c r="B4739" s="11" t="s">
        <v>4733</v>
      </c>
      <c r="C4739" s="12">
        <v>26230.0</v>
      </c>
      <c r="D4739" s="11" t="str">
        <f t="shared" si="1"/>
        <v> </v>
      </c>
      <c r="E4739" s="11" t="str">
        <f t="shared" si="2"/>
        <v> </v>
      </c>
    </row>
    <row r="4740" ht="15.75" customHeight="1">
      <c r="A4740" s="11">
        <v>16500.0</v>
      </c>
      <c r="B4740" s="11" t="s">
        <v>4734</v>
      </c>
      <c r="C4740" s="12">
        <v>23027.0</v>
      </c>
      <c r="D4740" s="11" t="str">
        <f t="shared" si="1"/>
        <v> </v>
      </c>
      <c r="E4740" s="11" t="str">
        <f t="shared" si="2"/>
        <v> </v>
      </c>
    </row>
    <row r="4741" ht="15.75" customHeight="1">
      <c r="A4741" s="11">
        <v>16502.0</v>
      </c>
      <c r="B4741" s="11" t="s">
        <v>4735</v>
      </c>
      <c r="C4741" s="12">
        <v>28281.0</v>
      </c>
      <c r="D4741" s="11" t="str">
        <f t="shared" si="1"/>
        <v> </v>
      </c>
      <c r="E4741" s="11" t="str">
        <f t="shared" si="2"/>
        <v> </v>
      </c>
    </row>
    <row r="4742" ht="15.75" customHeight="1">
      <c r="A4742" s="11">
        <v>16503.0</v>
      </c>
      <c r="B4742" s="11" t="s">
        <v>4736</v>
      </c>
      <c r="C4742" s="12">
        <v>12325.0</v>
      </c>
      <c r="D4742" s="11" t="str">
        <f t="shared" si="1"/>
        <v> </v>
      </c>
      <c r="E4742" s="11" t="str">
        <f t="shared" si="2"/>
        <v> </v>
      </c>
    </row>
    <row r="4743" ht="15.75" customHeight="1">
      <c r="A4743" s="11">
        <v>16504.0</v>
      </c>
      <c r="B4743" s="11" t="s">
        <v>4737</v>
      </c>
      <c r="C4743" s="12">
        <v>20242.0</v>
      </c>
      <c r="D4743" s="11" t="str">
        <f t="shared" si="1"/>
        <v> </v>
      </c>
      <c r="E4743" s="11" t="str">
        <f t="shared" si="2"/>
        <v> </v>
      </c>
    </row>
    <row r="4744" ht="15.75" customHeight="1">
      <c r="A4744" s="11">
        <v>16505.0</v>
      </c>
      <c r="B4744" s="11" t="s">
        <v>4738</v>
      </c>
      <c r="C4744" s="12">
        <v>21464.0</v>
      </c>
      <c r="D4744" s="11" t="str">
        <f t="shared" si="1"/>
        <v> </v>
      </c>
      <c r="E4744" s="11" t="str">
        <f t="shared" si="2"/>
        <v> </v>
      </c>
    </row>
    <row r="4745" ht="15.75" customHeight="1">
      <c r="A4745" s="11">
        <v>16506.0</v>
      </c>
      <c r="B4745" s="11" t="s">
        <v>4739</v>
      </c>
      <c r="C4745" s="12">
        <v>25578.0</v>
      </c>
      <c r="D4745" s="11" t="str">
        <f t="shared" si="1"/>
        <v> </v>
      </c>
      <c r="E4745" s="11" t="str">
        <f t="shared" si="2"/>
        <v> </v>
      </c>
    </row>
    <row r="4746" ht="15.75" customHeight="1">
      <c r="A4746" s="11">
        <v>16507.0</v>
      </c>
      <c r="B4746" s="11" t="s">
        <v>4740</v>
      </c>
      <c r="C4746" s="12">
        <v>21287.0</v>
      </c>
      <c r="D4746" s="11" t="str">
        <f t="shared" si="1"/>
        <v> </v>
      </c>
      <c r="E4746" s="11" t="str">
        <f t="shared" si="2"/>
        <v> </v>
      </c>
    </row>
    <row r="4747" ht="15.75" customHeight="1">
      <c r="A4747" s="11">
        <v>16508.0</v>
      </c>
      <c r="B4747" s="11" t="s">
        <v>4741</v>
      </c>
      <c r="C4747" s="12">
        <v>12209.0</v>
      </c>
      <c r="D4747" s="11" t="str">
        <f t="shared" si="1"/>
        <v> </v>
      </c>
      <c r="E4747" s="11" t="str">
        <f t="shared" si="2"/>
        <v> </v>
      </c>
    </row>
    <row r="4748" ht="15.75" customHeight="1">
      <c r="A4748" s="11">
        <v>16509.0</v>
      </c>
      <c r="B4748" s="11" t="s">
        <v>4742</v>
      </c>
      <c r="C4748" s="12">
        <v>16614.0</v>
      </c>
      <c r="D4748" s="11" t="str">
        <f t="shared" si="1"/>
        <v> </v>
      </c>
      <c r="E4748" s="11" t="str">
        <f t="shared" si="2"/>
        <v> </v>
      </c>
    </row>
    <row r="4749" ht="15.75" customHeight="1">
      <c r="A4749" s="11">
        <v>16510.0</v>
      </c>
      <c r="B4749" s="11" t="s">
        <v>4743</v>
      </c>
      <c r="C4749" s="12">
        <v>18483.0</v>
      </c>
      <c r="D4749" s="11" t="str">
        <f t="shared" si="1"/>
        <v> </v>
      </c>
      <c r="E4749" s="11" t="str">
        <f t="shared" si="2"/>
        <v> </v>
      </c>
    </row>
    <row r="4750" ht="15.75" customHeight="1">
      <c r="A4750" s="11">
        <v>16511.0</v>
      </c>
      <c r="B4750" s="11" t="s">
        <v>4744</v>
      </c>
      <c r="C4750" s="12">
        <v>20244.0</v>
      </c>
      <c r="D4750" s="11" t="str">
        <f t="shared" si="1"/>
        <v> </v>
      </c>
      <c r="E4750" s="11" t="str">
        <f t="shared" si="2"/>
        <v> </v>
      </c>
    </row>
    <row r="4751" ht="15.75" customHeight="1">
      <c r="A4751" s="11">
        <v>16512.0</v>
      </c>
      <c r="B4751" s="11" t="s">
        <v>4382</v>
      </c>
      <c r="C4751" s="12">
        <v>12955.0</v>
      </c>
      <c r="D4751" s="11" t="str">
        <f t="shared" si="1"/>
        <v>Repeat</v>
      </c>
      <c r="E4751" s="11" t="str">
        <f t="shared" si="2"/>
        <v> </v>
      </c>
    </row>
    <row r="4752" ht="15.75" customHeight="1">
      <c r="A4752" s="11">
        <v>16513.0</v>
      </c>
      <c r="B4752" s="11" t="s">
        <v>4745</v>
      </c>
      <c r="C4752" s="12">
        <v>17670.0</v>
      </c>
      <c r="D4752" s="11" t="str">
        <f t="shared" si="1"/>
        <v> </v>
      </c>
      <c r="E4752" s="11" t="str">
        <f t="shared" si="2"/>
        <v> </v>
      </c>
    </row>
    <row r="4753" ht="15.75" customHeight="1">
      <c r="A4753" s="11">
        <v>16514.0</v>
      </c>
      <c r="B4753" s="11" t="s">
        <v>4746</v>
      </c>
      <c r="C4753" s="12">
        <v>28378.0</v>
      </c>
      <c r="D4753" s="11" t="str">
        <f t="shared" si="1"/>
        <v> </v>
      </c>
      <c r="E4753" s="11" t="str">
        <f t="shared" si="2"/>
        <v> </v>
      </c>
    </row>
    <row r="4754" ht="15.75" customHeight="1">
      <c r="A4754" s="11">
        <v>16515.0</v>
      </c>
      <c r="B4754" s="11" t="s">
        <v>4747</v>
      </c>
      <c r="C4754" s="12">
        <v>17317.0</v>
      </c>
      <c r="D4754" s="11" t="str">
        <f t="shared" si="1"/>
        <v> </v>
      </c>
      <c r="E4754" s="11" t="str">
        <f t="shared" si="2"/>
        <v> </v>
      </c>
    </row>
    <row r="4755" ht="15.75" customHeight="1">
      <c r="A4755" s="11">
        <v>16516.0</v>
      </c>
      <c r="B4755" s="11" t="s">
        <v>4748</v>
      </c>
      <c r="C4755" s="12">
        <v>15499.0</v>
      </c>
      <c r="D4755" s="11" t="str">
        <f t="shared" si="1"/>
        <v> </v>
      </c>
      <c r="E4755" s="11" t="str">
        <f t="shared" si="2"/>
        <v> </v>
      </c>
    </row>
    <row r="4756" ht="15.75" customHeight="1">
      <c r="A4756" s="11">
        <v>16517.0</v>
      </c>
      <c r="B4756" s="11" t="s">
        <v>4749</v>
      </c>
      <c r="C4756" s="12">
        <v>17609.0</v>
      </c>
      <c r="D4756" s="11" t="str">
        <f t="shared" si="1"/>
        <v> </v>
      </c>
      <c r="E4756" s="11" t="str">
        <f t="shared" si="2"/>
        <v> </v>
      </c>
    </row>
    <row r="4757" ht="15.75" customHeight="1">
      <c r="A4757" s="11">
        <v>16518.0</v>
      </c>
      <c r="B4757" s="11" t="s">
        <v>4750</v>
      </c>
      <c r="C4757" s="12">
        <v>27958.0</v>
      </c>
      <c r="D4757" s="11" t="str">
        <f t="shared" si="1"/>
        <v> </v>
      </c>
      <c r="E4757" s="11" t="str">
        <f t="shared" si="2"/>
        <v> </v>
      </c>
    </row>
    <row r="4758" ht="15.75" customHeight="1">
      <c r="A4758" s="11">
        <v>16519.0</v>
      </c>
      <c r="B4758" s="11" t="s">
        <v>4751</v>
      </c>
      <c r="C4758" s="12">
        <v>21727.0</v>
      </c>
      <c r="D4758" s="11" t="str">
        <f t="shared" si="1"/>
        <v> </v>
      </c>
      <c r="E4758" s="11" t="str">
        <f t="shared" si="2"/>
        <v> </v>
      </c>
    </row>
    <row r="4759" ht="15.75" customHeight="1">
      <c r="A4759" s="11">
        <v>16520.0</v>
      </c>
      <c r="B4759" s="11" t="s">
        <v>4752</v>
      </c>
      <c r="C4759" s="12">
        <v>35851.0</v>
      </c>
      <c r="D4759" s="11" t="str">
        <f t="shared" si="1"/>
        <v> </v>
      </c>
      <c r="E4759" s="11" t="str">
        <f t="shared" si="2"/>
        <v> </v>
      </c>
    </row>
    <row r="4760" ht="15.75" customHeight="1">
      <c r="A4760" s="11">
        <v>16521.0</v>
      </c>
      <c r="B4760" s="11" t="s">
        <v>4753</v>
      </c>
      <c r="C4760" s="12">
        <v>19307.0</v>
      </c>
      <c r="D4760" s="11" t="str">
        <f t="shared" si="1"/>
        <v> </v>
      </c>
      <c r="E4760" s="11" t="str">
        <f t="shared" si="2"/>
        <v> </v>
      </c>
    </row>
    <row r="4761" ht="15.75" customHeight="1">
      <c r="A4761" s="11">
        <v>16522.0</v>
      </c>
      <c r="B4761" s="11" t="s">
        <v>4754</v>
      </c>
      <c r="C4761" s="12">
        <v>25936.0</v>
      </c>
      <c r="D4761" s="11" t="str">
        <f t="shared" si="1"/>
        <v> </v>
      </c>
      <c r="E4761" s="11" t="str">
        <f t="shared" si="2"/>
        <v> </v>
      </c>
    </row>
    <row r="4762" ht="15.75" customHeight="1">
      <c r="A4762" s="11">
        <v>16523.0</v>
      </c>
      <c r="B4762" s="11" t="s">
        <v>4755</v>
      </c>
      <c r="C4762" s="12">
        <v>21431.0</v>
      </c>
      <c r="D4762" s="11" t="str">
        <f t="shared" si="1"/>
        <v> </v>
      </c>
      <c r="E4762" s="11" t="str">
        <f t="shared" si="2"/>
        <v> </v>
      </c>
    </row>
    <row r="4763" ht="15.75" customHeight="1">
      <c r="A4763" s="11">
        <v>16524.0</v>
      </c>
      <c r="B4763" s="11" t="s">
        <v>4756</v>
      </c>
      <c r="C4763" s="12">
        <v>25485.0</v>
      </c>
      <c r="D4763" s="11" t="str">
        <f t="shared" si="1"/>
        <v> </v>
      </c>
      <c r="E4763" s="11" t="str">
        <f t="shared" si="2"/>
        <v> </v>
      </c>
    </row>
    <row r="4764" ht="15.75" customHeight="1">
      <c r="A4764" s="11">
        <v>16525.0</v>
      </c>
      <c r="B4764" s="11" t="s">
        <v>4757</v>
      </c>
      <c r="C4764" s="12">
        <v>22889.0</v>
      </c>
      <c r="D4764" s="11" t="str">
        <f t="shared" si="1"/>
        <v> </v>
      </c>
      <c r="E4764" s="11" t="str">
        <f t="shared" si="2"/>
        <v> </v>
      </c>
    </row>
    <row r="4765" ht="15.75" customHeight="1">
      <c r="A4765" s="11">
        <v>16526.0</v>
      </c>
      <c r="B4765" s="11" t="s">
        <v>4758</v>
      </c>
      <c r="C4765" s="12">
        <v>19731.0</v>
      </c>
      <c r="D4765" s="11" t="str">
        <f t="shared" si="1"/>
        <v> </v>
      </c>
      <c r="E4765" s="11" t="str">
        <f t="shared" si="2"/>
        <v> </v>
      </c>
    </row>
    <row r="4766" ht="15.75" customHeight="1">
      <c r="A4766" s="11">
        <v>16527.0</v>
      </c>
      <c r="B4766" s="11" t="s">
        <v>4759</v>
      </c>
      <c r="C4766" s="12">
        <v>22233.0</v>
      </c>
      <c r="D4766" s="11" t="str">
        <f t="shared" si="1"/>
        <v> </v>
      </c>
      <c r="E4766" s="11" t="str">
        <f t="shared" si="2"/>
        <v>Repeat</v>
      </c>
    </row>
    <row r="4767" ht="15.75" customHeight="1">
      <c r="A4767" s="11">
        <v>16528.0</v>
      </c>
      <c r="B4767" s="11" t="s">
        <v>4760</v>
      </c>
      <c r="C4767" s="12">
        <v>23671.0</v>
      </c>
      <c r="D4767" s="11" t="str">
        <f t="shared" si="1"/>
        <v> </v>
      </c>
      <c r="E4767" s="11" t="str">
        <f t="shared" si="2"/>
        <v> </v>
      </c>
    </row>
    <row r="4768" ht="15.75" customHeight="1">
      <c r="A4768" s="11">
        <v>16529.0</v>
      </c>
      <c r="B4768" s="11" t="s">
        <v>4761</v>
      </c>
      <c r="C4768" s="12">
        <v>23382.0</v>
      </c>
      <c r="D4768" s="11" t="str">
        <f t="shared" si="1"/>
        <v> </v>
      </c>
      <c r="E4768" s="11" t="str">
        <f t="shared" si="2"/>
        <v> </v>
      </c>
    </row>
    <row r="4769" ht="15.75" customHeight="1">
      <c r="A4769" s="11">
        <v>16530.0</v>
      </c>
      <c r="B4769" s="11" t="s">
        <v>4762</v>
      </c>
      <c r="C4769" s="12">
        <v>20533.0</v>
      </c>
      <c r="D4769" s="11" t="str">
        <f t="shared" si="1"/>
        <v> </v>
      </c>
      <c r="E4769" s="11" t="str">
        <f t="shared" si="2"/>
        <v> </v>
      </c>
    </row>
    <row r="4770" ht="15.75" customHeight="1">
      <c r="A4770" s="11">
        <v>16531.0</v>
      </c>
      <c r="B4770" s="11" t="s">
        <v>1419</v>
      </c>
      <c r="C4770" s="12">
        <v>20643.0</v>
      </c>
      <c r="D4770" s="11" t="str">
        <f t="shared" si="1"/>
        <v>Repeat</v>
      </c>
      <c r="E4770" s="11" t="str">
        <f t="shared" si="2"/>
        <v> </v>
      </c>
    </row>
    <row r="4771" ht="15.75" customHeight="1">
      <c r="A4771" s="11">
        <v>16532.0</v>
      </c>
      <c r="B4771" s="11" t="s">
        <v>4763</v>
      </c>
      <c r="C4771" s="12">
        <v>14251.0</v>
      </c>
      <c r="D4771" s="11" t="str">
        <f t="shared" si="1"/>
        <v> </v>
      </c>
      <c r="E4771" s="11" t="str">
        <f t="shared" si="2"/>
        <v> </v>
      </c>
    </row>
    <row r="4772" ht="15.75" customHeight="1">
      <c r="A4772" s="11">
        <v>16535.0</v>
      </c>
      <c r="B4772" s="11" t="s">
        <v>826</v>
      </c>
      <c r="C4772" s="12">
        <v>23148.0</v>
      </c>
      <c r="D4772" s="11" t="str">
        <f t="shared" si="1"/>
        <v>Repeat</v>
      </c>
      <c r="E4772" s="11" t="str">
        <f t="shared" si="2"/>
        <v> </v>
      </c>
    </row>
    <row r="4773" ht="15.75" customHeight="1">
      <c r="A4773" s="11">
        <v>16536.0</v>
      </c>
      <c r="B4773" s="11" t="s">
        <v>4764</v>
      </c>
      <c r="C4773" s="12">
        <v>18689.0</v>
      </c>
      <c r="D4773" s="11" t="str">
        <f t="shared" si="1"/>
        <v> </v>
      </c>
      <c r="E4773" s="11" t="str">
        <f t="shared" si="2"/>
        <v> </v>
      </c>
    </row>
    <row r="4774" ht="15.75" customHeight="1">
      <c r="A4774" s="11">
        <v>16537.0</v>
      </c>
      <c r="B4774" s="11" t="s">
        <v>4765</v>
      </c>
      <c r="C4774" s="12">
        <v>20802.0</v>
      </c>
      <c r="D4774" s="11" t="str">
        <f t="shared" si="1"/>
        <v> </v>
      </c>
      <c r="E4774" s="11" t="str">
        <f t="shared" si="2"/>
        <v> </v>
      </c>
    </row>
    <row r="4775" ht="15.75" customHeight="1">
      <c r="A4775" s="11">
        <v>16538.0</v>
      </c>
      <c r="B4775" s="11" t="s">
        <v>4766</v>
      </c>
      <c r="C4775" s="12">
        <v>18629.0</v>
      </c>
      <c r="D4775" s="11" t="str">
        <f t="shared" si="1"/>
        <v> </v>
      </c>
      <c r="E4775" s="11" t="str">
        <f t="shared" si="2"/>
        <v> </v>
      </c>
    </row>
    <row r="4776" ht="15.75" customHeight="1">
      <c r="A4776" s="11">
        <v>16539.0</v>
      </c>
      <c r="B4776" s="11" t="s">
        <v>4767</v>
      </c>
      <c r="C4776" s="12">
        <v>28267.0</v>
      </c>
      <c r="D4776" s="11" t="str">
        <f t="shared" si="1"/>
        <v> </v>
      </c>
      <c r="E4776" s="11" t="str">
        <f t="shared" si="2"/>
        <v> </v>
      </c>
    </row>
    <row r="4777" ht="15.75" customHeight="1">
      <c r="A4777" s="11">
        <v>16541.0</v>
      </c>
      <c r="B4777" s="11" t="s">
        <v>4768</v>
      </c>
      <c r="C4777" s="12">
        <v>25664.0</v>
      </c>
      <c r="D4777" s="11" t="str">
        <f t="shared" si="1"/>
        <v> </v>
      </c>
      <c r="E4777" s="11" t="str">
        <f t="shared" si="2"/>
        <v> </v>
      </c>
    </row>
    <row r="4778" ht="15.75" customHeight="1">
      <c r="A4778" s="11">
        <v>16542.0</v>
      </c>
      <c r="B4778" s="11" t="s">
        <v>4769</v>
      </c>
      <c r="C4778" s="12">
        <v>16692.0</v>
      </c>
      <c r="D4778" s="11" t="str">
        <f t="shared" si="1"/>
        <v> </v>
      </c>
      <c r="E4778" s="11" t="str">
        <f t="shared" si="2"/>
        <v> </v>
      </c>
    </row>
    <row r="4779" ht="15.75" customHeight="1">
      <c r="A4779" s="11">
        <v>16543.0</v>
      </c>
      <c r="B4779" s="11" t="s">
        <v>4770</v>
      </c>
      <c r="C4779" s="12">
        <v>34460.0</v>
      </c>
      <c r="D4779" s="11" t="str">
        <f t="shared" si="1"/>
        <v> </v>
      </c>
      <c r="E4779" s="11" t="str">
        <f t="shared" si="2"/>
        <v> </v>
      </c>
    </row>
    <row r="4780" ht="15.75" customHeight="1">
      <c r="A4780" s="11">
        <v>16544.0</v>
      </c>
      <c r="B4780" s="11" t="s">
        <v>4771</v>
      </c>
      <c r="C4780" s="12">
        <v>32132.0</v>
      </c>
      <c r="D4780" s="11" t="str">
        <f t="shared" si="1"/>
        <v> </v>
      </c>
      <c r="E4780" s="11" t="str">
        <f t="shared" si="2"/>
        <v> </v>
      </c>
    </row>
    <row r="4781" ht="15.75" customHeight="1">
      <c r="A4781" s="11">
        <v>16548.0</v>
      </c>
      <c r="B4781" s="11" t="s">
        <v>4772</v>
      </c>
      <c r="C4781" s="12">
        <v>19962.0</v>
      </c>
      <c r="D4781" s="11" t="str">
        <f t="shared" si="1"/>
        <v> </v>
      </c>
      <c r="E4781" s="11" t="str">
        <f t="shared" si="2"/>
        <v> </v>
      </c>
    </row>
    <row r="4782" ht="15.75" customHeight="1">
      <c r="A4782" s="11">
        <v>16549.0</v>
      </c>
      <c r="B4782" s="11" t="s">
        <v>4773</v>
      </c>
      <c r="C4782" s="12">
        <v>22503.0</v>
      </c>
      <c r="D4782" s="11" t="str">
        <f t="shared" si="1"/>
        <v> </v>
      </c>
      <c r="E4782" s="11" t="str">
        <f t="shared" si="2"/>
        <v> </v>
      </c>
    </row>
    <row r="4783" ht="15.75" customHeight="1">
      <c r="A4783" s="11">
        <v>16550.0</v>
      </c>
      <c r="B4783" s="11" t="s">
        <v>4774</v>
      </c>
      <c r="C4783" s="12">
        <v>33641.0</v>
      </c>
      <c r="D4783" s="11" t="str">
        <f t="shared" si="1"/>
        <v> </v>
      </c>
      <c r="E4783" s="11" t="str">
        <f t="shared" si="2"/>
        <v> </v>
      </c>
    </row>
    <row r="4784" ht="15.75" customHeight="1">
      <c r="A4784" s="11">
        <v>16551.0</v>
      </c>
      <c r="B4784" s="11" t="s">
        <v>4775</v>
      </c>
      <c r="C4784" s="12">
        <v>13947.0</v>
      </c>
      <c r="D4784" s="11" t="str">
        <f t="shared" si="1"/>
        <v> </v>
      </c>
      <c r="E4784" s="11" t="str">
        <f t="shared" si="2"/>
        <v> </v>
      </c>
    </row>
    <row r="4785" ht="15.75" customHeight="1">
      <c r="A4785" s="11">
        <v>16552.0</v>
      </c>
      <c r="B4785" s="11" t="s">
        <v>4776</v>
      </c>
      <c r="C4785" s="12">
        <v>14043.0</v>
      </c>
      <c r="D4785" s="11" t="str">
        <f t="shared" si="1"/>
        <v> </v>
      </c>
      <c r="E4785" s="11" t="str">
        <f t="shared" si="2"/>
        <v> </v>
      </c>
    </row>
    <row r="4786" ht="15.75" customHeight="1">
      <c r="A4786" s="11">
        <v>16553.0</v>
      </c>
      <c r="B4786" s="11" t="s">
        <v>4777</v>
      </c>
      <c r="C4786" s="12">
        <v>23011.0</v>
      </c>
      <c r="D4786" s="11" t="str">
        <f t="shared" si="1"/>
        <v> </v>
      </c>
      <c r="E4786" s="11" t="str">
        <f t="shared" si="2"/>
        <v> </v>
      </c>
    </row>
    <row r="4787" ht="15.75" customHeight="1">
      <c r="A4787" s="11">
        <v>16554.0</v>
      </c>
      <c r="B4787" s="11" t="s">
        <v>4778</v>
      </c>
      <c r="C4787" s="12">
        <v>28107.0</v>
      </c>
      <c r="D4787" s="11" t="str">
        <f t="shared" si="1"/>
        <v> </v>
      </c>
      <c r="E4787" s="11" t="str">
        <f t="shared" si="2"/>
        <v> </v>
      </c>
    </row>
    <row r="4788" ht="15.75" customHeight="1">
      <c r="A4788" s="11">
        <v>16559.0</v>
      </c>
      <c r="B4788" s="11" t="s">
        <v>4779</v>
      </c>
      <c r="C4788" s="12">
        <v>16062.0</v>
      </c>
      <c r="D4788" s="11" t="str">
        <f t="shared" si="1"/>
        <v> </v>
      </c>
      <c r="E4788" s="11" t="str">
        <f t="shared" si="2"/>
        <v> </v>
      </c>
    </row>
    <row r="4789" ht="15.75" customHeight="1">
      <c r="A4789" s="11">
        <v>16560.0</v>
      </c>
      <c r="B4789" s="11" t="s">
        <v>4780</v>
      </c>
      <c r="C4789" s="12">
        <v>17367.0</v>
      </c>
      <c r="D4789" s="11" t="str">
        <f t="shared" si="1"/>
        <v> </v>
      </c>
      <c r="E4789" s="11" t="str">
        <f t="shared" si="2"/>
        <v> </v>
      </c>
    </row>
    <row r="4790" ht="15.75" customHeight="1">
      <c r="A4790" s="11">
        <v>16561.0</v>
      </c>
      <c r="B4790" s="11" t="s">
        <v>4781</v>
      </c>
      <c r="C4790" s="12">
        <v>22361.0</v>
      </c>
      <c r="D4790" s="11" t="str">
        <f t="shared" si="1"/>
        <v> </v>
      </c>
      <c r="E4790" s="11" t="str">
        <f t="shared" si="2"/>
        <v> </v>
      </c>
    </row>
    <row r="4791" ht="15.75" customHeight="1">
      <c r="A4791" s="11">
        <v>16562.0</v>
      </c>
      <c r="B4791" s="11" t="s">
        <v>4782</v>
      </c>
      <c r="C4791" s="12">
        <v>27267.0</v>
      </c>
      <c r="D4791" s="11" t="str">
        <f t="shared" si="1"/>
        <v> </v>
      </c>
      <c r="E4791" s="11" t="str">
        <f t="shared" si="2"/>
        <v> </v>
      </c>
    </row>
    <row r="4792" ht="15.75" customHeight="1">
      <c r="A4792" s="11">
        <v>16563.0</v>
      </c>
      <c r="B4792" s="11" t="s">
        <v>4783</v>
      </c>
      <c r="C4792" s="12">
        <v>23442.0</v>
      </c>
      <c r="D4792" s="11" t="str">
        <f t="shared" si="1"/>
        <v> </v>
      </c>
      <c r="E4792" s="11" t="str">
        <f t="shared" si="2"/>
        <v> </v>
      </c>
    </row>
    <row r="4793" ht="15.75" customHeight="1">
      <c r="A4793" s="11">
        <v>16564.0</v>
      </c>
      <c r="B4793" s="11" t="s">
        <v>4784</v>
      </c>
      <c r="C4793" s="12">
        <v>24222.0</v>
      </c>
      <c r="D4793" s="11" t="str">
        <f t="shared" si="1"/>
        <v> </v>
      </c>
      <c r="E4793" s="11" t="str">
        <f t="shared" si="2"/>
        <v> </v>
      </c>
    </row>
    <row r="4794" ht="15.75" customHeight="1">
      <c r="A4794" s="11">
        <v>16565.0</v>
      </c>
      <c r="B4794" s="11" t="s">
        <v>4785</v>
      </c>
      <c r="C4794" s="12">
        <v>20784.0</v>
      </c>
      <c r="D4794" s="11" t="str">
        <f t="shared" si="1"/>
        <v> </v>
      </c>
      <c r="E4794" s="11" t="str">
        <f t="shared" si="2"/>
        <v> </v>
      </c>
    </row>
    <row r="4795" ht="15.75" customHeight="1">
      <c r="A4795" s="11">
        <v>16566.0</v>
      </c>
      <c r="B4795" s="11" t="s">
        <v>4786</v>
      </c>
      <c r="C4795" s="12">
        <v>22129.0</v>
      </c>
      <c r="D4795" s="11" t="str">
        <f t="shared" si="1"/>
        <v> </v>
      </c>
      <c r="E4795" s="11" t="str">
        <f t="shared" si="2"/>
        <v> </v>
      </c>
    </row>
    <row r="4796" ht="15.75" customHeight="1">
      <c r="A4796" s="11">
        <v>16567.0</v>
      </c>
      <c r="B4796" s="11" t="s">
        <v>4787</v>
      </c>
      <c r="C4796" s="12">
        <v>26875.0</v>
      </c>
      <c r="D4796" s="11" t="str">
        <f t="shared" si="1"/>
        <v> </v>
      </c>
      <c r="E4796" s="11" t="str">
        <f t="shared" si="2"/>
        <v> </v>
      </c>
    </row>
    <row r="4797" ht="15.75" customHeight="1">
      <c r="A4797" s="11">
        <v>16570.0</v>
      </c>
      <c r="B4797" s="11" t="s">
        <v>4788</v>
      </c>
      <c r="C4797" s="12">
        <v>30092.0</v>
      </c>
      <c r="D4797" s="11" t="str">
        <f t="shared" si="1"/>
        <v> </v>
      </c>
      <c r="E4797" s="11" t="str">
        <f t="shared" si="2"/>
        <v> </v>
      </c>
    </row>
    <row r="4798" ht="15.75" customHeight="1">
      <c r="A4798" s="11">
        <v>16571.0</v>
      </c>
      <c r="B4798" s="11" t="s">
        <v>4789</v>
      </c>
      <c r="C4798" s="12">
        <v>14391.0</v>
      </c>
      <c r="D4798" s="11" t="str">
        <f t="shared" si="1"/>
        <v> </v>
      </c>
      <c r="E4798" s="11" t="str">
        <f t="shared" si="2"/>
        <v> </v>
      </c>
    </row>
    <row r="4799" ht="15.75" customHeight="1">
      <c r="A4799" s="11">
        <v>16572.0</v>
      </c>
      <c r="B4799" s="11" t="s">
        <v>4790</v>
      </c>
      <c r="C4799" s="12">
        <v>24674.0</v>
      </c>
      <c r="D4799" s="11" t="str">
        <f t="shared" si="1"/>
        <v> </v>
      </c>
      <c r="E4799" s="11" t="str">
        <f t="shared" si="2"/>
        <v> </v>
      </c>
    </row>
    <row r="4800" ht="15.75" customHeight="1">
      <c r="A4800" s="11">
        <v>16573.0</v>
      </c>
      <c r="B4800" s="11" t="s">
        <v>4791</v>
      </c>
      <c r="C4800" s="12">
        <v>25586.0</v>
      </c>
      <c r="D4800" s="11" t="str">
        <f t="shared" si="1"/>
        <v> </v>
      </c>
      <c r="E4800" s="11" t="str">
        <f t="shared" si="2"/>
        <v> </v>
      </c>
    </row>
    <row r="4801" ht="15.75" customHeight="1">
      <c r="A4801" s="11">
        <v>16574.0</v>
      </c>
      <c r="B4801" s="11" t="s">
        <v>4792</v>
      </c>
      <c r="C4801" s="12">
        <v>22806.0</v>
      </c>
      <c r="D4801" s="11" t="str">
        <f t="shared" si="1"/>
        <v>Repeat</v>
      </c>
      <c r="E4801" s="11" t="str">
        <f t="shared" si="2"/>
        <v>Repeat</v>
      </c>
    </row>
    <row r="4802" ht="15.75" customHeight="1">
      <c r="A4802" s="11">
        <v>16575.0</v>
      </c>
      <c r="B4802" s="11" t="s">
        <v>4793</v>
      </c>
      <c r="C4802" s="12">
        <v>21689.0</v>
      </c>
      <c r="D4802" s="11" t="str">
        <f t="shared" si="1"/>
        <v> </v>
      </c>
      <c r="E4802" s="11" t="str">
        <f t="shared" si="2"/>
        <v> </v>
      </c>
    </row>
    <row r="4803" ht="15.75" customHeight="1">
      <c r="A4803" s="11">
        <v>16576.0</v>
      </c>
      <c r="B4803" s="11" t="s">
        <v>4794</v>
      </c>
      <c r="C4803" s="12">
        <v>17982.0</v>
      </c>
      <c r="D4803" s="11" t="str">
        <f t="shared" si="1"/>
        <v> </v>
      </c>
      <c r="E4803" s="11" t="str">
        <f t="shared" si="2"/>
        <v> </v>
      </c>
    </row>
    <row r="4804" ht="15.75" customHeight="1">
      <c r="A4804" s="11">
        <v>16577.0</v>
      </c>
      <c r="B4804" s="11" t="s">
        <v>4795</v>
      </c>
      <c r="C4804" s="12">
        <v>13867.0</v>
      </c>
      <c r="D4804" s="11" t="str">
        <f t="shared" si="1"/>
        <v> </v>
      </c>
      <c r="E4804" s="11" t="str">
        <f t="shared" si="2"/>
        <v> </v>
      </c>
    </row>
    <row r="4805" ht="15.75" customHeight="1">
      <c r="A4805" s="11">
        <v>16582.0</v>
      </c>
      <c r="B4805" s="11" t="s">
        <v>4796</v>
      </c>
      <c r="C4805" s="12">
        <v>16737.0</v>
      </c>
      <c r="D4805" s="11" t="str">
        <f t="shared" si="1"/>
        <v> </v>
      </c>
      <c r="E4805" s="11" t="str">
        <f t="shared" si="2"/>
        <v> </v>
      </c>
    </row>
    <row r="4806" ht="15.75" customHeight="1">
      <c r="A4806" s="11">
        <v>16583.0</v>
      </c>
      <c r="B4806" s="11" t="s">
        <v>4797</v>
      </c>
      <c r="C4806" s="12">
        <v>23664.0</v>
      </c>
      <c r="D4806" s="11" t="str">
        <f t="shared" si="1"/>
        <v> </v>
      </c>
      <c r="E4806" s="11" t="str">
        <f t="shared" si="2"/>
        <v> </v>
      </c>
    </row>
    <row r="4807" ht="15.75" customHeight="1">
      <c r="A4807" s="11">
        <v>16584.0</v>
      </c>
      <c r="B4807" s="11" t="s">
        <v>4798</v>
      </c>
      <c r="C4807" s="12">
        <v>26074.0</v>
      </c>
      <c r="D4807" s="11" t="str">
        <f t="shared" si="1"/>
        <v> </v>
      </c>
      <c r="E4807" s="11" t="str">
        <f t="shared" si="2"/>
        <v> </v>
      </c>
    </row>
    <row r="4808" ht="15.75" customHeight="1">
      <c r="A4808" s="11">
        <v>16585.0</v>
      </c>
      <c r="B4808" s="11" t="s">
        <v>4799</v>
      </c>
      <c r="C4808" s="12">
        <v>18481.0</v>
      </c>
      <c r="D4808" s="11" t="str">
        <f t="shared" si="1"/>
        <v> </v>
      </c>
      <c r="E4808" s="11" t="str">
        <f t="shared" si="2"/>
        <v> </v>
      </c>
    </row>
    <row r="4809" ht="15.75" customHeight="1">
      <c r="A4809" s="11">
        <v>16586.0</v>
      </c>
      <c r="B4809" s="11" t="s">
        <v>4800</v>
      </c>
      <c r="C4809" s="12">
        <v>29471.0</v>
      </c>
      <c r="D4809" s="11" t="str">
        <f t="shared" si="1"/>
        <v> </v>
      </c>
      <c r="E4809" s="11" t="str">
        <f t="shared" si="2"/>
        <v> </v>
      </c>
    </row>
    <row r="4810" ht="15.75" customHeight="1">
      <c r="A4810" s="11">
        <v>16588.0</v>
      </c>
      <c r="B4810" s="11" t="s">
        <v>4801</v>
      </c>
      <c r="C4810" s="12">
        <v>20910.0</v>
      </c>
      <c r="D4810" s="11" t="str">
        <f t="shared" si="1"/>
        <v> </v>
      </c>
      <c r="E4810" s="11" t="str">
        <f t="shared" si="2"/>
        <v> </v>
      </c>
    </row>
    <row r="4811" ht="15.75" customHeight="1">
      <c r="A4811" s="11">
        <v>16589.0</v>
      </c>
      <c r="B4811" s="11" t="s">
        <v>4802</v>
      </c>
      <c r="C4811" s="12">
        <v>16222.0</v>
      </c>
      <c r="D4811" s="11" t="str">
        <f t="shared" si="1"/>
        <v> </v>
      </c>
      <c r="E4811" s="11" t="str">
        <f t="shared" si="2"/>
        <v> </v>
      </c>
    </row>
    <row r="4812" ht="15.75" customHeight="1">
      <c r="A4812" s="11">
        <v>16590.0</v>
      </c>
      <c r="B4812" s="11" t="s">
        <v>4803</v>
      </c>
      <c r="C4812" s="12">
        <v>25308.0</v>
      </c>
      <c r="D4812" s="11" t="str">
        <f t="shared" si="1"/>
        <v> </v>
      </c>
      <c r="E4812" s="11" t="str">
        <f t="shared" si="2"/>
        <v> </v>
      </c>
    </row>
    <row r="4813" ht="15.75" customHeight="1">
      <c r="A4813" s="11">
        <v>16591.0</v>
      </c>
      <c r="B4813" s="11" t="s">
        <v>4804</v>
      </c>
      <c r="C4813" s="12">
        <v>19773.0</v>
      </c>
      <c r="D4813" s="11" t="str">
        <f t="shared" si="1"/>
        <v> </v>
      </c>
      <c r="E4813" s="11" t="str">
        <f t="shared" si="2"/>
        <v> </v>
      </c>
    </row>
    <row r="4814" ht="15.75" customHeight="1">
      <c r="A4814" s="11">
        <v>16595.0</v>
      </c>
      <c r="B4814" s="11" t="s">
        <v>4805</v>
      </c>
      <c r="C4814" s="12">
        <v>32158.0</v>
      </c>
      <c r="D4814" s="11" t="str">
        <f t="shared" si="1"/>
        <v> </v>
      </c>
      <c r="E4814" s="11" t="str">
        <f t="shared" si="2"/>
        <v> </v>
      </c>
    </row>
    <row r="4815" ht="15.75" customHeight="1">
      <c r="A4815" s="11">
        <v>16596.0</v>
      </c>
      <c r="B4815" s="11" t="s">
        <v>4806</v>
      </c>
      <c r="C4815" s="12">
        <v>16214.0</v>
      </c>
      <c r="D4815" s="11" t="str">
        <f t="shared" si="1"/>
        <v> </v>
      </c>
      <c r="E4815" s="11" t="str">
        <f t="shared" si="2"/>
        <v> </v>
      </c>
    </row>
    <row r="4816" ht="15.75" customHeight="1">
      <c r="A4816" s="11">
        <v>16598.0</v>
      </c>
      <c r="B4816" s="11" t="s">
        <v>4807</v>
      </c>
      <c r="C4816" s="12">
        <v>29972.0</v>
      </c>
      <c r="D4816" s="11" t="str">
        <f t="shared" si="1"/>
        <v> </v>
      </c>
      <c r="E4816" s="11" t="str">
        <f t="shared" si="2"/>
        <v> </v>
      </c>
    </row>
    <row r="4817" ht="15.75" customHeight="1">
      <c r="A4817" s="11">
        <v>16599.0</v>
      </c>
      <c r="B4817" s="11" t="s">
        <v>4808</v>
      </c>
      <c r="C4817" s="12">
        <v>20468.0</v>
      </c>
      <c r="D4817" s="11" t="str">
        <f t="shared" si="1"/>
        <v> </v>
      </c>
      <c r="E4817" s="11" t="str">
        <f t="shared" si="2"/>
        <v>Repeat</v>
      </c>
    </row>
    <row r="4818" ht="15.75" customHeight="1">
      <c r="A4818" s="11">
        <v>16602.0</v>
      </c>
      <c r="B4818" s="11" t="s">
        <v>4809</v>
      </c>
      <c r="C4818" s="12">
        <v>35031.0</v>
      </c>
      <c r="D4818" s="11" t="str">
        <f t="shared" si="1"/>
        <v> </v>
      </c>
      <c r="E4818" s="11" t="str">
        <f t="shared" si="2"/>
        <v> </v>
      </c>
    </row>
    <row r="4819" ht="15.75" customHeight="1">
      <c r="A4819" s="11">
        <v>16605.0</v>
      </c>
      <c r="B4819" s="11" t="s">
        <v>4810</v>
      </c>
      <c r="C4819" s="12">
        <v>34957.0</v>
      </c>
      <c r="D4819" s="11" t="str">
        <f t="shared" si="1"/>
        <v> </v>
      </c>
      <c r="E4819" s="11" t="str">
        <f t="shared" si="2"/>
        <v>Repeat</v>
      </c>
    </row>
    <row r="4820" ht="15.75" customHeight="1">
      <c r="A4820" s="11">
        <v>16606.0</v>
      </c>
      <c r="B4820" s="11" t="s">
        <v>4811</v>
      </c>
      <c r="C4820" s="12">
        <v>24236.0</v>
      </c>
      <c r="D4820" s="11" t="str">
        <f t="shared" si="1"/>
        <v> </v>
      </c>
      <c r="E4820" s="11" t="str">
        <f t="shared" si="2"/>
        <v> </v>
      </c>
    </row>
    <row r="4821" ht="15.75" customHeight="1">
      <c r="A4821" s="11">
        <v>16607.0</v>
      </c>
      <c r="B4821" s="11" t="s">
        <v>4812</v>
      </c>
      <c r="C4821" s="12">
        <v>29673.0</v>
      </c>
      <c r="D4821" s="11" t="str">
        <f t="shared" si="1"/>
        <v> </v>
      </c>
      <c r="E4821" s="11" t="str">
        <f t="shared" si="2"/>
        <v> </v>
      </c>
    </row>
    <row r="4822" ht="15.75" customHeight="1">
      <c r="A4822" s="11">
        <v>16608.0</v>
      </c>
      <c r="B4822" s="11" t="s">
        <v>4813</v>
      </c>
      <c r="C4822" s="12">
        <v>31297.0</v>
      </c>
      <c r="D4822" s="11" t="str">
        <f t="shared" si="1"/>
        <v> </v>
      </c>
      <c r="E4822" s="11" t="str">
        <f t="shared" si="2"/>
        <v> </v>
      </c>
    </row>
    <row r="4823" ht="15.75" customHeight="1">
      <c r="A4823" s="11">
        <v>16609.0</v>
      </c>
      <c r="B4823" s="11" t="s">
        <v>4814</v>
      </c>
      <c r="C4823" s="12">
        <v>19761.0</v>
      </c>
      <c r="D4823" s="11" t="str">
        <f t="shared" si="1"/>
        <v> </v>
      </c>
      <c r="E4823" s="11" t="str">
        <f t="shared" si="2"/>
        <v> </v>
      </c>
    </row>
    <row r="4824" ht="15.75" customHeight="1">
      <c r="A4824" s="11">
        <v>16610.0</v>
      </c>
      <c r="B4824" s="11" t="s">
        <v>4815</v>
      </c>
      <c r="C4824" s="12">
        <v>16367.0</v>
      </c>
      <c r="D4824" s="11" t="str">
        <f t="shared" si="1"/>
        <v> </v>
      </c>
      <c r="E4824" s="11" t="str">
        <f t="shared" si="2"/>
        <v> </v>
      </c>
    </row>
    <row r="4825" ht="15.75" customHeight="1">
      <c r="A4825" s="11">
        <v>16611.0</v>
      </c>
      <c r="B4825" s="11" t="s">
        <v>4816</v>
      </c>
      <c r="C4825" s="12">
        <v>13977.0</v>
      </c>
      <c r="D4825" s="11" t="str">
        <f t="shared" si="1"/>
        <v> </v>
      </c>
      <c r="E4825" s="11" t="str">
        <f t="shared" si="2"/>
        <v> </v>
      </c>
    </row>
    <row r="4826" ht="15.75" customHeight="1">
      <c r="A4826" s="11">
        <v>16612.0</v>
      </c>
      <c r="B4826" s="11" t="s">
        <v>4817</v>
      </c>
      <c r="C4826" s="12">
        <v>24787.0</v>
      </c>
      <c r="D4826" s="11" t="str">
        <f t="shared" si="1"/>
        <v> </v>
      </c>
      <c r="E4826" s="11" t="str">
        <f t="shared" si="2"/>
        <v> </v>
      </c>
    </row>
    <row r="4827" ht="15.75" customHeight="1">
      <c r="A4827" s="11">
        <v>16614.0</v>
      </c>
      <c r="B4827" s="11" t="s">
        <v>4818</v>
      </c>
      <c r="C4827" s="12">
        <v>36630.0</v>
      </c>
      <c r="D4827" s="11" t="str">
        <f t="shared" si="1"/>
        <v>Repeat</v>
      </c>
      <c r="E4827" s="11" t="str">
        <f t="shared" si="2"/>
        <v> </v>
      </c>
    </row>
    <row r="4828" ht="15.75" customHeight="1">
      <c r="A4828" s="11">
        <v>16616.0</v>
      </c>
      <c r="B4828" s="11" t="s">
        <v>4819</v>
      </c>
      <c r="C4828" s="12">
        <v>23944.0</v>
      </c>
      <c r="D4828" s="11" t="str">
        <f t="shared" si="1"/>
        <v> </v>
      </c>
      <c r="E4828" s="11" t="str">
        <f t="shared" si="2"/>
        <v> </v>
      </c>
    </row>
    <row r="4829" ht="15.75" customHeight="1">
      <c r="A4829" s="11">
        <v>16617.0</v>
      </c>
      <c r="B4829" s="11" t="s">
        <v>4820</v>
      </c>
      <c r="C4829" s="12">
        <v>17122.0</v>
      </c>
      <c r="D4829" s="11" t="str">
        <f t="shared" si="1"/>
        <v> </v>
      </c>
      <c r="E4829" s="11" t="str">
        <f t="shared" si="2"/>
        <v> </v>
      </c>
    </row>
    <row r="4830" ht="15.75" customHeight="1">
      <c r="A4830" s="11">
        <v>16618.0</v>
      </c>
      <c r="B4830" s="11" t="s">
        <v>4821</v>
      </c>
      <c r="C4830" s="12">
        <v>19461.0</v>
      </c>
      <c r="D4830" s="11" t="str">
        <f t="shared" si="1"/>
        <v> </v>
      </c>
      <c r="E4830" s="11" t="str">
        <f t="shared" si="2"/>
        <v> </v>
      </c>
    </row>
    <row r="4831" ht="15.75" customHeight="1">
      <c r="A4831" s="11">
        <v>16619.0</v>
      </c>
      <c r="B4831" s="11" t="s">
        <v>4822</v>
      </c>
      <c r="C4831" s="12">
        <v>32217.0</v>
      </c>
      <c r="D4831" s="11" t="str">
        <f t="shared" si="1"/>
        <v> </v>
      </c>
      <c r="E4831" s="11" t="str">
        <f t="shared" si="2"/>
        <v> </v>
      </c>
    </row>
    <row r="4832" ht="15.75" customHeight="1">
      <c r="A4832" s="11">
        <v>16620.0</v>
      </c>
      <c r="B4832" s="11" t="s">
        <v>4823</v>
      </c>
      <c r="C4832" s="12">
        <v>27488.0</v>
      </c>
      <c r="D4832" s="11" t="str">
        <f t="shared" si="1"/>
        <v> </v>
      </c>
      <c r="E4832" s="11" t="str">
        <f t="shared" si="2"/>
        <v> </v>
      </c>
    </row>
    <row r="4833" ht="15.75" customHeight="1">
      <c r="A4833" s="11">
        <v>16621.0</v>
      </c>
      <c r="B4833" s="11" t="s">
        <v>4824</v>
      </c>
      <c r="C4833" s="12">
        <v>17346.0</v>
      </c>
      <c r="D4833" s="11" t="str">
        <f t="shared" si="1"/>
        <v> </v>
      </c>
      <c r="E4833" s="11" t="str">
        <f t="shared" si="2"/>
        <v> </v>
      </c>
    </row>
    <row r="4834" ht="15.75" customHeight="1">
      <c r="A4834" s="11">
        <v>16622.0</v>
      </c>
      <c r="B4834" s="11" t="s">
        <v>4825</v>
      </c>
      <c r="C4834" s="12">
        <v>22025.0</v>
      </c>
      <c r="D4834" s="11" t="str">
        <f t="shared" si="1"/>
        <v> </v>
      </c>
      <c r="E4834" s="11" t="str">
        <f t="shared" si="2"/>
        <v> </v>
      </c>
    </row>
    <row r="4835" ht="15.75" customHeight="1">
      <c r="A4835" s="11">
        <v>16625.0</v>
      </c>
      <c r="B4835" s="11" t="s">
        <v>4826</v>
      </c>
      <c r="C4835" s="12">
        <v>32103.0</v>
      </c>
      <c r="D4835" s="11" t="str">
        <f t="shared" si="1"/>
        <v> </v>
      </c>
      <c r="E4835" s="11" t="str">
        <f t="shared" si="2"/>
        <v> </v>
      </c>
    </row>
    <row r="4836" ht="15.75" customHeight="1">
      <c r="A4836" s="11">
        <v>16626.0</v>
      </c>
      <c r="B4836" s="11" t="s">
        <v>4827</v>
      </c>
      <c r="C4836" s="12">
        <v>22990.0</v>
      </c>
      <c r="D4836" s="11" t="str">
        <f t="shared" si="1"/>
        <v> </v>
      </c>
      <c r="E4836" s="11" t="str">
        <f t="shared" si="2"/>
        <v> </v>
      </c>
    </row>
    <row r="4837" ht="15.75" customHeight="1">
      <c r="A4837" s="11">
        <v>16628.0</v>
      </c>
      <c r="B4837" s="11" t="s">
        <v>4828</v>
      </c>
      <c r="C4837" s="12">
        <v>29045.0</v>
      </c>
      <c r="D4837" s="11" t="str">
        <f t="shared" si="1"/>
        <v> </v>
      </c>
      <c r="E4837" s="11" t="str">
        <f t="shared" si="2"/>
        <v> </v>
      </c>
    </row>
    <row r="4838" ht="15.75" customHeight="1">
      <c r="A4838" s="11">
        <v>16630.0</v>
      </c>
      <c r="B4838" s="11" t="s">
        <v>4829</v>
      </c>
      <c r="C4838" s="12">
        <v>22061.0</v>
      </c>
      <c r="D4838" s="11" t="str">
        <f t="shared" si="1"/>
        <v> </v>
      </c>
      <c r="E4838" s="11" t="str">
        <f t="shared" si="2"/>
        <v> </v>
      </c>
    </row>
    <row r="4839" ht="15.75" customHeight="1">
      <c r="A4839" s="11">
        <v>16631.0</v>
      </c>
      <c r="B4839" s="11" t="s">
        <v>4830</v>
      </c>
      <c r="C4839" s="12">
        <v>22152.0</v>
      </c>
      <c r="D4839" s="11" t="str">
        <f t="shared" si="1"/>
        <v> </v>
      </c>
      <c r="E4839" s="11" t="str">
        <f t="shared" si="2"/>
        <v> </v>
      </c>
    </row>
    <row r="4840" ht="15.75" customHeight="1">
      <c r="A4840" s="11">
        <v>16632.0</v>
      </c>
      <c r="B4840" s="11" t="s">
        <v>4831</v>
      </c>
      <c r="C4840" s="12">
        <v>23870.0</v>
      </c>
      <c r="D4840" s="11" t="str">
        <f t="shared" si="1"/>
        <v> </v>
      </c>
      <c r="E4840" s="11" t="str">
        <f t="shared" si="2"/>
        <v> </v>
      </c>
    </row>
    <row r="4841" ht="15.75" customHeight="1">
      <c r="A4841" s="11">
        <v>16633.0</v>
      </c>
      <c r="B4841" s="11" t="s">
        <v>4832</v>
      </c>
      <c r="C4841" s="12">
        <v>17476.0</v>
      </c>
      <c r="D4841" s="11" t="str">
        <f t="shared" si="1"/>
        <v> </v>
      </c>
      <c r="E4841" s="11" t="str">
        <f t="shared" si="2"/>
        <v> </v>
      </c>
    </row>
    <row r="4842" ht="15.75" customHeight="1">
      <c r="A4842" s="11">
        <v>16635.0</v>
      </c>
      <c r="B4842" s="11" t="s">
        <v>4833</v>
      </c>
      <c r="C4842" s="12">
        <v>19895.0</v>
      </c>
      <c r="D4842" s="11" t="str">
        <f t="shared" si="1"/>
        <v> </v>
      </c>
      <c r="E4842" s="11" t="str">
        <f t="shared" si="2"/>
        <v> </v>
      </c>
    </row>
    <row r="4843" ht="15.75" customHeight="1">
      <c r="A4843" s="11">
        <v>16636.0</v>
      </c>
      <c r="B4843" s="11" t="s">
        <v>4834</v>
      </c>
      <c r="C4843" s="12">
        <v>29866.0</v>
      </c>
      <c r="D4843" s="11" t="str">
        <f t="shared" si="1"/>
        <v>Repeat</v>
      </c>
      <c r="E4843" s="11" t="str">
        <f t="shared" si="2"/>
        <v> </v>
      </c>
    </row>
    <row r="4844" ht="15.75" customHeight="1">
      <c r="A4844" s="11">
        <v>16637.0</v>
      </c>
      <c r="B4844" s="11" t="s">
        <v>4835</v>
      </c>
      <c r="C4844" s="12">
        <v>30813.0</v>
      </c>
      <c r="D4844" s="11" t="str">
        <f t="shared" si="1"/>
        <v> </v>
      </c>
      <c r="E4844" s="11" t="str">
        <f t="shared" si="2"/>
        <v> </v>
      </c>
    </row>
    <row r="4845" ht="15.75" customHeight="1">
      <c r="A4845" s="11">
        <v>16638.0</v>
      </c>
      <c r="B4845" s="11" t="s">
        <v>4836</v>
      </c>
      <c r="C4845" s="12">
        <v>26014.0</v>
      </c>
      <c r="D4845" s="11" t="str">
        <f t="shared" si="1"/>
        <v> </v>
      </c>
      <c r="E4845" s="11" t="str">
        <f t="shared" si="2"/>
        <v> </v>
      </c>
    </row>
    <row r="4846" ht="15.75" customHeight="1">
      <c r="A4846" s="11">
        <v>16639.0</v>
      </c>
      <c r="B4846" s="11" t="s">
        <v>4837</v>
      </c>
      <c r="C4846" s="12">
        <v>23388.0</v>
      </c>
      <c r="D4846" s="11" t="str">
        <f t="shared" si="1"/>
        <v> </v>
      </c>
      <c r="E4846" s="11" t="str">
        <f t="shared" si="2"/>
        <v> </v>
      </c>
    </row>
    <row r="4847" ht="15.75" customHeight="1">
      <c r="A4847" s="11">
        <v>16640.0</v>
      </c>
      <c r="B4847" s="11" t="s">
        <v>4838</v>
      </c>
      <c r="C4847" s="12">
        <v>31481.0</v>
      </c>
      <c r="D4847" s="11" t="str">
        <f t="shared" si="1"/>
        <v> </v>
      </c>
      <c r="E4847" s="11" t="str">
        <f t="shared" si="2"/>
        <v> </v>
      </c>
    </row>
    <row r="4848" ht="15.75" customHeight="1">
      <c r="A4848" s="11">
        <v>16641.0</v>
      </c>
      <c r="B4848" s="11" t="s">
        <v>4839</v>
      </c>
      <c r="C4848" s="12">
        <v>23406.0</v>
      </c>
      <c r="D4848" s="11" t="str">
        <f t="shared" si="1"/>
        <v> </v>
      </c>
      <c r="E4848" s="11" t="str">
        <f t="shared" si="2"/>
        <v> </v>
      </c>
    </row>
    <row r="4849" ht="15.75" customHeight="1">
      <c r="A4849" s="11">
        <v>16642.0</v>
      </c>
      <c r="B4849" s="11" t="s">
        <v>4840</v>
      </c>
      <c r="C4849" s="12">
        <v>29828.0</v>
      </c>
      <c r="D4849" s="11" t="str">
        <f t="shared" si="1"/>
        <v> </v>
      </c>
      <c r="E4849" s="11" t="str">
        <f t="shared" si="2"/>
        <v> </v>
      </c>
    </row>
    <row r="4850" ht="15.75" customHeight="1">
      <c r="A4850" s="11">
        <v>16643.0</v>
      </c>
      <c r="B4850" s="11" t="s">
        <v>4841</v>
      </c>
      <c r="C4850" s="12">
        <v>14558.0</v>
      </c>
      <c r="D4850" s="11" t="str">
        <f t="shared" si="1"/>
        <v> </v>
      </c>
      <c r="E4850" s="11" t="str">
        <f t="shared" si="2"/>
        <v> </v>
      </c>
    </row>
    <row r="4851" ht="15.75" customHeight="1">
      <c r="A4851" s="11">
        <v>16644.0</v>
      </c>
      <c r="B4851" s="11" t="s">
        <v>4842</v>
      </c>
      <c r="C4851" s="12">
        <v>26340.0</v>
      </c>
      <c r="D4851" s="11" t="str">
        <f t="shared" si="1"/>
        <v> </v>
      </c>
      <c r="E4851" s="11" t="str">
        <f t="shared" si="2"/>
        <v> </v>
      </c>
    </row>
    <row r="4852" ht="15.75" customHeight="1">
      <c r="A4852" s="11">
        <v>16645.0</v>
      </c>
      <c r="B4852" s="11" t="s">
        <v>4843</v>
      </c>
      <c r="C4852" s="12">
        <v>17634.0</v>
      </c>
      <c r="D4852" s="11" t="str">
        <f t="shared" si="1"/>
        <v> </v>
      </c>
      <c r="E4852" s="11" t="str">
        <f t="shared" si="2"/>
        <v> </v>
      </c>
    </row>
    <row r="4853" ht="15.75" customHeight="1">
      <c r="A4853" s="11">
        <v>16646.0</v>
      </c>
      <c r="B4853" s="11" t="s">
        <v>4844</v>
      </c>
      <c r="C4853" s="12">
        <v>27128.0</v>
      </c>
      <c r="D4853" s="11" t="str">
        <f t="shared" si="1"/>
        <v> </v>
      </c>
      <c r="E4853" s="11" t="str">
        <f t="shared" si="2"/>
        <v> </v>
      </c>
    </row>
    <row r="4854" ht="15.75" customHeight="1">
      <c r="A4854" s="11">
        <v>16648.0</v>
      </c>
      <c r="B4854" s="11" t="s">
        <v>4845</v>
      </c>
      <c r="C4854" s="12">
        <v>18998.0</v>
      </c>
      <c r="D4854" s="11" t="str">
        <f t="shared" si="1"/>
        <v> </v>
      </c>
      <c r="E4854" s="11" t="str">
        <f t="shared" si="2"/>
        <v> </v>
      </c>
    </row>
    <row r="4855" ht="15.75" customHeight="1">
      <c r="A4855" s="11">
        <v>16649.0</v>
      </c>
      <c r="B4855" s="11" t="s">
        <v>4846</v>
      </c>
      <c r="C4855" s="12">
        <v>14819.0</v>
      </c>
      <c r="D4855" s="11" t="str">
        <f t="shared" si="1"/>
        <v> </v>
      </c>
      <c r="E4855" s="11" t="str">
        <f t="shared" si="2"/>
        <v> </v>
      </c>
    </row>
    <row r="4856" ht="15.75" customHeight="1">
      <c r="A4856" s="11">
        <v>16652.0</v>
      </c>
      <c r="B4856" s="11" t="s">
        <v>4847</v>
      </c>
      <c r="C4856" s="12">
        <v>15018.0</v>
      </c>
      <c r="D4856" s="11" t="str">
        <f t="shared" si="1"/>
        <v> </v>
      </c>
      <c r="E4856" s="11" t="str">
        <f t="shared" si="2"/>
        <v> </v>
      </c>
    </row>
    <row r="4857" ht="15.75" customHeight="1">
      <c r="A4857" s="11">
        <v>16653.0</v>
      </c>
      <c r="B4857" s="11" t="s">
        <v>4848</v>
      </c>
      <c r="C4857" s="12">
        <v>19401.0</v>
      </c>
      <c r="D4857" s="11" t="str">
        <f t="shared" si="1"/>
        <v> </v>
      </c>
      <c r="E4857" s="11" t="str">
        <f t="shared" si="2"/>
        <v> </v>
      </c>
    </row>
    <row r="4858" ht="15.75" customHeight="1">
      <c r="A4858" s="11">
        <v>16655.0</v>
      </c>
      <c r="B4858" s="11" t="s">
        <v>4849</v>
      </c>
      <c r="C4858" s="12">
        <v>26906.0</v>
      </c>
      <c r="D4858" s="11" t="str">
        <f t="shared" si="1"/>
        <v> </v>
      </c>
      <c r="E4858" s="11" t="str">
        <f t="shared" si="2"/>
        <v> </v>
      </c>
    </row>
    <row r="4859" ht="15.75" customHeight="1">
      <c r="A4859" s="11">
        <v>16656.0</v>
      </c>
      <c r="B4859" s="11" t="s">
        <v>4850</v>
      </c>
      <c r="C4859" s="12">
        <v>19104.0</v>
      </c>
      <c r="D4859" s="11" t="str">
        <f t="shared" si="1"/>
        <v> </v>
      </c>
      <c r="E4859" s="11" t="str">
        <f t="shared" si="2"/>
        <v> </v>
      </c>
    </row>
    <row r="4860" ht="15.75" customHeight="1">
      <c r="A4860" s="11">
        <v>16657.0</v>
      </c>
      <c r="B4860" s="11" t="s">
        <v>4851</v>
      </c>
      <c r="C4860" s="12">
        <v>23665.0</v>
      </c>
      <c r="D4860" s="11" t="str">
        <f t="shared" si="1"/>
        <v> </v>
      </c>
      <c r="E4860" s="11" t="str">
        <f t="shared" si="2"/>
        <v> </v>
      </c>
    </row>
    <row r="4861" ht="15.75" customHeight="1">
      <c r="A4861" s="11">
        <v>16658.0</v>
      </c>
      <c r="B4861" s="11" t="s">
        <v>4852</v>
      </c>
      <c r="C4861" s="12">
        <v>25998.0</v>
      </c>
      <c r="D4861" s="11" t="str">
        <f t="shared" si="1"/>
        <v> </v>
      </c>
      <c r="E4861" s="11" t="str">
        <f t="shared" si="2"/>
        <v> </v>
      </c>
    </row>
    <row r="4862" ht="15.75" customHeight="1">
      <c r="A4862" s="11">
        <v>16659.0</v>
      </c>
      <c r="B4862" s="11" t="s">
        <v>4853</v>
      </c>
      <c r="C4862" s="12">
        <v>13161.0</v>
      </c>
      <c r="D4862" s="11" t="str">
        <f t="shared" si="1"/>
        <v> </v>
      </c>
      <c r="E4862" s="11" t="str">
        <f t="shared" si="2"/>
        <v> </v>
      </c>
    </row>
    <row r="4863" ht="15.75" customHeight="1">
      <c r="A4863" s="11">
        <v>16660.0</v>
      </c>
      <c r="B4863" s="11" t="s">
        <v>4854</v>
      </c>
      <c r="C4863" s="12">
        <v>18250.0</v>
      </c>
      <c r="D4863" s="11" t="str">
        <f t="shared" si="1"/>
        <v> </v>
      </c>
      <c r="E4863" s="11" t="str">
        <f t="shared" si="2"/>
        <v> </v>
      </c>
    </row>
    <row r="4864" ht="15.75" customHeight="1">
      <c r="A4864" s="11">
        <v>16661.0</v>
      </c>
      <c r="B4864" s="11" t="s">
        <v>4855</v>
      </c>
      <c r="C4864" s="12">
        <v>17544.0</v>
      </c>
      <c r="D4864" s="11" t="str">
        <f t="shared" si="1"/>
        <v> </v>
      </c>
      <c r="E4864" s="11" t="str">
        <f t="shared" si="2"/>
        <v> </v>
      </c>
    </row>
    <row r="4865" ht="15.75" customHeight="1">
      <c r="A4865" s="11">
        <v>16662.0</v>
      </c>
      <c r="B4865" s="11" t="s">
        <v>4856</v>
      </c>
      <c r="C4865" s="12">
        <v>17834.0</v>
      </c>
      <c r="D4865" s="11" t="str">
        <f t="shared" si="1"/>
        <v> </v>
      </c>
      <c r="E4865" s="11" t="str">
        <f t="shared" si="2"/>
        <v> </v>
      </c>
    </row>
    <row r="4866" ht="15.75" customHeight="1">
      <c r="A4866" s="11">
        <v>16663.0</v>
      </c>
      <c r="B4866" s="11" t="s">
        <v>4857</v>
      </c>
      <c r="C4866" s="12">
        <v>23574.0</v>
      </c>
      <c r="D4866" s="11" t="str">
        <f t="shared" si="1"/>
        <v> </v>
      </c>
      <c r="E4866" s="11" t="str">
        <f t="shared" si="2"/>
        <v> </v>
      </c>
    </row>
    <row r="4867" ht="15.75" customHeight="1">
      <c r="A4867" s="11">
        <v>16664.0</v>
      </c>
      <c r="B4867" s="11" t="s">
        <v>4858</v>
      </c>
      <c r="C4867" s="12">
        <v>22122.0</v>
      </c>
      <c r="D4867" s="11" t="str">
        <f t="shared" si="1"/>
        <v> </v>
      </c>
      <c r="E4867" s="11" t="str">
        <f t="shared" si="2"/>
        <v> </v>
      </c>
    </row>
    <row r="4868" ht="15.75" customHeight="1">
      <c r="A4868" s="11">
        <v>16667.0</v>
      </c>
      <c r="B4868" s="11" t="s">
        <v>4859</v>
      </c>
      <c r="C4868" s="12">
        <v>27736.0</v>
      </c>
      <c r="D4868" s="11" t="str">
        <f t="shared" si="1"/>
        <v> </v>
      </c>
      <c r="E4868" s="11" t="str">
        <f t="shared" si="2"/>
        <v> </v>
      </c>
    </row>
    <row r="4869" ht="15.75" customHeight="1">
      <c r="A4869" s="11">
        <v>16668.0</v>
      </c>
      <c r="B4869" s="11" t="s">
        <v>4860</v>
      </c>
      <c r="C4869" s="12">
        <v>29499.0</v>
      </c>
      <c r="D4869" s="11" t="str">
        <f t="shared" si="1"/>
        <v> </v>
      </c>
      <c r="E4869" s="11" t="str">
        <f t="shared" si="2"/>
        <v> </v>
      </c>
    </row>
    <row r="4870" ht="15.75" customHeight="1">
      <c r="A4870" s="11">
        <v>16669.0</v>
      </c>
      <c r="B4870" s="11" t="s">
        <v>4861</v>
      </c>
      <c r="C4870" s="12">
        <v>20675.0</v>
      </c>
      <c r="D4870" s="11" t="str">
        <f t="shared" si="1"/>
        <v> </v>
      </c>
      <c r="E4870" s="11" t="str">
        <f t="shared" si="2"/>
        <v> </v>
      </c>
    </row>
    <row r="4871" ht="15.75" customHeight="1">
      <c r="A4871" s="11">
        <v>16670.0</v>
      </c>
      <c r="B4871" s="11" t="s">
        <v>4862</v>
      </c>
      <c r="C4871" s="12">
        <v>20192.0</v>
      </c>
      <c r="D4871" s="11" t="str">
        <f t="shared" si="1"/>
        <v> </v>
      </c>
      <c r="E4871" s="11" t="str">
        <f t="shared" si="2"/>
        <v> </v>
      </c>
    </row>
    <row r="4872" ht="15.75" customHeight="1">
      <c r="A4872" s="11">
        <v>16671.0</v>
      </c>
      <c r="B4872" s="11" t="s">
        <v>4863</v>
      </c>
      <c r="C4872" s="12">
        <v>22559.0</v>
      </c>
      <c r="D4872" s="11" t="str">
        <f t="shared" si="1"/>
        <v> </v>
      </c>
      <c r="E4872" s="11" t="str">
        <f t="shared" si="2"/>
        <v> </v>
      </c>
    </row>
    <row r="4873" ht="15.75" customHeight="1">
      <c r="A4873" s="11">
        <v>16672.0</v>
      </c>
      <c r="B4873" s="11" t="s">
        <v>4864</v>
      </c>
      <c r="C4873" s="12">
        <v>47078.0</v>
      </c>
      <c r="D4873" s="11" t="str">
        <f t="shared" si="1"/>
        <v> </v>
      </c>
      <c r="E4873" s="11" t="str">
        <f t="shared" si="2"/>
        <v> </v>
      </c>
    </row>
    <row r="4874" ht="15.75" customHeight="1">
      <c r="A4874" s="11">
        <v>16674.0</v>
      </c>
      <c r="B4874" s="11" t="s">
        <v>4865</v>
      </c>
      <c r="C4874" s="12">
        <v>21782.0</v>
      </c>
      <c r="D4874" s="11" t="str">
        <f t="shared" si="1"/>
        <v> </v>
      </c>
      <c r="E4874" s="11" t="str">
        <f t="shared" si="2"/>
        <v> </v>
      </c>
    </row>
    <row r="4875" ht="15.75" customHeight="1">
      <c r="A4875" s="11">
        <v>16675.0</v>
      </c>
      <c r="B4875" s="11" t="s">
        <v>4866</v>
      </c>
      <c r="C4875" s="12">
        <v>11940.0</v>
      </c>
      <c r="D4875" s="11" t="str">
        <f t="shared" si="1"/>
        <v> </v>
      </c>
      <c r="E4875" s="11" t="str">
        <f t="shared" si="2"/>
        <v> </v>
      </c>
    </row>
    <row r="4876" ht="15.75" customHeight="1">
      <c r="A4876" s="11">
        <v>16677.0</v>
      </c>
      <c r="B4876" s="11" t="s">
        <v>4867</v>
      </c>
      <c r="C4876" s="12">
        <v>20737.0</v>
      </c>
      <c r="D4876" s="11" t="str">
        <f t="shared" si="1"/>
        <v> </v>
      </c>
      <c r="E4876" s="11" t="str">
        <f t="shared" si="2"/>
        <v> </v>
      </c>
    </row>
    <row r="4877" ht="15.75" customHeight="1">
      <c r="A4877" s="11">
        <v>16678.0</v>
      </c>
      <c r="B4877" s="11" t="s">
        <v>4868</v>
      </c>
      <c r="C4877" s="12">
        <v>27277.0</v>
      </c>
      <c r="D4877" s="11" t="str">
        <f t="shared" si="1"/>
        <v> </v>
      </c>
      <c r="E4877" s="11" t="str">
        <f t="shared" si="2"/>
        <v> </v>
      </c>
    </row>
    <row r="4878" ht="15.75" customHeight="1">
      <c r="A4878" s="11">
        <v>16679.0</v>
      </c>
      <c r="B4878" s="11" t="s">
        <v>4869</v>
      </c>
      <c r="C4878" s="12">
        <v>22296.0</v>
      </c>
      <c r="D4878" s="11" t="str">
        <f t="shared" si="1"/>
        <v> </v>
      </c>
      <c r="E4878" s="11" t="str">
        <f t="shared" si="2"/>
        <v> </v>
      </c>
    </row>
    <row r="4879" ht="15.75" customHeight="1">
      <c r="A4879" s="11">
        <v>16680.0</v>
      </c>
      <c r="B4879" s="11" t="s">
        <v>4870</v>
      </c>
      <c r="C4879" s="12">
        <v>28421.0</v>
      </c>
      <c r="D4879" s="11" t="str">
        <f t="shared" si="1"/>
        <v> </v>
      </c>
      <c r="E4879" s="11" t="str">
        <f t="shared" si="2"/>
        <v> </v>
      </c>
    </row>
    <row r="4880" ht="15.75" customHeight="1">
      <c r="A4880" s="11">
        <v>16681.0</v>
      </c>
      <c r="B4880" s="11" t="s">
        <v>4871</v>
      </c>
      <c r="C4880" s="12">
        <v>22930.0</v>
      </c>
      <c r="D4880" s="11" t="str">
        <f t="shared" si="1"/>
        <v> </v>
      </c>
      <c r="E4880" s="11" t="str">
        <f t="shared" si="2"/>
        <v> </v>
      </c>
    </row>
    <row r="4881" ht="15.75" customHeight="1">
      <c r="A4881" s="11">
        <v>16682.0</v>
      </c>
      <c r="B4881" s="11" t="s">
        <v>4872</v>
      </c>
      <c r="C4881" s="12">
        <v>20068.0</v>
      </c>
      <c r="D4881" s="11" t="str">
        <f t="shared" si="1"/>
        <v> </v>
      </c>
      <c r="E4881" s="11" t="str">
        <f t="shared" si="2"/>
        <v> </v>
      </c>
    </row>
    <row r="4882" ht="15.75" customHeight="1">
      <c r="A4882" s="11">
        <v>16683.0</v>
      </c>
      <c r="B4882" s="11" t="s">
        <v>4873</v>
      </c>
      <c r="C4882" s="12">
        <v>32333.0</v>
      </c>
      <c r="D4882" s="11" t="str">
        <f t="shared" si="1"/>
        <v> </v>
      </c>
      <c r="E4882" s="11" t="str">
        <f t="shared" si="2"/>
        <v> </v>
      </c>
    </row>
    <row r="4883" ht="15.75" customHeight="1">
      <c r="A4883" s="11">
        <v>16684.0</v>
      </c>
      <c r="B4883" s="11" t="s">
        <v>4874</v>
      </c>
      <c r="C4883" s="12">
        <v>29291.0</v>
      </c>
      <c r="D4883" s="11" t="str">
        <f t="shared" si="1"/>
        <v> </v>
      </c>
      <c r="E4883" s="11" t="str">
        <f t="shared" si="2"/>
        <v> </v>
      </c>
    </row>
    <row r="4884" ht="15.75" customHeight="1">
      <c r="A4884" s="11">
        <v>16685.0</v>
      </c>
      <c r="B4884" s="11" t="s">
        <v>4875</v>
      </c>
      <c r="C4884" s="12">
        <v>28179.0</v>
      </c>
      <c r="D4884" s="11" t="str">
        <f t="shared" si="1"/>
        <v> </v>
      </c>
      <c r="E4884" s="11" t="str">
        <f t="shared" si="2"/>
        <v> </v>
      </c>
    </row>
    <row r="4885" ht="15.75" customHeight="1">
      <c r="A4885" s="11">
        <v>16686.0</v>
      </c>
      <c r="B4885" s="11" t="s">
        <v>4876</v>
      </c>
      <c r="C4885" s="12">
        <v>14867.0</v>
      </c>
      <c r="D4885" s="11" t="str">
        <f t="shared" si="1"/>
        <v> </v>
      </c>
      <c r="E4885" s="11" t="str">
        <f t="shared" si="2"/>
        <v> </v>
      </c>
    </row>
    <row r="4886" ht="15.75" customHeight="1">
      <c r="A4886" s="11">
        <v>16687.0</v>
      </c>
      <c r="B4886" s="11" t="s">
        <v>4877</v>
      </c>
      <c r="C4886" s="12">
        <v>17055.0</v>
      </c>
      <c r="D4886" s="11" t="str">
        <f t="shared" si="1"/>
        <v> </v>
      </c>
      <c r="E4886" s="11" t="str">
        <f t="shared" si="2"/>
        <v> </v>
      </c>
    </row>
    <row r="4887" ht="15.75" customHeight="1">
      <c r="A4887" s="11">
        <v>16690.0</v>
      </c>
      <c r="B4887" s="11" t="s">
        <v>4878</v>
      </c>
      <c r="C4887" s="12">
        <v>21564.0</v>
      </c>
      <c r="D4887" s="11" t="str">
        <f t="shared" si="1"/>
        <v> </v>
      </c>
      <c r="E4887" s="11" t="str">
        <f t="shared" si="2"/>
        <v> </v>
      </c>
    </row>
    <row r="4888" ht="15.75" customHeight="1">
      <c r="A4888" s="11">
        <v>16691.0</v>
      </c>
      <c r="B4888" s="11" t="s">
        <v>4879</v>
      </c>
      <c r="C4888" s="12">
        <v>28721.0</v>
      </c>
      <c r="D4888" s="11" t="str">
        <f t="shared" si="1"/>
        <v> </v>
      </c>
      <c r="E4888" s="11" t="str">
        <f t="shared" si="2"/>
        <v> </v>
      </c>
    </row>
    <row r="4889" ht="15.75" customHeight="1">
      <c r="A4889" s="11">
        <v>16692.0</v>
      </c>
      <c r="B4889" s="11" t="s">
        <v>4880</v>
      </c>
      <c r="C4889" s="12">
        <v>18634.0</v>
      </c>
      <c r="D4889" s="11" t="str">
        <f t="shared" si="1"/>
        <v> </v>
      </c>
      <c r="E4889" s="11" t="str">
        <f t="shared" si="2"/>
        <v> </v>
      </c>
    </row>
    <row r="4890" ht="15.75" customHeight="1">
      <c r="A4890" s="11">
        <v>16693.0</v>
      </c>
      <c r="B4890" s="11" t="s">
        <v>4881</v>
      </c>
      <c r="C4890" s="12">
        <v>30127.0</v>
      </c>
      <c r="D4890" s="11" t="str">
        <f t="shared" si="1"/>
        <v> </v>
      </c>
      <c r="E4890" s="11" t="str">
        <f t="shared" si="2"/>
        <v> </v>
      </c>
    </row>
    <row r="4891" ht="15.75" customHeight="1">
      <c r="A4891" s="11">
        <v>16694.0</v>
      </c>
      <c r="B4891" s="11" t="s">
        <v>4882</v>
      </c>
      <c r="C4891" s="12">
        <v>12270.0</v>
      </c>
      <c r="D4891" s="11" t="str">
        <f t="shared" si="1"/>
        <v> </v>
      </c>
      <c r="E4891" s="11" t="str">
        <f t="shared" si="2"/>
        <v> </v>
      </c>
    </row>
    <row r="4892" ht="15.75" customHeight="1">
      <c r="A4892" s="11">
        <v>16695.0</v>
      </c>
      <c r="B4892" s="11" t="s">
        <v>4883</v>
      </c>
      <c r="C4892" s="12">
        <v>22489.0</v>
      </c>
      <c r="D4892" s="11" t="str">
        <f t="shared" si="1"/>
        <v> </v>
      </c>
      <c r="E4892" s="11" t="str">
        <f t="shared" si="2"/>
        <v> </v>
      </c>
    </row>
    <row r="4893" ht="15.75" customHeight="1">
      <c r="A4893" s="11">
        <v>16697.0</v>
      </c>
      <c r="B4893" s="11" t="s">
        <v>4884</v>
      </c>
      <c r="C4893" s="12">
        <v>25544.0</v>
      </c>
      <c r="D4893" s="11" t="str">
        <f t="shared" si="1"/>
        <v> </v>
      </c>
      <c r="E4893" s="11" t="str">
        <f t="shared" si="2"/>
        <v> </v>
      </c>
    </row>
    <row r="4894" ht="15.75" customHeight="1">
      <c r="A4894" s="11">
        <v>16699.0</v>
      </c>
      <c r="B4894" s="11" t="s">
        <v>4885</v>
      </c>
      <c r="C4894" s="12">
        <v>20034.0</v>
      </c>
      <c r="D4894" s="11" t="str">
        <f t="shared" si="1"/>
        <v> </v>
      </c>
      <c r="E4894" s="11" t="str">
        <f t="shared" si="2"/>
        <v> </v>
      </c>
    </row>
    <row r="4895" ht="15.75" customHeight="1">
      <c r="A4895" s="11">
        <v>16700.0</v>
      </c>
      <c r="B4895" s="11" t="s">
        <v>4886</v>
      </c>
      <c r="C4895" s="12">
        <v>9823.0</v>
      </c>
      <c r="D4895" s="11" t="str">
        <f t="shared" si="1"/>
        <v>Repeat</v>
      </c>
      <c r="E4895" s="11" t="str">
        <f t="shared" si="2"/>
        <v>Repeat</v>
      </c>
    </row>
    <row r="4896" ht="15.75" customHeight="1">
      <c r="A4896" s="11">
        <v>16701.0</v>
      </c>
      <c r="B4896" s="11" t="s">
        <v>1171</v>
      </c>
      <c r="C4896" s="12">
        <v>31681.0</v>
      </c>
      <c r="D4896" s="11" t="str">
        <f t="shared" si="1"/>
        <v>Repeat</v>
      </c>
      <c r="E4896" s="11" t="str">
        <f t="shared" si="2"/>
        <v> </v>
      </c>
    </row>
    <row r="4897" ht="15.75" customHeight="1">
      <c r="A4897" s="11">
        <v>16703.0</v>
      </c>
      <c r="B4897" s="11" t="s">
        <v>4887</v>
      </c>
      <c r="C4897" s="12">
        <v>22337.0</v>
      </c>
      <c r="D4897" s="11" t="str">
        <f t="shared" si="1"/>
        <v> </v>
      </c>
      <c r="E4897" s="11" t="str">
        <f t="shared" si="2"/>
        <v> </v>
      </c>
    </row>
    <row r="4898" ht="15.75" customHeight="1">
      <c r="A4898" s="11">
        <v>16704.0</v>
      </c>
      <c r="B4898" s="11" t="s">
        <v>4888</v>
      </c>
      <c r="C4898" s="12">
        <v>22637.0</v>
      </c>
      <c r="D4898" s="11" t="str">
        <f t="shared" si="1"/>
        <v> </v>
      </c>
      <c r="E4898" s="11" t="str">
        <f t="shared" si="2"/>
        <v>Repeat</v>
      </c>
    </row>
    <row r="4899" ht="15.75" customHeight="1">
      <c r="A4899" s="11">
        <v>16705.0</v>
      </c>
      <c r="B4899" s="11" t="s">
        <v>715</v>
      </c>
      <c r="C4899" s="12">
        <v>20001.0</v>
      </c>
      <c r="D4899" s="11" t="str">
        <f t="shared" si="1"/>
        <v>Repeat</v>
      </c>
      <c r="E4899" s="11" t="str">
        <f t="shared" si="2"/>
        <v> </v>
      </c>
    </row>
    <row r="4900" ht="15.75" customHeight="1">
      <c r="A4900" s="11">
        <v>16707.0</v>
      </c>
      <c r="B4900" s="11" t="s">
        <v>2273</v>
      </c>
      <c r="C4900" s="12">
        <v>12534.0</v>
      </c>
      <c r="D4900" s="11" t="str">
        <f t="shared" si="1"/>
        <v>Repeat</v>
      </c>
      <c r="E4900" s="11" t="str">
        <f t="shared" si="2"/>
        <v> </v>
      </c>
    </row>
    <row r="4901" ht="15.75" customHeight="1">
      <c r="A4901" s="11">
        <v>16708.0</v>
      </c>
      <c r="B4901" s="11" t="s">
        <v>4889</v>
      </c>
      <c r="C4901" s="12">
        <v>11530.0</v>
      </c>
      <c r="D4901" s="11" t="str">
        <f t="shared" si="1"/>
        <v> </v>
      </c>
      <c r="E4901" s="11" t="str">
        <f t="shared" si="2"/>
        <v> </v>
      </c>
    </row>
    <row r="4902" ht="15.75" customHeight="1">
      <c r="A4902" s="11">
        <v>16709.0</v>
      </c>
      <c r="B4902" s="11" t="s">
        <v>4890</v>
      </c>
      <c r="C4902" s="12">
        <v>23212.0</v>
      </c>
      <c r="D4902" s="11" t="str">
        <f t="shared" si="1"/>
        <v>Repeat</v>
      </c>
      <c r="E4902" s="11" t="str">
        <f t="shared" si="2"/>
        <v> </v>
      </c>
    </row>
    <row r="4903" ht="15.75" customHeight="1">
      <c r="A4903" s="11">
        <v>16712.0</v>
      </c>
      <c r="B4903" s="11" t="s">
        <v>4891</v>
      </c>
      <c r="C4903" s="12">
        <v>20122.0</v>
      </c>
      <c r="D4903" s="11" t="str">
        <f t="shared" si="1"/>
        <v> </v>
      </c>
      <c r="E4903" s="11" t="str">
        <f t="shared" si="2"/>
        <v> </v>
      </c>
    </row>
    <row r="4904" ht="15.75" customHeight="1">
      <c r="A4904" s="11">
        <v>16713.0</v>
      </c>
      <c r="B4904" s="11" t="s">
        <v>4892</v>
      </c>
      <c r="C4904" s="12">
        <v>25588.0</v>
      </c>
      <c r="D4904" s="11" t="str">
        <f t="shared" si="1"/>
        <v> </v>
      </c>
      <c r="E4904" s="11" t="str">
        <f t="shared" si="2"/>
        <v> </v>
      </c>
    </row>
    <row r="4905" ht="15.75" customHeight="1">
      <c r="A4905" s="11">
        <v>16714.0</v>
      </c>
      <c r="B4905" s="11" t="s">
        <v>4893</v>
      </c>
      <c r="C4905" s="12">
        <v>19087.0</v>
      </c>
      <c r="D4905" s="11" t="str">
        <f t="shared" si="1"/>
        <v> </v>
      </c>
      <c r="E4905" s="11" t="str">
        <f t="shared" si="2"/>
        <v> </v>
      </c>
    </row>
    <row r="4906" ht="15.75" customHeight="1">
      <c r="A4906" s="11">
        <v>16715.0</v>
      </c>
      <c r="B4906" s="11" t="s">
        <v>4894</v>
      </c>
      <c r="C4906" s="12">
        <v>23242.0</v>
      </c>
      <c r="D4906" s="11" t="str">
        <f t="shared" si="1"/>
        <v> </v>
      </c>
      <c r="E4906" s="11" t="str">
        <f t="shared" si="2"/>
        <v> </v>
      </c>
    </row>
    <row r="4907" ht="15.75" customHeight="1">
      <c r="A4907" s="11">
        <v>16716.0</v>
      </c>
      <c r="B4907" s="11" t="s">
        <v>4895</v>
      </c>
      <c r="C4907" s="12">
        <v>30856.0</v>
      </c>
      <c r="D4907" s="11" t="str">
        <f t="shared" si="1"/>
        <v> </v>
      </c>
      <c r="E4907" s="11" t="str">
        <f t="shared" si="2"/>
        <v> </v>
      </c>
    </row>
    <row r="4908" ht="15.75" customHeight="1">
      <c r="A4908" s="11">
        <v>16718.0</v>
      </c>
      <c r="B4908" s="11" t="s">
        <v>4896</v>
      </c>
      <c r="C4908" s="12">
        <v>22824.0</v>
      </c>
      <c r="D4908" s="11" t="str">
        <f t="shared" si="1"/>
        <v> </v>
      </c>
      <c r="E4908" s="11" t="str">
        <f t="shared" si="2"/>
        <v> </v>
      </c>
    </row>
    <row r="4909" ht="15.75" customHeight="1">
      <c r="A4909" s="11">
        <v>16719.0</v>
      </c>
      <c r="B4909" s="11" t="s">
        <v>4897</v>
      </c>
      <c r="C4909" s="12">
        <v>22401.0</v>
      </c>
      <c r="D4909" s="11" t="str">
        <f t="shared" si="1"/>
        <v> </v>
      </c>
      <c r="E4909" s="11" t="str">
        <f t="shared" si="2"/>
        <v> </v>
      </c>
    </row>
    <row r="4910" ht="15.75" customHeight="1">
      <c r="A4910" s="11">
        <v>16720.0</v>
      </c>
      <c r="B4910" s="11" t="s">
        <v>4898</v>
      </c>
      <c r="C4910" s="12">
        <v>29601.0</v>
      </c>
      <c r="D4910" s="11" t="str">
        <f t="shared" si="1"/>
        <v> </v>
      </c>
      <c r="E4910" s="11" t="str">
        <f t="shared" si="2"/>
        <v> </v>
      </c>
    </row>
    <row r="4911" ht="15.75" customHeight="1">
      <c r="A4911" s="11">
        <v>16721.0</v>
      </c>
      <c r="B4911" s="11" t="s">
        <v>4899</v>
      </c>
      <c r="C4911" s="12">
        <v>29245.0</v>
      </c>
      <c r="D4911" s="11" t="str">
        <f t="shared" si="1"/>
        <v> </v>
      </c>
      <c r="E4911" s="11" t="str">
        <f t="shared" si="2"/>
        <v> </v>
      </c>
    </row>
    <row r="4912" ht="15.75" customHeight="1">
      <c r="A4912" s="11">
        <v>16722.0</v>
      </c>
      <c r="B4912" s="11" t="s">
        <v>4900</v>
      </c>
      <c r="C4912" s="12">
        <v>17812.0</v>
      </c>
      <c r="D4912" s="11" t="str">
        <f t="shared" si="1"/>
        <v> </v>
      </c>
      <c r="E4912" s="11" t="str">
        <f t="shared" si="2"/>
        <v> </v>
      </c>
    </row>
    <row r="4913" ht="15.75" customHeight="1">
      <c r="A4913" s="11">
        <v>16723.0</v>
      </c>
      <c r="B4913" s="11" t="s">
        <v>4901</v>
      </c>
      <c r="C4913" s="12">
        <v>25804.0</v>
      </c>
      <c r="D4913" s="11" t="str">
        <f t="shared" si="1"/>
        <v> </v>
      </c>
      <c r="E4913" s="11" t="str">
        <f t="shared" si="2"/>
        <v> </v>
      </c>
    </row>
    <row r="4914" ht="15.75" customHeight="1">
      <c r="A4914" s="11">
        <v>16725.0</v>
      </c>
      <c r="B4914" s="11" t="s">
        <v>4902</v>
      </c>
      <c r="C4914" s="12">
        <v>33524.0</v>
      </c>
      <c r="D4914" s="11" t="str">
        <f t="shared" si="1"/>
        <v> </v>
      </c>
      <c r="E4914" s="11" t="str">
        <f t="shared" si="2"/>
        <v> </v>
      </c>
    </row>
    <row r="4915" ht="15.75" customHeight="1">
      <c r="A4915" s="11">
        <v>16726.0</v>
      </c>
      <c r="B4915" s="11" t="s">
        <v>4903</v>
      </c>
      <c r="C4915" s="12">
        <v>24152.0</v>
      </c>
      <c r="D4915" s="11" t="str">
        <f t="shared" si="1"/>
        <v> </v>
      </c>
      <c r="E4915" s="11" t="str">
        <f t="shared" si="2"/>
        <v> </v>
      </c>
    </row>
    <row r="4916" ht="15.75" customHeight="1">
      <c r="A4916" s="11">
        <v>16727.0</v>
      </c>
      <c r="B4916" s="11" t="s">
        <v>4904</v>
      </c>
      <c r="C4916" s="12">
        <v>22667.0</v>
      </c>
      <c r="D4916" s="11" t="str">
        <f t="shared" si="1"/>
        <v> </v>
      </c>
      <c r="E4916" s="11" t="str">
        <f t="shared" si="2"/>
        <v> </v>
      </c>
    </row>
    <row r="4917" ht="15.75" customHeight="1">
      <c r="A4917" s="11">
        <v>16728.0</v>
      </c>
      <c r="B4917" s="11" t="s">
        <v>4905</v>
      </c>
      <c r="C4917" s="12">
        <v>16042.0</v>
      </c>
      <c r="D4917" s="11" t="str">
        <f t="shared" si="1"/>
        <v> </v>
      </c>
      <c r="E4917" s="11" t="str">
        <f t="shared" si="2"/>
        <v> </v>
      </c>
    </row>
    <row r="4918" ht="15.75" customHeight="1">
      <c r="A4918" s="11">
        <v>16730.0</v>
      </c>
      <c r="B4918" s="11" t="s">
        <v>4906</v>
      </c>
      <c r="C4918" s="12">
        <v>22649.0</v>
      </c>
      <c r="D4918" s="11" t="str">
        <f t="shared" si="1"/>
        <v> </v>
      </c>
      <c r="E4918" s="11" t="str">
        <f t="shared" si="2"/>
        <v> </v>
      </c>
    </row>
    <row r="4919" ht="15.75" customHeight="1">
      <c r="A4919" s="11">
        <v>16731.0</v>
      </c>
      <c r="B4919" s="11" t="s">
        <v>4907</v>
      </c>
      <c r="C4919" s="12">
        <v>19431.0</v>
      </c>
      <c r="D4919" s="11" t="str">
        <f t="shared" si="1"/>
        <v> </v>
      </c>
      <c r="E4919" s="11" t="str">
        <f t="shared" si="2"/>
        <v> </v>
      </c>
    </row>
    <row r="4920" ht="15.75" customHeight="1">
      <c r="A4920" s="11">
        <v>16732.0</v>
      </c>
      <c r="B4920" s="11" t="s">
        <v>4908</v>
      </c>
      <c r="C4920" s="12">
        <v>23942.0</v>
      </c>
      <c r="D4920" s="11" t="str">
        <f t="shared" si="1"/>
        <v> </v>
      </c>
      <c r="E4920" s="11" t="str">
        <f t="shared" si="2"/>
        <v> </v>
      </c>
    </row>
    <row r="4921" ht="15.75" customHeight="1">
      <c r="A4921" s="11">
        <v>16733.0</v>
      </c>
      <c r="B4921" s="11" t="s">
        <v>4909</v>
      </c>
      <c r="C4921" s="12">
        <v>18127.0</v>
      </c>
      <c r="D4921" s="11" t="str">
        <f t="shared" si="1"/>
        <v> </v>
      </c>
      <c r="E4921" s="11" t="str">
        <f t="shared" si="2"/>
        <v> </v>
      </c>
    </row>
    <row r="4922" ht="15.75" customHeight="1">
      <c r="A4922" s="11">
        <v>16734.0</v>
      </c>
      <c r="B4922" s="11" t="s">
        <v>4910</v>
      </c>
      <c r="C4922" s="12">
        <v>16208.0</v>
      </c>
      <c r="D4922" s="11" t="str">
        <f t="shared" si="1"/>
        <v> </v>
      </c>
      <c r="E4922" s="11" t="str">
        <f t="shared" si="2"/>
        <v> </v>
      </c>
    </row>
    <row r="4923" ht="15.75" customHeight="1">
      <c r="A4923" s="11">
        <v>17088.0</v>
      </c>
      <c r="B4923" s="11" t="s">
        <v>4911</v>
      </c>
      <c r="C4923" s="12">
        <v>27790.0</v>
      </c>
      <c r="D4923" s="11" t="str">
        <f t="shared" si="1"/>
        <v> </v>
      </c>
      <c r="E4923" s="11" t="str">
        <f t="shared" si="2"/>
        <v> </v>
      </c>
    </row>
    <row r="4924" ht="15.75" customHeight="1">
      <c r="A4924" s="11">
        <v>16736.0</v>
      </c>
      <c r="B4924" s="11" t="s">
        <v>4912</v>
      </c>
      <c r="C4924" s="12">
        <v>28145.0</v>
      </c>
      <c r="D4924" s="11" t="str">
        <f t="shared" si="1"/>
        <v> </v>
      </c>
      <c r="E4924" s="11" t="str">
        <f t="shared" si="2"/>
        <v> </v>
      </c>
    </row>
    <row r="4925" ht="15.75" customHeight="1">
      <c r="A4925" s="11">
        <v>16162.0</v>
      </c>
      <c r="B4925" s="11" t="s">
        <v>4913</v>
      </c>
      <c r="C4925" s="12">
        <v>27212.0</v>
      </c>
      <c r="D4925" s="11" t="str">
        <f t="shared" si="1"/>
        <v> </v>
      </c>
      <c r="E4925" s="11" t="str">
        <f t="shared" si="2"/>
        <v> </v>
      </c>
    </row>
    <row r="4926" ht="15.75" customHeight="1">
      <c r="A4926" s="11">
        <v>16738.0</v>
      </c>
      <c r="B4926" s="11" t="s">
        <v>4914</v>
      </c>
      <c r="C4926" s="12">
        <v>23693.0</v>
      </c>
      <c r="D4926" s="11" t="str">
        <f t="shared" si="1"/>
        <v> </v>
      </c>
      <c r="E4926" s="11" t="str">
        <f t="shared" si="2"/>
        <v> </v>
      </c>
    </row>
    <row r="4927" ht="15.75" customHeight="1">
      <c r="A4927" s="11">
        <v>16739.0</v>
      </c>
      <c r="B4927" s="11" t="s">
        <v>4915</v>
      </c>
      <c r="C4927" s="12">
        <v>16716.0</v>
      </c>
      <c r="D4927" s="11" t="str">
        <f t="shared" si="1"/>
        <v> </v>
      </c>
      <c r="E4927" s="11" t="str">
        <f t="shared" si="2"/>
        <v> </v>
      </c>
    </row>
    <row r="4928" ht="15.75" customHeight="1">
      <c r="A4928" s="11">
        <v>16740.0</v>
      </c>
      <c r="B4928" s="11" t="s">
        <v>4916</v>
      </c>
      <c r="C4928" s="12">
        <v>25008.0</v>
      </c>
      <c r="D4928" s="11" t="str">
        <f t="shared" si="1"/>
        <v> </v>
      </c>
      <c r="E4928" s="11" t="str">
        <f t="shared" si="2"/>
        <v> </v>
      </c>
    </row>
    <row r="4929" ht="15.75" customHeight="1">
      <c r="A4929" s="11">
        <v>16741.0</v>
      </c>
      <c r="B4929" s="11" t="s">
        <v>4917</v>
      </c>
      <c r="C4929" s="12">
        <v>21643.0</v>
      </c>
      <c r="D4929" s="11" t="str">
        <f t="shared" si="1"/>
        <v> </v>
      </c>
      <c r="E4929" s="11" t="str">
        <f t="shared" si="2"/>
        <v> </v>
      </c>
    </row>
    <row r="4930" ht="15.75" customHeight="1">
      <c r="A4930" s="11">
        <v>16743.0</v>
      </c>
      <c r="B4930" s="11" t="s">
        <v>4918</v>
      </c>
      <c r="C4930" s="12">
        <v>13975.0</v>
      </c>
      <c r="D4930" s="11" t="str">
        <f t="shared" si="1"/>
        <v> </v>
      </c>
      <c r="E4930" s="11" t="str">
        <f t="shared" si="2"/>
        <v> </v>
      </c>
    </row>
    <row r="4931" ht="15.75" customHeight="1">
      <c r="A4931" s="11">
        <v>16745.0</v>
      </c>
      <c r="B4931" s="11" t="s">
        <v>4919</v>
      </c>
      <c r="C4931" s="12">
        <v>34760.0</v>
      </c>
      <c r="D4931" s="11" t="str">
        <f t="shared" si="1"/>
        <v> </v>
      </c>
      <c r="E4931" s="11" t="str">
        <f t="shared" si="2"/>
        <v> </v>
      </c>
    </row>
    <row r="4932" ht="15.75" customHeight="1">
      <c r="A4932" s="11">
        <v>16746.0</v>
      </c>
      <c r="B4932" s="11" t="s">
        <v>4920</v>
      </c>
      <c r="C4932" s="12">
        <v>25838.0</v>
      </c>
      <c r="D4932" s="11" t="str">
        <f t="shared" si="1"/>
        <v> </v>
      </c>
      <c r="E4932" s="11" t="str">
        <f t="shared" si="2"/>
        <v> </v>
      </c>
    </row>
    <row r="4933" ht="15.75" customHeight="1">
      <c r="A4933" s="11">
        <v>16747.0</v>
      </c>
      <c r="B4933" s="11" t="s">
        <v>4921</v>
      </c>
      <c r="C4933" s="12">
        <v>24565.0</v>
      </c>
      <c r="D4933" s="11" t="str">
        <f t="shared" si="1"/>
        <v> </v>
      </c>
      <c r="E4933" s="11" t="str">
        <f t="shared" si="2"/>
        <v> </v>
      </c>
    </row>
    <row r="4934" ht="15.75" customHeight="1">
      <c r="A4934" s="11">
        <v>16748.0</v>
      </c>
      <c r="B4934" s="11" t="s">
        <v>4922</v>
      </c>
      <c r="C4934" s="12">
        <v>26623.0</v>
      </c>
      <c r="D4934" s="11" t="str">
        <f t="shared" si="1"/>
        <v> </v>
      </c>
      <c r="E4934" s="11" t="str">
        <f t="shared" si="2"/>
        <v> </v>
      </c>
    </row>
    <row r="4935" ht="15.75" customHeight="1">
      <c r="A4935" s="11">
        <v>16749.0</v>
      </c>
      <c r="B4935" s="11" t="s">
        <v>4923</v>
      </c>
      <c r="C4935" s="12">
        <v>23943.0</v>
      </c>
      <c r="D4935" s="11" t="str">
        <f t="shared" si="1"/>
        <v> </v>
      </c>
      <c r="E4935" s="11" t="str">
        <f t="shared" si="2"/>
        <v> </v>
      </c>
    </row>
    <row r="4936" ht="15.75" customHeight="1">
      <c r="A4936" s="11">
        <v>16750.0</v>
      </c>
      <c r="B4936" s="11" t="s">
        <v>4924</v>
      </c>
      <c r="C4936" s="12">
        <v>28666.0</v>
      </c>
      <c r="D4936" s="11" t="str">
        <f t="shared" si="1"/>
        <v> </v>
      </c>
      <c r="E4936" s="11" t="str">
        <f t="shared" si="2"/>
        <v> </v>
      </c>
    </row>
    <row r="4937" ht="15.75" customHeight="1">
      <c r="A4937" s="11">
        <v>16751.0</v>
      </c>
      <c r="B4937" s="11" t="s">
        <v>4925</v>
      </c>
      <c r="C4937" s="12">
        <v>31857.0</v>
      </c>
      <c r="D4937" s="11" t="str">
        <f t="shared" si="1"/>
        <v> </v>
      </c>
      <c r="E4937" s="11" t="str">
        <f t="shared" si="2"/>
        <v> </v>
      </c>
    </row>
    <row r="4938" ht="15.75" customHeight="1">
      <c r="A4938" s="11">
        <v>16754.0</v>
      </c>
      <c r="B4938" s="11" t="s">
        <v>4926</v>
      </c>
      <c r="C4938" s="12">
        <v>33434.0</v>
      </c>
      <c r="D4938" s="11" t="str">
        <f t="shared" si="1"/>
        <v> </v>
      </c>
      <c r="E4938" s="11" t="str">
        <f t="shared" si="2"/>
        <v> </v>
      </c>
    </row>
    <row r="4939" ht="15.75" customHeight="1">
      <c r="A4939" s="11">
        <v>16755.0</v>
      </c>
      <c r="B4939" s="11" t="s">
        <v>4927</v>
      </c>
      <c r="C4939" s="12">
        <v>14324.0</v>
      </c>
      <c r="D4939" s="11" t="str">
        <f t="shared" si="1"/>
        <v> </v>
      </c>
      <c r="E4939" s="11" t="str">
        <f t="shared" si="2"/>
        <v> </v>
      </c>
    </row>
    <row r="4940" ht="15.75" customHeight="1">
      <c r="A4940" s="11">
        <v>16756.0</v>
      </c>
      <c r="B4940" s="11" t="s">
        <v>4928</v>
      </c>
      <c r="C4940" s="12">
        <v>16349.0</v>
      </c>
      <c r="D4940" s="11" t="str">
        <f t="shared" si="1"/>
        <v> </v>
      </c>
      <c r="E4940" s="11" t="str">
        <f t="shared" si="2"/>
        <v> </v>
      </c>
    </row>
    <row r="4941" ht="15.75" customHeight="1">
      <c r="A4941" s="11">
        <v>16757.0</v>
      </c>
      <c r="B4941" s="11" t="s">
        <v>4929</v>
      </c>
      <c r="C4941" s="12">
        <v>22411.0</v>
      </c>
      <c r="D4941" s="11" t="str">
        <f t="shared" si="1"/>
        <v> </v>
      </c>
      <c r="E4941" s="11" t="str">
        <f t="shared" si="2"/>
        <v> </v>
      </c>
    </row>
    <row r="4942" ht="15.75" customHeight="1">
      <c r="A4942" s="11">
        <v>16758.0</v>
      </c>
      <c r="B4942" s="11" t="s">
        <v>4930</v>
      </c>
      <c r="C4942" s="12">
        <v>19768.0</v>
      </c>
      <c r="D4942" s="11" t="str">
        <f t="shared" si="1"/>
        <v> </v>
      </c>
      <c r="E4942" s="11" t="str">
        <f t="shared" si="2"/>
        <v> </v>
      </c>
    </row>
    <row r="4943" ht="15.75" customHeight="1">
      <c r="A4943" s="11">
        <v>16759.0</v>
      </c>
      <c r="B4943" s="11" t="s">
        <v>4931</v>
      </c>
      <c r="C4943" s="12">
        <v>19183.0</v>
      </c>
      <c r="D4943" s="11" t="str">
        <f t="shared" si="1"/>
        <v> </v>
      </c>
      <c r="E4943" s="11" t="str">
        <f t="shared" si="2"/>
        <v> </v>
      </c>
    </row>
    <row r="4944" ht="15.75" customHeight="1">
      <c r="A4944" s="11">
        <v>16760.0</v>
      </c>
      <c r="B4944" s="11" t="s">
        <v>4932</v>
      </c>
      <c r="C4944" s="12">
        <v>21765.0</v>
      </c>
      <c r="D4944" s="11" t="str">
        <f t="shared" si="1"/>
        <v> </v>
      </c>
      <c r="E4944" s="11" t="str">
        <f t="shared" si="2"/>
        <v> </v>
      </c>
    </row>
    <row r="4945" ht="15.75" customHeight="1">
      <c r="A4945" s="11">
        <v>16761.0</v>
      </c>
      <c r="B4945" s="11" t="s">
        <v>4933</v>
      </c>
      <c r="C4945" s="12">
        <v>19754.0</v>
      </c>
      <c r="D4945" s="11" t="str">
        <f t="shared" si="1"/>
        <v> </v>
      </c>
      <c r="E4945" s="11" t="str">
        <f t="shared" si="2"/>
        <v> </v>
      </c>
    </row>
    <row r="4946" ht="15.75" customHeight="1">
      <c r="A4946" s="11">
        <v>16762.0</v>
      </c>
      <c r="B4946" s="11" t="s">
        <v>4934</v>
      </c>
      <c r="C4946" s="12">
        <v>27945.0</v>
      </c>
      <c r="D4946" s="11" t="str">
        <f t="shared" si="1"/>
        <v> </v>
      </c>
      <c r="E4946" s="11" t="str">
        <f t="shared" si="2"/>
        <v>Repeat</v>
      </c>
    </row>
    <row r="4947" ht="15.75" customHeight="1">
      <c r="A4947" s="11">
        <v>16763.0</v>
      </c>
      <c r="B4947" s="11" t="s">
        <v>4935</v>
      </c>
      <c r="C4947" s="12">
        <v>25170.0</v>
      </c>
      <c r="D4947" s="11" t="str">
        <f t="shared" si="1"/>
        <v> </v>
      </c>
      <c r="E4947" s="11" t="str">
        <f t="shared" si="2"/>
        <v> </v>
      </c>
    </row>
    <row r="4948" ht="15.75" customHeight="1">
      <c r="A4948" s="11">
        <v>16764.0</v>
      </c>
      <c r="B4948" s="11" t="s">
        <v>4936</v>
      </c>
      <c r="C4948" s="12">
        <v>18476.0</v>
      </c>
      <c r="D4948" s="11" t="str">
        <f t="shared" si="1"/>
        <v> </v>
      </c>
      <c r="E4948" s="11" t="str">
        <f t="shared" si="2"/>
        <v> </v>
      </c>
    </row>
    <row r="4949" ht="15.75" customHeight="1">
      <c r="A4949" s="11">
        <v>16765.0</v>
      </c>
      <c r="B4949" s="11" t="s">
        <v>4937</v>
      </c>
      <c r="C4949" s="12">
        <v>18773.0</v>
      </c>
      <c r="D4949" s="11" t="str">
        <f t="shared" si="1"/>
        <v> </v>
      </c>
      <c r="E4949" s="11" t="str">
        <f t="shared" si="2"/>
        <v> </v>
      </c>
    </row>
    <row r="4950" ht="15.75" customHeight="1">
      <c r="A4950" s="11">
        <v>16766.0</v>
      </c>
      <c r="B4950" s="11" t="s">
        <v>4938</v>
      </c>
      <c r="C4950" s="12">
        <v>18093.0</v>
      </c>
      <c r="D4950" s="11" t="str">
        <f t="shared" si="1"/>
        <v> </v>
      </c>
      <c r="E4950" s="11" t="str">
        <f t="shared" si="2"/>
        <v> </v>
      </c>
    </row>
    <row r="4951" ht="15.75" customHeight="1">
      <c r="A4951" s="11">
        <v>16767.0</v>
      </c>
      <c r="B4951" s="11" t="s">
        <v>4939</v>
      </c>
      <c r="C4951" s="12">
        <v>31048.0</v>
      </c>
      <c r="D4951" s="11" t="str">
        <f t="shared" si="1"/>
        <v> </v>
      </c>
      <c r="E4951" s="11" t="str">
        <f t="shared" si="2"/>
        <v> </v>
      </c>
    </row>
    <row r="4952" ht="15.75" customHeight="1">
      <c r="A4952" s="11">
        <v>16768.0</v>
      </c>
      <c r="B4952" s="11" t="s">
        <v>4940</v>
      </c>
      <c r="C4952" s="12">
        <v>26866.0</v>
      </c>
      <c r="D4952" s="11" t="str">
        <f t="shared" si="1"/>
        <v> </v>
      </c>
      <c r="E4952" s="11" t="str">
        <f t="shared" si="2"/>
        <v> </v>
      </c>
    </row>
    <row r="4953" ht="15.75" customHeight="1">
      <c r="A4953" s="11">
        <v>16769.0</v>
      </c>
      <c r="B4953" s="11" t="s">
        <v>4941</v>
      </c>
      <c r="C4953" s="12">
        <v>32635.0</v>
      </c>
      <c r="D4953" s="11" t="str">
        <f t="shared" si="1"/>
        <v> </v>
      </c>
      <c r="E4953" s="11" t="str">
        <f t="shared" si="2"/>
        <v> </v>
      </c>
    </row>
    <row r="4954" ht="15.75" customHeight="1">
      <c r="A4954" s="11">
        <v>16770.0</v>
      </c>
      <c r="B4954" s="11" t="s">
        <v>4942</v>
      </c>
      <c r="C4954" s="12">
        <v>12003.0</v>
      </c>
      <c r="D4954" s="11" t="str">
        <f t="shared" si="1"/>
        <v> </v>
      </c>
      <c r="E4954" s="11" t="str">
        <f t="shared" si="2"/>
        <v> </v>
      </c>
    </row>
    <row r="4955" ht="15.75" customHeight="1">
      <c r="A4955" s="11">
        <v>16771.0</v>
      </c>
      <c r="B4955" s="11" t="s">
        <v>4943</v>
      </c>
      <c r="C4955" s="12">
        <v>19565.0</v>
      </c>
      <c r="D4955" s="11" t="str">
        <f t="shared" si="1"/>
        <v> </v>
      </c>
      <c r="E4955" s="11" t="str">
        <f t="shared" si="2"/>
        <v> </v>
      </c>
    </row>
    <row r="4956" ht="15.75" customHeight="1">
      <c r="A4956" s="11">
        <v>16772.0</v>
      </c>
      <c r="B4956" s="11" t="s">
        <v>4944</v>
      </c>
      <c r="C4956" s="12">
        <v>20303.0</v>
      </c>
      <c r="D4956" s="11" t="str">
        <f t="shared" si="1"/>
        <v> </v>
      </c>
      <c r="E4956" s="11" t="str">
        <f t="shared" si="2"/>
        <v> </v>
      </c>
    </row>
    <row r="4957" ht="15.75" customHeight="1">
      <c r="A4957" s="11">
        <v>16773.0</v>
      </c>
      <c r="B4957" s="11" t="s">
        <v>4945</v>
      </c>
      <c r="C4957" s="12">
        <v>13956.0</v>
      </c>
      <c r="D4957" s="11" t="str">
        <f t="shared" si="1"/>
        <v> </v>
      </c>
      <c r="E4957" s="11" t="str">
        <f t="shared" si="2"/>
        <v> </v>
      </c>
    </row>
    <row r="4958" ht="15.75" customHeight="1">
      <c r="A4958" s="11">
        <v>16775.0</v>
      </c>
      <c r="B4958" s="11" t="s">
        <v>4946</v>
      </c>
      <c r="C4958" s="12">
        <v>16800.0</v>
      </c>
      <c r="D4958" s="11" t="str">
        <f t="shared" si="1"/>
        <v> </v>
      </c>
      <c r="E4958" s="11" t="str">
        <f t="shared" si="2"/>
        <v> </v>
      </c>
    </row>
    <row r="4959" ht="15.75" customHeight="1">
      <c r="A4959" s="11">
        <v>16776.0</v>
      </c>
      <c r="B4959" s="11" t="s">
        <v>4947</v>
      </c>
      <c r="C4959" s="12">
        <v>29416.0</v>
      </c>
      <c r="D4959" s="11" t="str">
        <f t="shared" si="1"/>
        <v> </v>
      </c>
      <c r="E4959" s="11" t="str">
        <f t="shared" si="2"/>
        <v> </v>
      </c>
    </row>
    <row r="4960" ht="15.75" customHeight="1">
      <c r="A4960" s="11">
        <v>16264.0</v>
      </c>
      <c r="B4960" s="11" t="s">
        <v>4948</v>
      </c>
      <c r="C4960" s="12">
        <v>25336.0</v>
      </c>
      <c r="D4960" s="11" t="str">
        <f t="shared" si="1"/>
        <v> </v>
      </c>
      <c r="E4960" s="11" t="str">
        <f t="shared" si="2"/>
        <v> </v>
      </c>
    </row>
    <row r="4961" ht="15.75" customHeight="1">
      <c r="A4961" s="11">
        <v>16778.0</v>
      </c>
      <c r="B4961" s="11" t="s">
        <v>4949</v>
      </c>
      <c r="C4961" s="12">
        <v>24169.0</v>
      </c>
      <c r="D4961" s="11" t="str">
        <f t="shared" si="1"/>
        <v> </v>
      </c>
      <c r="E4961" s="11" t="str">
        <f t="shared" si="2"/>
        <v> </v>
      </c>
    </row>
    <row r="4962" ht="15.75" customHeight="1">
      <c r="A4962" s="11">
        <v>16779.0</v>
      </c>
      <c r="B4962" s="11" t="s">
        <v>4950</v>
      </c>
      <c r="C4962" s="12">
        <v>23570.0</v>
      </c>
      <c r="D4962" s="11" t="str">
        <f t="shared" si="1"/>
        <v> </v>
      </c>
      <c r="E4962" s="11" t="str">
        <f t="shared" si="2"/>
        <v> </v>
      </c>
    </row>
    <row r="4963" ht="15.75" customHeight="1">
      <c r="A4963" s="11">
        <v>16780.0</v>
      </c>
      <c r="B4963" s="11" t="s">
        <v>4951</v>
      </c>
      <c r="C4963" s="12">
        <v>34780.0</v>
      </c>
      <c r="D4963" s="11" t="str">
        <f t="shared" si="1"/>
        <v> </v>
      </c>
      <c r="E4963" s="11" t="str">
        <f t="shared" si="2"/>
        <v> </v>
      </c>
    </row>
    <row r="4964" ht="15.75" customHeight="1">
      <c r="A4964" s="11">
        <v>16782.0</v>
      </c>
      <c r="B4964" s="11" t="s">
        <v>4952</v>
      </c>
      <c r="C4964" s="12">
        <v>19179.0</v>
      </c>
      <c r="D4964" s="11" t="str">
        <f t="shared" si="1"/>
        <v> </v>
      </c>
      <c r="E4964" s="11" t="str">
        <f t="shared" si="2"/>
        <v> </v>
      </c>
    </row>
    <row r="4965" ht="15.75" customHeight="1">
      <c r="A4965" s="11">
        <v>16783.0</v>
      </c>
      <c r="B4965" s="11" t="s">
        <v>4953</v>
      </c>
      <c r="C4965" s="12">
        <v>27272.0</v>
      </c>
      <c r="D4965" s="11" t="str">
        <f t="shared" si="1"/>
        <v> </v>
      </c>
      <c r="E4965" s="11" t="str">
        <f t="shared" si="2"/>
        <v> </v>
      </c>
    </row>
    <row r="4966" ht="15.75" customHeight="1">
      <c r="A4966" s="11">
        <v>16785.0</v>
      </c>
      <c r="B4966" s="11" t="s">
        <v>4954</v>
      </c>
      <c r="C4966" s="12">
        <v>22221.0</v>
      </c>
      <c r="D4966" s="11" t="str">
        <f t="shared" si="1"/>
        <v> </v>
      </c>
      <c r="E4966" s="11" t="str">
        <f t="shared" si="2"/>
        <v> </v>
      </c>
    </row>
    <row r="4967" ht="15.75" customHeight="1">
      <c r="A4967" s="11">
        <v>16786.0</v>
      </c>
      <c r="B4967" s="11" t="s">
        <v>4955</v>
      </c>
      <c r="C4967" s="12">
        <v>19366.0</v>
      </c>
      <c r="D4967" s="11" t="str">
        <f t="shared" si="1"/>
        <v> </v>
      </c>
      <c r="E4967" s="11" t="str">
        <f t="shared" si="2"/>
        <v> </v>
      </c>
    </row>
    <row r="4968" ht="15.75" customHeight="1">
      <c r="A4968" s="11">
        <v>16788.0</v>
      </c>
      <c r="B4968" s="11" t="s">
        <v>4956</v>
      </c>
      <c r="C4968" s="12">
        <v>18684.0</v>
      </c>
      <c r="D4968" s="11" t="str">
        <f t="shared" si="1"/>
        <v> </v>
      </c>
      <c r="E4968" s="11" t="str">
        <f t="shared" si="2"/>
        <v> </v>
      </c>
    </row>
    <row r="4969" ht="15.75" customHeight="1">
      <c r="A4969" s="11">
        <v>16789.0</v>
      </c>
      <c r="B4969" s="11" t="s">
        <v>4957</v>
      </c>
      <c r="C4969" s="12">
        <v>21424.0</v>
      </c>
      <c r="D4969" s="11" t="str">
        <f t="shared" si="1"/>
        <v> </v>
      </c>
      <c r="E4969" s="11" t="str">
        <f t="shared" si="2"/>
        <v> </v>
      </c>
    </row>
    <row r="4970" ht="15.75" customHeight="1">
      <c r="A4970" s="11">
        <v>16790.0</v>
      </c>
      <c r="B4970" s="11" t="s">
        <v>4958</v>
      </c>
      <c r="C4970" s="12">
        <v>27641.0</v>
      </c>
      <c r="D4970" s="11" t="str">
        <f t="shared" si="1"/>
        <v> </v>
      </c>
      <c r="E4970" s="11" t="str">
        <f t="shared" si="2"/>
        <v> </v>
      </c>
    </row>
    <row r="4971" ht="15.75" customHeight="1">
      <c r="A4971" s="11">
        <v>16791.0</v>
      </c>
      <c r="B4971" s="11" t="s">
        <v>4959</v>
      </c>
      <c r="C4971" s="12">
        <v>14348.0</v>
      </c>
      <c r="D4971" s="11" t="str">
        <f t="shared" si="1"/>
        <v> </v>
      </c>
      <c r="E4971" s="11" t="str">
        <f t="shared" si="2"/>
        <v> </v>
      </c>
    </row>
    <row r="4972" ht="15.75" customHeight="1">
      <c r="A4972" s="11">
        <v>16792.0</v>
      </c>
      <c r="B4972" s="11" t="s">
        <v>4960</v>
      </c>
      <c r="C4972" s="12">
        <v>13375.0</v>
      </c>
      <c r="D4972" s="11" t="str">
        <f t="shared" si="1"/>
        <v> </v>
      </c>
      <c r="E4972" s="11" t="str">
        <f t="shared" si="2"/>
        <v> </v>
      </c>
    </row>
    <row r="4973" ht="15.75" customHeight="1">
      <c r="A4973" s="11">
        <v>16793.0</v>
      </c>
      <c r="B4973" s="11" t="s">
        <v>4961</v>
      </c>
      <c r="C4973" s="12">
        <v>21247.0</v>
      </c>
      <c r="D4973" s="11" t="str">
        <f t="shared" si="1"/>
        <v> </v>
      </c>
      <c r="E4973" s="11" t="str">
        <f t="shared" si="2"/>
        <v> </v>
      </c>
    </row>
    <row r="4974" ht="15.75" customHeight="1">
      <c r="A4974" s="11">
        <v>16794.0</v>
      </c>
      <c r="B4974" s="11" t="s">
        <v>4962</v>
      </c>
      <c r="C4974" s="12">
        <v>18089.0</v>
      </c>
      <c r="D4974" s="11" t="str">
        <f t="shared" si="1"/>
        <v> </v>
      </c>
      <c r="E4974" s="11" t="str">
        <f t="shared" si="2"/>
        <v> </v>
      </c>
    </row>
    <row r="4975" ht="15.75" customHeight="1">
      <c r="A4975" s="11">
        <v>16795.0</v>
      </c>
      <c r="B4975" s="11" t="s">
        <v>4963</v>
      </c>
      <c r="C4975" s="12">
        <v>18695.0</v>
      </c>
      <c r="D4975" s="11" t="str">
        <f t="shared" si="1"/>
        <v> </v>
      </c>
      <c r="E4975" s="11" t="str">
        <f t="shared" si="2"/>
        <v> </v>
      </c>
    </row>
    <row r="4976" ht="15.75" customHeight="1">
      <c r="A4976" s="11">
        <v>16796.0</v>
      </c>
      <c r="B4976" s="11" t="s">
        <v>4964</v>
      </c>
      <c r="C4976" s="12">
        <v>12606.0</v>
      </c>
      <c r="D4976" s="11" t="str">
        <f t="shared" si="1"/>
        <v> </v>
      </c>
      <c r="E4976" s="11" t="str">
        <f t="shared" si="2"/>
        <v> </v>
      </c>
    </row>
    <row r="4977" ht="15.75" customHeight="1">
      <c r="A4977" s="11">
        <v>16797.0</v>
      </c>
      <c r="B4977" s="11" t="s">
        <v>4965</v>
      </c>
      <c r="C4977" s="12">
        <v>26237.0</v>
      </c>
      <c r="D4977" s="11" t="str">
        <f t="shared" si="1"/>
        <v> </v>
      </c>
      <c r="E4977" s="11" t="str">
        <f t="shared" si="2"/>
        <v> </v>
      </c>
    </row>
    <row r="4978" ht="15.75" customHeight="1">
      <c r="A4978" s="11">
        <v>16798.0</v>
      </c>
      <c r="B4978" s="11" t="s">
        <v>4966</v>
      </c>
      <c r="C4978" s="12">
        <v>19395.0</v>
      </c>
      <c r="D4978" s="11" t="str">
        <f t="shared" si="1"/>
        <v> </v>
      </c>
      <c r="E4978" s="11" t="str">
        <f t="shared" si="2"/>
        <v> </v>
      </c>
    </row>
    <row r="4979" ht="15.75" customHeight="1">
      <c r="A4979" s="11">
        <v>16799.0</v>
      </c>
      <c r="B4979" s="11" t="s">
        <v>4967</v>
      </c>
      <c r="C4979" s="12">
        <v>30903.0</v>
      </c>
      <c r="D4979" s="11" t="str">
        <f t="shared" si="1"/>
        <v> </v>
      </c>
      <c r="E4979" s="11" t="str">
        <f t="shared" si="2"/>
        <v> </v>
      </c>
    </row>
    <row r="4980" ht="15.75" customHeight="1">
      <c r="A4980" s="11">
        <v>16800.0</v>
      </c>
      <c r="B4980" s="11" t="s">
        <v>4968</v>
      </c>
      <c r="C4980" s="12">
        <v>15294.0</v>
      </c>
      <c r="D4980" s="11" t="str">
        <f t="shared" si="1"/>
        <v> </v>
      </c>
      <c r="E4980" s="11" t="str">
        <f t="shared" si="2"/>
        <v> </v>
      </c>
    </row>
    <row r="4981" ht="15.75" customHeight="1">
      <c r="A4981" s="11">
        <v>16801.0</v>
      </c>
      <c r="B4981" s="11" t="s">
        <v>4969</v>
      </c>
      <c r="C4981" s="12">
        <v>16955.0</v>
      </c>
      <c r="D4981" s="11" t="str">
        <f t="shared" si="1"/>
        <v> </v>
      </c>
      <c r="E4981" s="11" t="str">
        <f t="shared" si="2"/>
        <v> </v>
      </c>
    </row>
    <row r="4982" ht="15.75" customHeight="1">
      <c r="A4982" s="11">
        <v>16803.0</v>
      </c>
      <c r="B4982" s="11" t="s">
        <v>4970</v>
      </c>
      <c r="C4982" s="12">
        <v>13461.0</v>
      </c>
      <c r="D4982" s="11" t="str">
        <f t="shared" si="1"/>
        <v>Repeat</v>
      </c>
      <c r="E4982" s="11" t="str">
        <f t="shared" si="2"/>
        <v> </v>
      </c>
    </row>
    <row r="4983" ht="15.75" customHeight="1">
      <c r="A4983" s="11">
        <v>16804.0</v>
      </c>
      <c r="B4983" s="11" t="s">
        <v>4971</v>
      </c>
      <c r="C4983" s="12">
        <v>14781.0</v>
      </c>
      <c r="D4983" s="11" t="str">
        <f t="shared" si="1"/>
        <v> </v>
      </c>
      <c r="E4983" s="11" t="str">
        <f t="shared" si="2"/>
        <v> </v>
      </c>
    </row>
    <row r="4984" ht="15.75" customHeight="1">
      <c r="A4984" s="11">
        <v>16805.0</v>
      </c>
      <c r="B4984" s="11" t="s">
        <v>4972</v>
      </c>
      <c r="C4984" s="12">
        <v>18771.0</v>
      </c>
      <c r="D4984" s="11" t="str">
        <f t="shared" si="1"/>
        <v> </v>
      </c>
      <c r="E4984" s="11" t="str">
        <f t="shared" si="2"/>
        <v> </v>
      </c>
    </row>
    <row r="4985" ht="15.75" customHeight="1">
      <c r="A4985" s="11">
        <v>16806.0</v>
      </c>
      <c r="B4985" s="11" t="s">
        <v>4973</v>
      </c>
      <c r="C4985" s="12">
        <v>24302.0</v>
      </c>
      <c r="D4985" s="11" t="str">
        <f t="shared" si="1"/>
        <v> </v>
      </c>
      <c r="E4985" s="11" t="str">
        <f t="shared" si="2"/>
        <v> </v>
      </c>
    </row>
    <row r="4986" ht="15.75" customHeight="1">
      <c r="A4986" s="11">
        <v>16807.0</v>
      </c>
      <c r="B4986" s="11" t="s">
        <v>4974</v>
      </c>
      <c r="C4986" s="12">
        <v>13912.0</v>
      </c>
      <c r="D4986" s="11" t="str">
        <f t="shared" si="1"/>
        <v> </v>
      </c>
      <c r="E4986" s="11" t="str">
        <f t="shared" si="2"/>
        <v> </v>
      </c>
    </row>
    <row r="4987" ht="15.75" customHeight="1">
      <c r="A4987" s="11">
        <v>16808.0</v>
      </c>
      <c r="B4987" s="11" t="s">
        <v>4975</v>
      </c>
      <c r="C4987" s="12">
        <v>23943.0</v>
      </c>
      <c r="D4987" s="11" t="str">
        <f t="shared" si="1"/>
        <v> </v>
      </c>
      <c r="E4987" s="11" t="str">
        <f t="shared" si="2"/>
        <v> </v>
      </c>
    </row>
    <row r="4988" ht="15.75" customHeight="1">
      <c r="A4988" s="11">
        <v>16809.0</v>
      </c>
      <c r="B4988" s="11" t="s">
        <v>4976</v>
      </c>
      <c r="C4988" s="12">
        <v>14615.0</v>
      </c>
      <c r="D4988" s="11" t="str">
        <f t="shared" si="1"/>
        <v> </v>
      </c>
      <c r="E4988" s="11" t="str">
        <f t="shared" si="2"/>
        <v> </v>
      </c>
    </row>
    <row r="4989" ht="15.75" customHeight="1">
      <c r="A4989" s="11">
        <v>16810.0</v>
      </c>
      <c r="B4989" s="11" t="s">
        <v>4977</v>
      </c>
      <c r="C4989" s="12">
        <v>27556.0</v>
      </c>
      <c r="D4989" s="11" t="str">
        <f t="shared" si="1"/>
        <v> </v>
      </c>
      <c r="E4989" s="11" t="str">
        <f t="shared" si="2"/>
        <v> </v>
      </c>
    </row>
    <row r="4990" ht="15.75" customHeight="1">
      <c r="A4990" s="11">
        <v>16811.0</v>
      </c>
      <c r="B4990" s="11" t="s">
        <v>4978</v>
      </c>
      <c r="C4990" s="12">
        <v>22145.0</v>
      </c>
      <c r="D4990" s="11" t="str">
        <f t="shared" si="1"/>
        <v> </v>
      </c>
      <c r="E4990" s="11" t="str">
        <f t="shared" si="2"/>
        <v> </v>
      </c>
    </row>
    <row r="4991" ht="15.75" customHeight="1">
      <c r="A4991" s="11">
        <v>16812.0</v>
      </c>
      <c r="B4991" s="11" t="s">
        <v>4979</v>
      </c>
      <c r="C4991" s="12">
        <v>29782.0</v>
      </c>
      <c r="D4991" s="11" t="str">
        <f t="shared" si="1"/>
        <v> </v>
      </c>
      <c r="E4991" s="11" t="str">
        <f t="shared" si="2"/>
        <v> </v>
      </c>
    </row>
    <row r="4992" ht="15.75" customHeight="1">
      <c r="A4992" s="11">
        <v>16813.0</v>
      </c>
      <c r="B4992" s="11" t="s">
        <v>4980</v>
      </c>
      <c r="C4992" s="12">
        <v>19496.0</v>
      </c>
      <c r="D4992" s="11" t="str">
        <f t="shared" si="1"/>
        <v> </v>
      </c>
      <c r="E4992" s="11" t="str">
        <f t="shared" si="2"/>
        <v> </v>
      </c>
    </row>
    <row r="4993" ht="15.75" customHeight="1">
      <c r="A4993" s="11">
        <v>16815.0</v>
      </c>
      <c r="B4993" s="11" t="s">
        <v>4981</v>
      </c>
      <c r="C4993" s="12">
        <v>23011.0</v>
      </c>
      <c r="D4993" s="11" t="str">
        <f t="shared" si="1"/>
        <v> </v>
      </c>
      <c r="E4993" s="11" t="str">
        <f t="shared" si="2"/>
        <v> </v>
      </c>
    </row>
    <row r="4994" ht="15.75" customHeight="1">
      <c r="A4994" s="11">
        <v>16816.0</v>
      </c>
      <c r="B4994" s="11" t="s">
        <v>4982</v>
      </c>
      <c r="C4994" s="12">
        <v>14299.0</v>
      </c>
      <c r="D4994" s="11" t="str">
        <f t="shared" si="1"/>
        <v> </v>
      </c>
      <c r="E4994" s="11" t="str">
        <f t="shared" si="2"/>
        <v> </v>
      </c>
    </row>
    <row r="4995" ht="15.75" customHeight="1">
      <c r="A4995" s="11">
        <v>16818.0</v>
      </c>
      <c r="B4995" s="11" t="s">
        <v>4983</v>
      </c>
      <c r="C4995" s="12">
        <v>19668.0</v>
      </c>
      <c r="D4995" s="11" t="str">
        <f t="shared" si="1"/>
        <v> </v>
      </c>
      <c r="E4995" s="11" t="str">
        <f t="shared" si="2"/>
        <v> </v>
      </c>
    </row>
    <row r="4996" ht="15.75" customHeight="1">
      <c r="A4996" s="11">
        <v>16820.0</v>
      </c>
      <c r="B4996" s="11" t="s">
        <v>4984</v>
      </c>
      <c r="C4996" s="12">
        <v>22084.0</v>
      </c>
      <c r="D4996" s="11" t="str">
        <f t="shared" si="1"/>
        <v> </v>
      </c>
      <c r="E4996" s="11" t="str">
        <f t="shared" si="2"/>
        <v> </v>
      </c>
    </row>
    <row r="4997" ht="15.75" customHeight="1">
      <c r="A4997" s="11">
        <v>16821.0</v>
      </c>
      <c r="B4997" s="11" t="s">
        <v>4985</v>
      </c>
      <c r="C4997" s="12">
        <v>11699.0</v>
      </c>
      <c r="D4997" s="11" t="str">
        <f t="shared" si="1"/>
        <v> </v>
      </c>
      <c r="E4997" s="11" t="str">
        <f t="shared" si="2"/>
        <v> </v>
      </c>
    </row>
    <row r="4998" ht="15.75" customHeight="1">
      <c r="A4998" s="11">
        <v>16822.0</v>
      </c>
      <c r="B4998" s="11" t="s">
        <v>4986</v>
      </c>
      <c r="C4998" s="12">
        <v>27282.0</v>
      </c>
      <c r="D4998" s="11" t="str">
        <f t="shared" si="1"/>
        <v> </v>
      </c>
      <c r="E4998" s="11" t="str">
        <f t="shared" si="2"/>
        <v> </v>
      </c>
    </row>
    <row r="4999" ht="15.75" customHeight="1">
      <c r="A4999" s="11">
        <v>16823.0</v>
      </c>
      <c r="B4999" s="11" t="s">
        <v>4987</v>
      </c>
      <c r="C4999" s="12">
        <v>30531.0</v>
      </c>
      <c r="D4999" s="11" t="str">
        <f t="shared" si="1"/>
        <v> </v>
      </c>
      <c r="E4999" s="11" t="str">
        <f t="shared" si="2"/>
        <v> </v>
      </c>
    </row>
    <row r="5000" ht="15.75" customHeight="1">
      <c r="A5000" s="11">
        <v>16826.0</v>
      </c>
      <c r="B5000" s="11" t="s">
        <v>4988</v>
      </c>
      <c r="C5000" s="12">
        <v>13221.0</v>
      </c>
      <c r="D5000" s="11" t="str">
        <f t="shared" si="1"/>
        <v> </v>
      </c>
      <c r="E5000" s="11" t="str">
        <f t="shared" si="2"/>
        <v> </v>
      </c>
    </row>
    <row r="5001" ht="15.75" customHeight="1">
      <c r="A5001" s="11">
        <v>16827.0</v>
      </c>
      <c r="B5001" s="11" t="s">
        <v>4989</v>
      </c>
      <c r="C5001" s="12">
        <v>25937.0</v>
      </c>
      <c r="D5001" s="11" t="str">
        <f t="shared" si="1"/>
        <v> </v>
      </c>
      <c r="E5001" s="11" t="str">
        <f t="shared" si="2"/>
        <v> </v>
      </c>
    </row>
    <row r="5002" ht="15.75" customHeight="1">
      <c r="A5002" s="11">
        <v>16829.0</v>
      </c>
      <c r="B5002" s="11" t="s">
        <v>4990</v>
      </c>
      <c r="C5002" s="12">
        <v>25909.0</v>
      </c>
      <c r="D5002" s="11" t="str">
        <f t="shared" si="1"/>
        <v> </v>
      </c>
      <c r="E5002" s="11" t="str">
        <f t="shared" si="2"/>
        <v> </v>
      </c>
    </row>
    <row r="5003" ht="15.75" customHeight="1">
      <c r="A5003" s="11">
        <v>16830.0</v>
      </c>
      <c r="B5003" s="11" t="s">
        <v>4991</v>
      </c>
      <c r="C5003" s="12">
        <v>30164.0</v>
      </c>
      <c r="D5003" s="11" t="str">
        <f t="shared" si="1"/>
        <v> </v>
      </c>
      <c r="E5003" s="11" t="str">
        <f t="shared" si="2"/>
        <v> </v>
      </c>
    </row>
    <row r="5004" ht="15.75" customHeight="1">
      <c r="A5004" s="11">
        <v>16831.0</v>
      </c>
      <c r="B5004" s="11" t="s">
        <v>4992</v>
      </c>
      <c r="C5004" s="12">
        <v>28136.0</v>
      </c>
      <c r="D5004" s="11" t="str">
        <f t="shared" si="1"/>
        <v> </v>
      </c>
      <c r="E5004" s="11" t="str">
        <f t="shared" si="2"/>
        <v> </v>
      </c>
    </row>
    <row r="5005" ht="15.75" customHeight="1">
      <c r="A5005" s="11">
        <v>16832.0</v>
      </c>
      <c r="B5005" s="11" t="s">
        <v>4993</v>
      </c>
      <c r="C5005" s="12">
        <v>25336.0</v>
      </c>
      <c r="D5005" s="11" t="str">
        <f t="shared" si="1"/>
        <v> </v>
      </c>
      <c r="E5005" s="11" t="str">
        <f t="shared" si="2"/>
        <v>Repeat</v>
      </c>
    </row>
    <row r="5006" ht="15.75" customHeight="1">
      <c r="A5006" s="11">
        <v>16833.0</v>
      </c>
      <c r="B5006" s="11" t="s">
        <v>4994</v>
      </c>
      <c r="C5006" s="12">
        <v>17920.0</v>
      </c>
      <c r="D5006" s="11" t="str">
        <f t="shared" si="1"/>
        <v> </v>
      </c>
      <c r="E5006" s="11" t="str">
        <f t="shared" si="2"/>
        <v> </v>
      </c>
    </row>
    <row r="5007" ht="15.75" customHeight="1">
      <c r="A5007" s="11">
        <v>16834.0</v>
      </c>
      <c r="B5007" s="11" t="s">
        <v>4995</v>
      </c>
      <c r="C5007" s="12">
        <v>19637.0</v>
      </c>
      <c r="D5007" s="11" t="str">
        <f t="shared" si="1"/>
        <v> </v>
      </c>
      <c r="E5007" s="11" t="str">
        <f t="shared" si="2"/>
        <v> </v>
      </c>
    </row>
    <row r="5008" ht="15.75" customHeight="1">
      <c r="A5008" s="11">
        <v>16835.0</v>
      </c>
      <c r="B5008" s="11" t="s">
        <v>4996</v>
      </c>
      <c r="C5008" s="12">
        <v>24826.0</v>
      </c>
      <c r="D5008" s="11" t="str">
        <f t="shared" si="1"/>
        <v> </v>
      </c>
      <c r="E5008" s="11" t="str">
        <f t="shared" si="2"/>
        <v> </v>
      </c>
    </row>
    <row r="5009" ht="15.75" customHeight="1">
      <c r="A5009" s="11">
        <v>16735.0</v>
      </c>
      <c r="B5009" s="11" t="s">
        <v>4997</v>
      </c>
      <c r="C5009" s="12">
        <v>26892.0</v>
      </c>
      <c r="D5009" s="11" t="str">
        <f t="shared" si="1"/>
        <v> </v>
      </c>
      <c r="E5009" s="11" t="str">
        <f t="shared" si="2"/>
        <v> </v>
      </c>
    </row>
    <row r="5010" ht="15.75" customHeight="1">
      <c r="A5010" s="11">
        <v>16839.0</v>
      </c>
      <c r="B5010" s="11" t="s">
        <v>4998</v>
      </c>
      <c r="C5010" s="12">
        <v>32140.0</v>
      </c>
      <c r="D5010" s="11" t="str">
        <f t="shared" si="1"/>
        <v> </v>
      </c>
      <c r="E5010" s="11" t="str">
        <f t="shared" si="2"/>
        <v> </v>
      </c>
    </row>
    <row r="5011" ht="15.75" customHeight="1">
      <c r="A5011" s="11">
        <v>16840.0</v>
      </c>
      <c r="B5011" s="11" t="s">
        <v>4999</v>
      </c>
      <c r="C5011" s="12">
        <v>23491.0</v>
      </c>
      <c r="D5011" s="11" t="str">
        <f t="shared" si="1"/>
        <v> </v>
      </c>
      <c r="E5011" s="11" t="str">
        <f t="shared" si="2"/>
        <v>Repeat</v>
      </c>
    </row>
    <row r="5012" ht="15.75" customHeight="1">
      <c r="A5012" s="11">
        <v>16841.0</v>
      </c>
      <c r="B5012" s="11" t="s">
        <v>5000</v>
      </c>
      <c r="C5012" s="12">
        <v>14393.0</v>
      </c>
      <c r="D5012" s="11" t="str">
        <f t="shared" si="1"/>
        <v> </v>
      </c>
      <c r="E5012" s="11" t="str">
        <f t="shared" si="2"/>
        <v> </v>
      </c>
    </row>
    <row r="5013" ht="15.75" customHeight="1">
      <c r="A5013" s="11">
        <v>16486.0</v>
      </c>
      <c r="B5013" s="11" t="s">
        <v>5001</v>
      </c>
      <c r="C5013" s="12">
        <v>16220.0</v>
      </c>
      <c r="D5013" s="11" t="str">
        <f t="shared" si="1"/>
        <v> </v>
      </c>
      <c r="E5013" s="11" t="str">
        <f t="shared" si="2"/>
        <v> </v>
      </c>
    </row>
    <row r="5014" ht="15.75" customHeight="1">
      <c r="A5014" s="11">
        <v>16846.0</v>
      </c>
      <c r="B5014" s="11" t="s">
        <v>5002</v>
      </c>
      <c r="C5014" s="12">
        <v>23704.0</v>
      </c>
      <c r="D5014" s="11" t="str">
        <f t="shared" si="1"/>
        <v> </v>
      </c>
      <c r="E5014" s="11" t="str">
        <f t="shared" si="2"/>
        <v> </v>
      </c>
    </row>
    <row r="5015" ht="15.75" customHeight="1">
      <c r="A5015" s="11">
        <v>16848.0</v>
      </c>
      <c r="B5015" s="11" t="s">
        <v>5003</v>
      </c>
      <c r="C5015" s="12">
        <v>20597.0</v>
      </c>
      <c r="D5015" s="11" t="str">
        <f t="shared" si="1"/>
        <v> </v>
      </c>
      <c r="E5015" s="11" t="str">
        <f t="shared" si="2"/>
        <v> </v>
      </c>
    </row>
    <row r="5016" ht="15.75" customHeight="1">
      <c r="A5016" s="11">
        <v>16850.0</v>
      </c>
      <c r="B5016" s="11" t="s">
        <v>5004</v>
      </c>
      <c r="C5016" s="12">
        <v>19077.0</v>
      </c>
      <c r="D5016" s="11" t="str">
        <f t="shared" si="1"/>
        <v> </v>
      </c>
      <c r="E5016" s="11" t="str">
        <f t="shared" si="2"/>
        <v> </v>
      </c>
    </row>
    <row r="5017" ht="15.75" customHeight="1">
      <c r="A5017" s="11">
        <v>16851.0</v>
      </c>
      <c r="B5017" s="11" t="s">
        <v>5005</v>
      </c>
      <c r="C5017" s="12">
        <v>17272.0</v>
      </c>
      <c r="D5017" s="11" t="str">
        <f t="shared" si="1"/>
        <v> </v>
      </c>
      <c r="E5017" s="11" t="str">
        <f t="shared" si="2"/>
        <v> </v>
      </c>
    </row>
    <row r="5018" ht="15.75" customHeight="1">
      <c r="A5018" s="11">
        <v>16852.0</v>
      </c>
      <c r="B5018" s="11" t="s">
        <v>5006</v>
      </c>
      <c r="C5018" s="12">
        <v>34411.0</v>
      </c>
      <c r="D5018" s="11" t="str">
        <f t="shared" si="1"/>
        <v> </v>
      </c>
      <c r="E5018" s="11" t="str">
        <f t="shared" si="2"/>
        <v> </v>
      </c>
    </row>
    <row r="5019" ht="15.75" customHeight="1">
      <c r="A5019" s="11">
        <v>16854.0</v>
      </c>
      <c r="B5019" s="11" t="s">
        <v>5007</v>
      </c>
      <c r="C5019" s="12">
        <v>24522.0</v>
      </c>
      <c r="D5019" s="11" t="str">
        <f t="shared" si="1"/>
        <v> </v>
      </c>
      <c r="E5019" s="11" t="str">
        <f t="shared" si="2"/>
        <v> </v>
      </c>
    </row>
    <row r="5020" ht="15.75" customHeight="1">
      <c r="A5020" s="11">
        <v>16855.0</v>
      </c>
      <c r="B5020" s="11" t="s">
        <v>5008</v>
      </c>
      <c r="C5020" s="12">
        <v>23890.0</v>
      </c>
      <c r="D5020" s="11" t="str">
        <f t="shared" si="1"/>
        <v> </v>
      </c>
      <c r="E5020" s="11" t="str">
        <f t="shared" si="2"/>
        <v> </v>
      </c>
    </row>
    <row r="5021" ht="15.75" customHeight="1">
      <c r="A5021" s="11">
        <v>16857.0</v>
      </c>
      <c r="B5021" s="11" t="s">
        <v>5009</v>
      </c>
      <c r="C5021" s="12">
        <v>22690.0</v>
      </c>
      <c r="D5021" s="11" t="str">
        <f t="shared" si="1"/>
        <v> </v>
      </c>
      <c r="E5021" s="11" t="str">
        <f t="shared" si="2"/>
        <v> </v>
      </c>
    </row>
    <row r="5022" ht="15.75" customHeight="1">
      <c r="A5022" s="11">
        <v>16858.0</v>
      </c>
      <c r="B5022" s="11" t="s">
        <v>5010</v>
      </c>
      <c r="C5022" s="12">
        <v>19847.0</v>
      </c>
      <c r="D5022" s="11" t="str">
        <f t="shared" si="1"/>
        <v> </v>
      </c>
      <c r="E5022" s="11" t="str">
        <f t="shared" si="2"/>
        <v> </v>
      </c>
    </row>
    <row r="5023" ht="15.75" customHeight="1">
      <c r="A5023" s="11">
        <v>16859.0</v>
      </c>
      <c r="B5023" s="11" t="s">
        <v>5011</v>
      </c>
      <c r="C5023" s="12">
        <v>22276.0</v>
      </c>
      <c r="D5023" s="11" t="str">
        <f t="shared" si="1"/>
        <v> </v>
      </c>
      <c r="E5023" s="11" t="str">
        <f t="shared" si="2"/>
        <v> </v>
      </c>
    </row>
    <row r="5024" ht="15.75" customHeight="1">
      <c r="A5024" s="11">
        <v>16861.0</v>
      </c>
      <c r="B5024" s="11" t="s">
        <v>5012</v>
      </c>
      <c r="C5024" s="12">
        <v>24927.0</v>
      </c>
      <c r="D5024" s="11" t="str">
        <f t="shared" si="1"/>
        <v> </v>
      </c>
      <c r="E5024" s="11" t="str">
        <f t="shared" si="2"/>
        <v> </v>
      </c>
    </row>
    <row r="5025" ht="15.75" customHeight="1">
      <c r="A5025" s="11">
        <v>16863.0</v>
      </c>
      <c r="B5025" s="11" t="s">
        <v>5013</v>
      </c>
      <c r="C5025" s="12">
        <v>27112.0</v>
      </c>
      <c r="D5025" s="11" t="str">
        <f t="shared" si="1"/>
        <v>Repeat</v>
      </c>
      <c r="E5025" s="11" t="str">
        <f t="shared" si="2"/>
        <v>Repeat</v>
      </c>
    </row>
    <row r="5026" ht="15.75" customHeight="1">
      <c r="A5026" s="11">
        <v>16865.0</v>
      </c>
      <c r="B5026" s="11" t="s">
        <v>5014</v>
      </c>
      <c r="C5026" s="12">
        <v>21283.0</v>
      </c>
      <c r="D5026" s="11" t="str">
        <f t="shared" si="1"/>
        <v> </v>
      </c>
      <c r="E5026" s="11" t="str">
        <f t="shared" si="2"/>
        <v> </v>
      </c>
    </row>
    <row r="5027" ht="15.75" customHeight="1">
      <c r="A5027" s="11">
        <v>16866.0</v>
      </c>
      <c r="B5027" s="11" t="s">
        <v>358</v>
      </c>
      <c r="C5027" s="12">
        <v>9671.0</v>
      </c>
      <c r="D5027" s="11" t="str">
        <f t="shared" si="1"/>
        <v>Repeat</v>
      </c>
      <c r="E5027" s="11" t="str">
        <f t="shared" si="2"/>
        <v> </v>
      </c>
    </row>
    <row r="5028" ht="15.75" customHeight="1">
      <c r="A5028" s="11">
        <v>16867.0</v>
      </c>
      <c r="B5028" s="11" t="s">
        <v>5015</v>
      </c>
      <c r="C5028" s="12">
        <v>32056.0</v>
      </c>
      <c r="D5028" s="11" t="str">
        <f t="shared" si="1"/>
        <v> </v>
      </c>
      <c r="E5028" s="11" t="str">
        <f t="shared" si="2"/>
        <v> </v>
      </c>
    </row>
    <row r="5029" ht="15.75" customHeight="1">
      <c r="A5029" s="11">
        <v>16868.0</v>
      </c>
      <c r="B5029" s="11" t="s">
        <v>5016</v>
      </c>
      <c r="C5029" s="12">
        <v>19142.0</v>
      </c>
      <c r="D5029" s="11" t="str">
        <f t="shared" si="1"/>
        <v>Repeat</v>
      </c>
      <c r="E5029" s="11" t="str">
        <f t="shared" si="2"/>
        <v> </v>
      </c>
    </row>
    <row r="5030" ht="15.75" customHeight="1">
      <c r="A5030" s="11">
        <v>16869.0</v>
      </c>
      <c r="B5030" s="11" t="s">
        <v>5017</v>
      </c>
      <c r="C5030" s="12">
        <v>22884.0</v>
      </c>
      <c r="D5030" s="11" t="str">
        <f t="shared" si="1"/>
        <v> </v>
      </c>
      <c r="E5030" s="11" t="str">
        <f t="shared" si="2"/>
        <v> </v>
      </c>
    </row>
    <row r="5031" ht="15.75" customHeight="1">
      <c r="A5031" s="11">
        <v>16870.0</v>
      </c>
      <c r="B5031" s="11" t="s">
        <v>5018</v>
      </c>
      <c r="C5031" s="12">
        <v>30787.0</v>
      </c>
      <c r="D5031" s="11" t="str">
        <f t="shared" si="1"/>
        <v> </v>
      </c>
      <c r="E5031" s="11" t="str">
        <f t="shared" si="2"/>
        <v> </v>
      </c>
    </row>
    <row r="5032" ht="15.75" customHeight="1">
      <c r="A5032" s="11">
        <v>16871.0</v>
      </c>
      <c r="B5032" s="11" t="s">
        <v>5019</v>
      </c>
      <c r="C5032" s="12">
        <v>19460.0</v>
      </c>
      <c r="D5032" s="11" t="str">
        <f t="shared" si="1"/>
        <v> </v>
      </c>
      <c r="E5032" s="11" t="str">
        <f t="shared" si="2"/>
        <v>Repeat</v>
      </c>
    </row>
    <row r="5033" ht="15.75" customHeight="1">
      <c r="A5033" s="11">
        <v>16873.0</v>
      </c>
      <c r="B5033" s="11" t="s">
        <v>5020</v>
      </c>
      <c r="C5033" s="12">
        <v>25643.0</v>
      </c>
      <c r="D5033" s="11" t="str">
        <f t="shared" si="1"/>
        <v> </v>
      </c>
      <c r="E5033" s="11" t="str">
        <f t="shared" si="2"/>
        <v> </v>
      </c>
    </row>
    <row r="5034" ht="15.75" customHeight="1">
      <c r="A5034" s="11">
        <v>16874.0</v>
      </c>
      <c r="B5034" s="11" t="s">
        <v>5021</v>
      </c>
      <c r="C5034" s="12">
        <v>12975.0</v>
      </c>
      <c r="D5034" s="11" t="str">
        <f t="shared" si="1"/>
        <v> </v>
      </c>
      <c r="E5034" s="11" t="str">
        <f t="shared" si="2"/>
        <v> </v>
      </c>
    </row>
    <row r="5035" ht="15.75" customHeight="1">
      <c r="A5035" s="11">
        <v>16875.0</v>
      </c>
      <c r="B5035" s="11" t="s">
        <v>5022</v>
      </c>
      <c r="C5035" s="12">
        <v>19869.0</v>
      </c>
      <c r="D5035" s="11" t="str">
        <f t="shared" si="1"/>
        <v> </v>
      </c>
      <c r="E5035" s="11" t="str">
        <f t="shared" si="2"/>
        <v> </v>
      </c>
    </row>
    <row r="5036" ht="15.75" customHeight="1">
      <c r="A5036" s="11">
        <v>16877.0</v>
      </c>
      <c r="B5036" s="11" t="s">
        <v>5023</v>
      </c>
      <c r="C5036" s="12">
        <v>14780.0</v>
      </c>
      <c r="D5036" s="11" t="str">
        <f t="shared" si="1"/>
        <v> </v>
      </c>
      <c r="E5036" s="11" t="str">
        <f t="shared" si="2"/>
        <v> </v>
      </c>
    </row>
    <row r="5037" ht="15.75" customHeight="1">
      <c r="A5037" s="11">
        <v>16878.0</v>
      </c>
      <c r="B5037" s="11" t="s">
        <v>5024</v>
      </c>
      <c r="C5037" s="12">
        <v>19002.0</v>
      </c>
      <c r="D5037" s="11" t="str">
        <f t="shared" si="1"/>
        <v> </v>
      </c>
      <c r="E5037" s="11" t="str">
        <f t="shared" si="2"/>
        <v> </v>
      </c>
    </row>
    <row r="5038" ht="15.75" customHeight="1">
      <c r="A5038" s="11">
        <v>16879.0</v>
      </c>
      <c r="B5038" s="11" t="s">
        <v>5025</v>
      </c>
      <c r="C5038" s="12">
        <v>17894.0</v>
      </c>
      <c r="D5038" s="11" t="str">
        <f t="shared" si="1"/>
        <v> </v>
      </c>
      <c r="E5038" s="11" t="str">
        <f t="shared" si="2"/>
        <v> </v>
      </c>
    </row>
    <row r="5039" ht="15.75" customHeight="1">
      <c r="A5039" s="11">
        <v>16880.0</v>
      </c>
      <c r="B5039" s="11" t="s">
        <v>5026</v>
      </c>
      <c r="C5039" s="12">
        <v>30693.0</v>
      </c>
      <c r="D5039" s="11" t="str">
        <f t="shared" si="1"/>
        <v> </v>
      </c>
      <c r="E5039" s="11" t="str">
        <f t="shared" si="2"/>
        <v> </v>
      </c>
    </row>
    <row r="5040" ht="15.75" customHeight="1">
      <c r="A5040" s="11">
        <v>16881.0</v>
      </c>
      <c r="B5040" s="11" t="s">
        <v>5027</v>
      </c>
      <c r="C5040" s="12">
        <v>17138.0</v>
      </c>
      <c r="D5040" s="11" t="str">
        <f t="shared" si="1"/>
        <v> </v>
      </c>
      <c r="E5040" s="11" t="str">
        <f t="shared" si="2"/>
        <v> </v>
      </c>
    </row>
    <row r="5041" ht="15.75" customHeight="1">
      <c r="A5041" s="11">
        <v>16882.0</v>
      </c>
      <c r="B5041" s="11" t="s">
        <v>5028</v>
      </c>
      <c r="C5041" s="12">
        <v>25355.0</v>
      </c>
      <c r="D5041" s="11" t="str">
        <f t="shared" si="1"/>
        <v> </v>
      </c>
      <c r="E5041" s="11" t="str">
        <f t="shared" si="2"/>
        <v> </v>
      </c>
    </row>
    <row r="5042" ht="15.75" customHeight="1">
      <c r="A5042" s="11">
        <v>16883.0</v>
      </c>
      <c r="B5042" s="11" t="s">
        <v>5029</v>
      </c>
      <c r="C5042" s="12">
        <v>20142.0</v>
      </c>
      <c r="D5042" s="11" t="str">
        <f t="shared" si="1"/>
        <v> </v>
      </c>
      <c r="E5042" s="11" t="str">
        <f t="shared" si="2"/>
        <v> </v>
      </c>
    </row>
    <row r="5043" ht="15.75" customHeight="1">
      <c r="A5043" s="11">
        <v>16885.0</v>
      </c>
      <c r="B5043" s="11" t="s">
        <v>5030</v>
      </c>
      <c r="C5043" s="12">
        <v>10605.0</v>
      </c>
      <c r="D5043" s="11" t="str">
        <f t="shared" si="1"/>
        <v> </v>
      </c>
      <c r="E5043" s="11" t="str">
        <f t="shared" si="2"/>
        <v> </v>
      </c>
    </row>
    <row r="5044" ht="15.75" customHeight="1">
      <c r="A5044" s="11">
        <v>16886.0</v>
      </c>
      <c r="B5044" s="11" t="s">
        <v>5031</v>
      </c>
      <c r="C5044" s="12">
        <v>30826.0</v>
      </c>
      <c r="D5044" s="11" t="str">
        <f t="shared" si="1"/>
        <v> </v>
      </c>
      <c r="E5044" s="11" t="str">
        <f t="shared" si="2"/>
        <v> </v>
      </c>
    </row>
    <row r="5045" ht="15.75" customHeight="1">
      <c r="A5045" s="11">
        <v>16887.0</v>
      </c>
      <c r="B5045" s="11" t="s">
        <v>5032</v>
      </c>
      <c r="C5045" s="12">
        <v>27615.0</v>
      </c>
      <c r="D5045" s="11" t="str">
        <f t="shared" si="1"/>
        <v> </v>
      </c>
      <c r="E5045" s="11" t="str">
        <f t="shared" si="2"/>
        <v> </v>
      </c>
    </row>
    <row r="5046" ht="15.75" customHeight="1">
      <c r="A5046" s="11">
        <v>16888.0</v>
      </c>
      <c r="B5046" s="11" t="s">
        <v>5033</v>
      </c>
      <c r="C5046" s="12">
        <v>12015.0</v>
      </c>
      <c r="D5046" s="11" t="str">
        <f t="shared" si="1"/>
        <v> </v>
      </c>
      <c r="E5046" s="11" t="str">
        <f t="shared" si="2"/>
        <v> </v>
      </c>
    </row>
    <row r="5047" ht="15.75" customHeight="1">
      <c r="A5047" s="11">
        <v>16889.0</v>
      </c>
      <c r="B5047" s="11" t="s">
        <v>5034</v>
      </c>
      <c r="C5047" s="12">
        <v>21807.0</v>
      </c>
      <c r="D5047" s="11" t="str">
        <f t="shared" si="1"/>
        <v> </v>
      </c>
      <c r="E5047" s="11" t="str">
        <f t="shared" si="2"/>
        <v> </v>
      </c>
    </row>
    <row r="5048" ht="15.75" customHeight="1">
      <c r="A5048" s="11">
        <v>16890.0</v>
      </c>
      <c r="B5048" s="11" t="s">
        <v>5035</v>
      </c>
      <c r="C5048" s="12">
        <v>20319.0</v>
      </c>
      <c r="D5048" s="11" t="str">
        <f t="shared" si="1"/>
        <v> </v>
      </c>
      <c r="E5048" s="11" t="str">
        <f t="shared" si="2"/>
        <v> </v>
      </c>
    </row>
    <row r="5049" ht="15.75" customHeight="1">
      <c r="A5049" s="11">
        <v>16891.0</v>
      </c>
      <c r="B5049" s="11" t="s">
        <v>5036</v>
      </c>
      <c r="C5049" s="12">
        <v>20265.0</v>
      </c>
      <c r="D5049" s="11" t="str">
        <f t="shared" si="1"/>
        <v> </v>
      </c>
      <c r="E5049" s="11" t="str">
        <f t="shared" si="2"/>
        <v> </v>
      </c>
    </row>
    <row r="5050" ht="15.75" customHeight="1">
      <c r="A5050" s="11">
        <v>16892.0</v>
      </c>
      <c r="B5050" s="11" t="s">
        <v>5037</v>
      </c>
      <c r="C5050" s="12">
        <v>13852.0</v>
      </c>
      <c r="D5050" s="11" t="str">
        <f t="shared" si="1"/>
        <v> </v>
      </c>
      <c r="E5050" s="11" t="str">
        <f t="shared" si="2"/>
        <v> </v>
      </c>
    </row>
    <row r="5051" ht="15.75" customHeight="1">
      <c r="A5051" s="11">
        <v>16893.0</v>
      </c>
      <c r="B5051" s="11" t="s">
        <v>5038</v>
      </c>
      <c r="C5051" s="12">
        <v>21530.0</v>
      </c>
      <c r="D5051" s="11" t="str">
        <f t="shared" si="1"/>
        <v> </v>
      </c>
      <c r="E5051" s="11" t="str">
        <f t="shared" si="2"/>
        <v> </v>
      </c>
    </row>
    <row r="5052" ht="15.75" customHeight="1">
      <c r="A5052" s="11">
        <v>16894.0</v>
      </c>
      <c r="B5052" s="11" t="s">
        <v>5039</v>
      </c>
      <c r="C5052" s="12">
        <v>18479.0</v>
      </c>
      <c r="D5052" s="11" t="str">
        <f t="shared" si="1"/>
        <v> </v>
      </c>
      <c r="E5052" s="11" t="str">
        <f t="shared" si="2"/>
        <v> </v>
      </c>
    </row>
    <row r="5053" ht="15.75" customHeight="1">
      <c r="A5053" s="11">
        <v>16895.0</v>
      </c>
      <c r="B5053" s="11" t="s">
        <v>5040</v>
      </c>
      <c r="C5053" s="12">
        <v>31798.0</v>
      </c>
      <c r="D5053" s="11" t="str">
        <f t="shared" si="1"/>
        <v> </v>
      </c>
      <c r="E5053" s="11" t="str">
        <f t="shared" si="2"/>
        <v> </v>
      </c>
    </row>
    <row r="5054" ht="15.75" customHeight="1">
      <c r="A5054" s="11">
        <v>16896.0</v>
      </c>
      <c r="B5054" s="11" t="s">
        <v>5041</v>
      </c>
      <c r="C5054" s="12">
        <v>22688.0</v>
      </c>
      <c r="D5054" s="11" t="str">
        <f t="shared" si="1"/>
        <v> </v>
      </c>
      <c r="E5054" s="11" t="str">
        <f t="shared" si="2"/>
        <v> </v>
      </c>
    </row>
    <row r="5055" ht="15.75" customHeight="1">
      <c r="A5055" s="11">
        <v>16897.0</v>
      </c>
      <c r="B5055" s="11" t="s">
        <v>5042</v>
      </c>
      <c r="C5055" s="12">
        <v>14946.0</v>
      </c>
      <c r="D5055" s="11" t="str">
        <f t="shared" si="1"/>
        <v> </v>
      </c>
      <c r="E5055" s="11" t="str">
        <f t="shared" si="2"/>
        <v> </v>
      </c>
    </row>
    <row r="5056" ht="15.75" customHeight="1">
      <c r="A5056" s="11">
        <v>17312.0</v>
      </c>
      <c r="B5056" s="11" t="s">
        <v>5043</v>
      </c>
      <c r="C5056" s="12">
        <v>26135.0</v>
      </c>
      <c r="D5056" s="11" t="str">
        <f t="shared" si="1"/>
        <v> </v>
      </c>
      <c r="E5056" s="11" t="str">
        <f t="shared" si="2"/>
        <v> </v>
      </c>
    </row>
    <row r="5057" ht="15.75" customHeight="1">
      <c r="A5057" s="11">
        <v>16899.0</v>
      </c>
      <c r="B5057" s="11" t="s">
        <v>5044</v>
      </c>
      <c r="C5057" s="12">
        <v>35019.0</v>
      </c>
      <c r="D5057" s="11" t="str">
        <f t="shared" si="1"/>
        <v> </v>
      </c>
      <c r="E5057" s="11" t="str">
        <f t="shared" si="2"/>
        <v> </v>
      </c>
    </row>
    <row r="5058" ht="15.75" customHeight="1">
      <c r="A5058" s="11">
        <v>16900.0</v>
      </c>
      <c r="B5058" s="11" t="s">
        <v>5045</v>
      </c>
      <c r="C5058" s="12">
        <v>26415.0</v>
      </c>
      <c r="D5058" s="11" t="str">
        <f t="shared" si="1"/>
        <v> </v>
      </c>
      <c r="E5058" s="11" t="str">
        <f t="shared" si="2"/>
        <v> </v>
      </c>
    </row>
    <row r="5059" ht="15.75" customHeight="1">
      <c r="A5059" s="11">
        <v>16902.0</v>
      </c>
      <c r="B5059" s="11" t="s">
        <v>1309</v>
      </c>
      <c r="C5059" s="12">
        <v>15299.0</v>
      </c>
      <c r="D5059" s="11" t="str">
        <f t="shared" si="1"/>
        <v>Repeat</v>
      </c>
      <c r="E5059" s="11" t="str">
        <f t="shared" si="2"/>
        <v> </v>
      </c>
    </row>
    <row r="5060" ht="15.75" customHeight="1">
      <c r="A5060" s="11">
        <v>16903.0</v>
      </c>
      <c r="B5060" s="11" t="s">
        <v>5046</v>
      </c>
      <c r="C5060" s="12">
        <v>15127.0</v>
      </c>
      <c r="D5060" s="11" t="str">
        <f t="shared" si="1"/>
        <v> </v>
      </c>
      <c r="E5060" s="11" t="str">
        <f t="shared" si="2"/>
        <v> </v>
      </c>
    </row>
    <row r="5061" ht="15.75" customHeight="1">
      <c r="A5061" s="11">
        <v>16905.0</v>
      </c>
      <c r="B5061" s="11" t="s">
        <v>5047</v>
      </c>
      <c r="C5061" s="12">
        <v>19927.0</v>
      </c>
      <c r="D5061" s="11" t="str">
        <f t="shared" si="1"/>
        <v> </v>
      </c>
      <c r="E5061" s="11" t="str">
        <f t="shared" si="2"/>
        <v> </v>
      </c>
    </row>
    <row r="5062" ht="15.75" customHeight="1">
      <c r="A5062" s="11">
        <v>16906.0</v>
      </c>
      <c r="B5062" s="11" t="s">
        <v>5048</v>
      </c>
      <c r="C5062" s="12">
        <v>23086.0</v>
      </c>
      <c r="D5062" s="11" t="str">
        <f t="shared" si="1"/>
        <v> </v>
      </c>
      <c r="E5062" s="11" t="str">
        <f t="shared" si="2"/>
        <v> </v>
      </c>
    </row>
    <row r="5063" ht="15.75" customHeight="1">
      <c r="A5063" s="11">
        <v>16907.0</v>
      </c>
      <c r="B5063" s="11" t="s">
        <v>5049</v>
      </c>
      <c r="C5063" s="12">
        <v>28706.0</v>
      </c>
      <c r="D5063" s="11" t="str">
        <f t="shared" si="1"/>
        <v> </v>
      </c>
      <c r="E5063" s="11" t="str">
        <f t="shared" si="2"/>
        <v> </v>
      </c>
    </row>
    <row r="5064" ht="15.75" customHeight="1">
      <c r="A5064" s="11">
        <v>16908.0</v>
      </c>
      <c r="B5064" s="11" t="s">
        <v>5050</v>
      </c>
      <c r="C5064" s="12">
        <v>22870.0</v>
      </c>
      <c r="D5064" s="11" t="str">
        <f t="shared" si="1"/>
        <v> </v>
      </c>
      <c r="E5064" s="11" t="str">
        <f t="shared" si="2"/>
        <v> </v>
      </c>
    </row>
    <row r="5065" ht="15.75" customHeight="1">
      <c r="A5065" s="11">
        <v>16909.0</v>
      </c>
      <c r="B5065" s="11" t="s">
        <v>5051</v>
      </c>
      <c r="C5065" s="12">
        <v>25231.0</v>
      </c>
      <c r="D5065" s="11" t="str">
        <f t="shared" si="1"/>
        <v> </v>
      </c>
      <c r="E5065" s="11" t="str">
        <f t="shared" si="2"/>
        <v> </v>
      </c>
    </row>
    <row r="5066" ht="15.75" customHeight="1">
      <c r="A5066" s="11">
        <v>16910.0</v>
      </c>
      <c r="B5066" s="11" t="s">
        <v>5052</v>
      </c>
      <c r="C5066" s="12">
        <v>27897.0</v>
      </c>
      <c r="D5066" s="11" t="str">
        <f t="shared" si="1"/>
        <v> </v>
      </c>
      <c r="E5066" s="11" t="str">
        <f t="shared" si="2"/>
        <v> </v>
      </c>
    </row>
    <row r="5067" ht="15.75" customHeight="1">
      <c r="A5067" s="11">
        <v>16911.0</v>
      </c>
      <c r="B5067" s="11" t="s">
        <v>5053</v>
      </c>
      <c r="C5067" s="12">
        <v>19984.0</v>
      </c>
      <c r="D5067" s="11" t="str">
        <f t="shared" si="1"/>
        <v> </v>
      </c>
      <c r="E5067" s="11" t="str">
        <f t="shared" si="2"/>
        <v> </v>
      </c>
    </row>
    <row r="5068" ht="15.75" customHeight="1">
      <c r="A5068" s="11">
        <v>16913.0</v>
      </c>
      <c r="B5068" s="11" t="s">
        <v>5054</v>
      </c>
      <c r="C5068" s="12">
        <v>20603.0</v>
      </c>
      <c r="D5068" s="11" t="str">
        <f t="shared" si="1"/>
        <v> </v>
      </c>
      <c r="E5068" s="11" t="str">
        <f t="shared" si="2"/>
        <v> </v>
      </c>
    </row>
    <row r="5069" ht="15.75" customHeight="1">
      <c r="A5069" s="11">
        <v>16914.0</v>
      </c>
      <c r="B5069" s="11" t="s">
        <v>5055</v>
      </c>
      <c r="C5069" s="12">
        <v>22267.0</v>
      </c>
      <c r="D5069" s="11" t="str">
        <f t="shared" si="1"/>
        <v> </v>
      </c>
      <c r="E5069" s="11" t="str">
        <f t="shared" si="2"/>
        <v> </v>
      </c>
    </row>
    <row r="5070" ht="15.75" customHeight="1">
      <c r="A5070" s="11">
        <v>16916.0</v>
      </c>
      <c r="B5070" s="11" t="s">
        <v>5056</v>
      </c>
      <c r="C5070" s="12">
        <v>23500.0</v>
      </c>
      <c r="D5070" s="11" t="str">
        <f t="shared" si="1"/>
        <v> </v>
      </c>
      <c r="E5070" s="11" t="str">
        <f t="shared" si="2"/>
        <v> </v>
      </c>
    </row>
    <row r="5071" ht="15.75" customHeight="1">
      <c r="A5071" s="11">
        <v>16917.0</v>
      </c>
      <c r="B5071" s="11" t="s">
        <v>5057</v>
      </c>
      <c r="C5071" s="12">
        <v>26322.0</v>
      </c>
      <c r="D5071" s="11" t="str">
        <f t="shared" si="1"/>
        <v> </v>
      </c>
      <c r="E5071" s="11" t="str">
        <f t="shared" si="2"/>
        <v> </v>
      </c>
    </row>
    <row r="5072" ht="15.75" customHeight="1">
      <c r="A5072" s="11">
        <v>16918.0</v>
      </c>
      <c r="B5072" s="11" t="s">
        <v>5058</v>
      </c>
      <c r="C5072" s="12">
        <v>25750.0</v>
      </c>
      <c r="D5072" s="11" t="str">
        <f t="shared" si="1"/>
        <v> </v>
      </c>
      <c r="E5072" s="11" t="str">
        <f t="shared" si="2"/>
        <v> </v>
      </c>
    </row>
    <row r="5073" ht="15.75" customHeight="1">
      <c r="A5073" s="11">
        <v>16919.0</v>
      </c>
      <c r="B5073" s="11" t="s">
        <v>5059</v>
      </c>
      <c r="C5073" s="12">
        <v>34405.0</v>
      </c>
      <c r="D5073" s="11" t="str">
        <f t="shared" si="1"/>
        <v> </v>
      </c>
      <c r="E5073" s="11" t="str">
        <f t="shared" si="2"/>
        <v> </v>
      </c>
    </row>
    <row r="5074" ht="15.75" customHeight="1">
      <c r="A5074" s="11">
        <v>16920.0</v>
      </c>
      <c r="B5074" s="11" t="s">
        <v>5060</v>
      </c>
      <c r="C5074" s="12">
        <v>24682.0</v>
      </c>
      <c r="D5074" s="11" t="str">
        <f t="shared" si="1"/>
        <v> </v>
      </c>
      <c r="E5074" s="11" t="str">
        <f t="shared" si="2"/>
        <v> </v>
      </c>
    </row>
    <row r="5075" ht="15.75" customHeight="1">
      <c r="A5075" s="11">
        <v>16922.0</v>
      </c>
      <c r="B5075" s="11" t="s">
        <v>5061</v>
      </c>
      <c r="C5075" s="12">
        <v>25738.0</v>
      </c>
      <c r="D5075" s="11" t="str">
        <f t="shared" si="1"/>
        <v> </v>
      </c>
      <c r="E5075" s="11" t="str">
        <f t="shared" si="2"/>
        <v> </v>
      </c>
    </row>
    <row r="5076" ht="15.75" customHeight="1">
      <c r="A5076" s="11">
        <v>16923.0</v>
      </c>
      <c r="B5076" s="11" t="s">
        <v>5062</v>
      </c>
      <c r="C5076" s="12">
        <v>26764.0</v>
      </c>
      <c r="D5076" s="11" t="str">
        <f t="shared" si="1"/>
        <v> </v>
      </c>
      <c r="E5076" s="11" t="str">
        <f t="shared" si="2"/>
        <v> </v>
      </c>
    </row>
    <row r="5077" ht="15.75" customHeight="1">
      <c r="A5077" s="11">
        <v>16924.0</v>
      </c>
      <c r="B5077" s="11" t="s">
        <v>5063</v>
      </c>
      <c r="C5077" s="12">
        <v>11577.0</v>
      </c>
      <c r="D5077" s="11" t="str">
        <f t="shared" si="1"/>
        <v> </v>
      </c>
      <c r="E5077" s="11" t="str">
        <f t="shared" si="2"/>
        <v> </v>
      </c>
    </row>
    <row r="5078" ht="15.75" customHeight="1">
      <c r="A5078" s="11">
        <v>16927.0</v>
      </c>
      <c r="B5078" s="11" t="s">
        <v>5064</v>
      </c>
      <c r="C5078" s="12">
        <v>19924.0</v>
      </c>
      <c r="D5078" s="11" t="str">
        <f t="shared" si="1"/>
        <v> </v>
      </c>
      <c r="E5078" s="11" t="str">
        <f t="shared" si="2"/>
        <v> </v>
      </c>
    </row>
    <row r="5079" ht="15.75" customHeight="1">
      <c r="A5079" s="11">
        <v>16928.0</v>
      </c>
      <c r="B5079" s="11" t="s">
        <v>5065</v>
      </c>
      <c r="C5079" s="12">
        <v>20393.0</v>
      </c>
      <c r="D5079" s="11" t="str">
        <f t="shared" si="1"/>
        <v>Repeat</v>
      </c>
      <c r="E5079" s="11" t="str">
        <f t="shared" si="2"/>
        <v>Repeat</v>
      </c>
    </row>
    <row r="5080" ht="15.75" customHeight="1">
      <c r="A5080" s="11">
        <v>16929.0</v>
      </c>
      <c r="B5080" s="11" t="s">
        <v>228</v>
      </c>
      <c r="C5080" s="12">
        <v>22938.0</v>
      </c>
      <c r="D5080" s="11" t="str">
        <f t="shared" si="1"/>
        <v>Repeat</v>
      </c>
      <c r="E5080" s="11" t="str">
        <f t="shared" si="2"/>
        <v> </v>
      </c>
    </row>
    <row r="5081" ht="15.75" customHeight="1">
      <c r="A5081" s="11">
        <v>16930.0</v>
      </c>
      <c r="B5081" s="11" t="s">
        <v>5066</v>
      </c>
      <c r="C5081" s="12">
        <v>23559.0</v>
      </c>
      <c r="D5081" s="11" t="str">
        <f t="shared" si="1"/>
        <v> </v>
      </c>
      <c r="E5081" s="11" t="str">
        <f t="shared" si="2"/>
        <v> </v>
      </c>
    </row>
    <row r="5082" ht="15.75" customHeight="1">
      <c r="A5082" s="11">
        <v>16931.0</v>
      </c>
      <c r="B5082" s="11" t="s">
        <v>5067</v>
      </c>
      <c r="C5082" s="12">
        <v>26857.0</v>
      </c>
      <c r="D5082" s="11" t="str">
        <f t="shared" si="1"/>
        <v> </v>
      </c>
      <c r="E5082" s="11" t="str">
        <f t="shared" si="2"/>
        <v> </v>
      </c>
    </row>
    <row r="5083" ht="15.75" customHeight="1">
      <c r="A5083" s="11">
        <v>16932.0</v>
      </c>
      <c r="B5083" s="11" t="s">
        <v>5068</v>
      </c>
      <c r="C5083" s="12">
        <v>20388.0</v>
      </c>
      <c r="D5083" s="11" t="str">
        <f t="shared" si="1"/>
        <v> </v>
      </c>
      <c r="E5083" s="11" t="str">
        <f t="shared" si="2"/>
        <v> </v>
      </c>
    </row>
    <row r="5084" ht="15.75" customHeight="1">
      <c r="A5084" s="11">
        <v>16933.0</v>
      </c>
      <c r="B5084" s="11" t="s">
        <v>5069</v>
      </c>
      <c r="C5084" s="12">
        <v>12929.0</v>
      </c>
      <c r="D5084" s="11" t="str">
        <f t="shared" si="1"/>
        <v> </v>
      </c>
      <c r="E5084" s="11" t="str">
        <f t="shared" si="2"/>
        <v> </v>
      </c>
    </row>
    <row r="5085" ht="15.75" customHeight="1">
      <c r="A5085" s="11">
        <v>16934.0</v>
      </c>
      <c r="B5085" s="11" t="s">
        <v>5070</v>
      </c>
      <c r="C5085" s="12">
        <v>19702.0</v>
      </c>
      <c r="D5085" s="11" t="str">
        <f t="shared" si="1"/>
        <v> </v>
      </c>
      <c r="E5085" s="11" t="str">
        <f t="shared" si="2"/>
        <v> </v>
      </c>
    </row>
    <row r="5086" ht="15.75" customHeight="1">
      <c r="A5086" s="11">
        <v>16935.0</v>
      </c>
      <c r="B5086" s="11" t="s">
        <v>5071</v>
      </c>
      <c r="C5086" s="12">
        <v>25212.0</v>
      </c>
      <c r="D5086" s="11" t="str">
        <f t="shared" si="1"/>
        <v> </v>
      </c>
      <c r="E5086" s="11" t="str">
        <f t="shared" si="2"/>
        <v> </v>
      </c>
    </row>
    <row r="5087" ht="15.75" customHeight="1">
      <c r="A5087" s="11">
        <v>16936.0</v>
      </c>
      <c r="B5087" s="11" t="s">
        <v>5072</v>
      </c>
      <c r="C5087" s="12">
        <v>26117.0</v>
      </c>
      <c r="D5087" s="11" t="str">
        <f t="shared" si="1"/>
        <v> </v>
      </c>
      <c r="E5087" s="11" t="str">
        <f t="shared" si="2"/>
        <v> </v>
      </c>
    </row>
    <row r="5088" ht="15.75" customHeight="1">
      <c r="A5088" s="11">
        <v>16937.0</v>
      </c>
      <c r="B5088" s="11" t="s">
        <v>5073</v>
      </c>
      <c r="C5088" s="12">
        <v>22909.0</v>
      </c>
      <c r="D5088" s="11" t="str">
        <f t="shared" si="1"/>
        <v> </v>
      </c>
      <c r="E5088" s="11" t="str">
        <f t="shared" si="2"/>
        <v> </v>
      </c>
    </row>
    <row r="5089" ht="15.75" customHeight="1">
      <c r="A5089" s="11">
        <v>16938.0</v>
      </c>
      <c r="B5089" s="11" t="s">
        <v>5074</v>
      </c>
      <c r="C5089" s="12">
        <v>29159.0</v>
      </c>
      <c r="D5089" s="11" t="str">
        <f t="shared" si="1"/>
        <v> </v>
      </c>
      <c r="E5089" s="11" t="str">
        <f t="shared" si="2"/>
        <v> </v>
      </c>
    </row>
    <row r="5090" ht="15.75" customHeight="1">
      <c r="A5090" s="11">
        <v>16939.0</v>
      </c>
      <c r="B5090" s="11" t="s">
        <v>5075</v>
      </c>
      <c r="C5090" s="12">
        <v>15304.0</v>
      </c>
      <c r="D5090" s="11" t="str">
        <f t="shared" si="1"/>
        <v> </v>
      </c>
      <c r="E5090" s="11" t="str">
        <f t="shared" si="2"/>
        <v> </v>
      </c>
    </row>
    <row r="5091" ht="15.75" customHeight="1">
      <c r="A5091" s="11">
        <v>16941.0</v>
      </c>
      <c r="B5091" s="11" t="s">
        <v>5076</v>
      </c>
      <c r="C5091" s="12">
        <v>21789.0</v>
      </c>
      <c r="D5091" s="11" t="str">
        <f t="shared" si="1"/>
        <v> </v>
      </c>
      <c r="E5091" s="11" t="str">
        <f t="shared" si="2"/>
        <v> </v>
      </c>
    </row>
    <row r="5092" ht="15.75" customHeight="1">
      <c r="A5092" s="11">
        <v>16942.0</v>
      </c>
      <c r="B5092" s="11" t="s">
        <v>5077</v>
      </c>
      <c r="C5092" s="12">
        <v>21275.0</v>
      </c>
      <c r="D5092" s="11" t="str">
        <f t="shared" si="1"/>
        <v> </v>
      </c>
      <c r="E5092" s="11" t="str">
        <f t="shared" si="2"/>
        <v> </v>
      </c>
    </row>
    <row r="5093" ht="15.75" customHeight="1">
      <c r="A5093" s="11">
        <v>16943.0</v>
      </c>
      <c r="B5093" s="11" t="s">
        <v>5078</v>
      </c>
      <c r="C5093" s="12">
        <v>16364.0</v>
      </c>
      <c r="D5093" s="11" t="str">
        <f t="shared" si="1"/>
        <v> </v>
      </c>
      <c r="E5093" s="11" t="str">
        <f t="shared" si="2"/>
        <v> </v>
      </c>
    </row>
    <row r="5094" ht="15.75" customHeight="1">
      <c r="A5094" s="11">
        <v>16944.0</v>
      </c>
      <c r="B5094" s="11" t="s">
        <v>5079</v>
      </c>
      <c r="C5094" s="12">
        <v>18219.0</v>
      </c>
      <c r="D5094" s="11" t="str">
        <f t="shared" si="1"/>
        <v> </v>
      </c>
      <c r="E5094" s="11" t="str">
        <f t="shared" si="2"/>
        <v> </v>
      </c>
    </row>
    <row r="5095" ht="15.75" customHeight="1">
      <c r="A5095" s="11">
        <v>16945.0</v>
      </c>
      <c r="B5095" s="11" t="s">
        <v>5080</v>
      </c>
      <c r="C5095" s="12">
        <v>20148.0</v>
      </c>
      <c r="D5095" s="11" t="str">
        <f t="shared" si="1"/>
        <v> </v>
      </c>
      <c r="E5095" s="11" t="str">
        <f t="shared" si="2"/>
        <v> </v>
      </c>
    </row>
    <row r="5096" ht="15.75" customHeight="1">
      <c r="A5096" s="11">
        <v>16946.0</v>
      </c>
      <c r="B5096" s="11" t="s">
        <v>5081</v>
      </c>
      <c r="C5096" s="12">
        <v>31556.0</v>
      </c>
      <c r="D5096" s="11" t="str">
        <f t="shared" si="1"/>
        <v> </v>
      </c>
      <c r="E5096" s="11" t="str">
        <f t="shared" si="2"/>
        <v> </v>
      </c>
    </row>
    <row r="5097" ht="15.75" customHeight="1">
      <c r="A5097" s="11">
        <v>16947.0</v>
      </c>
      <c r="B5097" s="11" t="s">
        <v>5082</v>
      </c>
      <c r="C5097" s="12">
        <v>29404.0</v>
      </c>
      <c r="D5097" s="11" t="str">
        <f t="shared" si="1"/>
        <v> </v>
      </c>
      <c r="E5097" s="11" t="str">
        <f t="shared" si="2"/>
        <v> </v>
      </c>
    </row>
    <row r="5098" ht="15.75" customHeight="1">
      <c r="A5098" s="11">
        <v>16949.0</v>
      </c>
      <c r="B5098" s="11" t="s">
        <v>5083</v>
      </c>
      <c r="C5098" s="12">
        <v>23888.0</v>
      </c>
      <c r="D5098" s="11" t="str">
        <f t="shared" si="1"/>
        <v> </v>
      </c>
      <c r="E5098" s="11" t="str">
        <f t="shared" si="2"/>
        <v> </v>
      </c>
    </row>
    <row r="5099" ht="15.75" customHeight="1">
      <c r="A5099" s="11">
        <v>16950.0</v>
      </c>
      <c r="B5099" s="11" t="s">
        <v>5084</v>
      </c>
      <c r="C5099" s="12">
        <v>21534.0</v>
      </c>
      <c r="D5099" s="11" t="str">
        <f t="shared" si="1"/>
        <v> </v>
      </c>
      <c r="E5099" s="11" t="str">
        <f t="shared" si="2"/>
        <v> </v>
      </c>
    </row>
    <row r="5100" ht="15.75" customHeight="1">
      <c r="A5100" s="11">
        <v>16951.0</v>
      </c>
      <c r="B5100" s="11" t="s">
        <v>5085</v>
      </c>
      <c r="C5100" s="12">
        <v>30038.0</v>
      </c>
      <c r="D5100" s="11" t="str">
        <f t="shared" si="1"/>
        <v> </v>
      </c>
      <c r="E5100" s="11" t="str">
        <f t="shared" si="2"/>
        <v> </v>
      </c>
    </row>
    <row r="5101" ht="15.75" customHeight="1">
      <c r="A5101" s="11">
        <v>16952.0</v>
      </c>
      <c r="B5101" s="11" t="s">
        <v>5086</v>
      </c>
      <c r="C5101" s="12">
        <v>19025.0</v>
      </c>
      <c r="D5101" s="11" t="str">
        <f t="shared" si="1"/>
        <v> </v>
      </c>
      <c r="E5101" s="11" t="str">
        <f t="shared" si="2"/>
        <v> </v>
      </c>
    </row>
    <row r="5102" ht="15.75" customHeight="1">
      <c r="A5102" s="11">
        <v>16954.0</v>
      </c>
      <c r="B5102" s="11" t="s">
        <v>5087</v>
      </c>
      <c r="C5102" s="12">
        <v>15237.0</v>
      </c>
      <c r="D5102" s="11" t="str">
        <f t="shared" si="1"/>
        <v> </v>
      </c>
      <c r="E5102" s="11" t="str">
        <f t="shared" si="2"/>
        <v> </v>
      </c>
    </row>
    <row r="5103" ht="15.75" customHeight="1">
      <c r="A5103" s="11">
        <v>16955.0</v>
      </c>
      <c r="B5103" s="11" t="s">
        <v>5088</v>
      </c>
      <c r="C5103" s="12">
        <v>26804.0</v>
      </c>
      <c r="D5103" s="11" t="str">
        <f t="shared" si="1"/>
        <v> </v>
      </c>
      <c r="E5103" s="11" t="str">
        <f t="shared" si="2"/>
        <v> </v>
      </c>
    </row>
    <row r="5104" ht="15.75" customHeight="1">
      <c r="A5104" s="11">
        <v>16956.0</v>
      </c>
      <c r="B5104" s="11" t="s">
        <v>5089</v>
      </c>
      <c r="C5104" s="12">
        <v>17859.0</v>
      </c>
      <c r="D5104" s="11" t="str">
        <f t="shared" si="1"/>
        <v> </v>
      </c>
      <c r="E5104" s="11" t="str">
        <f t="shared" si="2"/>
        <v> </v>
      </c>
    </row>
    <row r="5105" ht="15.75" customHeight="1">
      <c r="A5105" s="11">
        <v>16957.0</v>
      </c>
      <c r="B5105" s="11" t="s">
        <v>5090</v>
      </c>
      <c r="C5105" s="12">
        <v>15159.0</v>
      </c>
      <c r="D5105" s="11" t="str">
        <f t="shared" si="1"/>
        <v> </v>
      </c>
      <c r="E5105" s="11" t="str">
        <f t="shared" si="2"/>
        <v> </v>
      </c>
    </row>
    <row r="5106" ht="15.75" customHeight="1">
      <c r="A5106" s="11">
        <v>16958.0</v>
      </c>
      <c r="B5106" s="11" t="s">
        <v>5091</v>
      </c>
      <c r="C5106" s="12">
        <v>24294.0</v>
      </c>
      <c r="D5106" s="11" t="str">
        <f t="shared" si="1"/>
        <v> </v>
      </c>
      <c r="E5106" s="11" t="str">
        <f t="shared" si="2"/>
        <v> </v>
      </c>
    </row>
    <row r="5107" ht="15.75" customHeight="1">
      <c r="A5107" s="11">
        <v>16959.0</v>
      </c>
      <c r="B5107" s="11" t="s">
        <v>5092</v>
      </c>
      <c r="C5107" s="12">
        <v>29067.0</v>
      </c>
      <c r="D5107" s="11" t="str">
        <f t="shared" si="1"/>
        <v> </v>
      </c>
      <c r="E5107" s="11" t="str">
        <f t="shared" si="2"/>
        <v> </v>
      </c>
    </row>
    <row r="5108" ht="15.75" customHeight="1">
      <c r="A5108" s="11">
        <v>16961.0</v>
      </c>
      <c r="B5108" s="11" t="s">
        <v>5093</v>
      </c>
      <c r="C5108" s="12">
        <v>22052.0</v>
      </c>
      <c r="D5108" s="11" t="str">
        <f t="shared" si="1"/>
        <v> </v>
      </c>
      <c r="E5108" s="11" t="str">
        <f t="shared" si="2"/>
        <v> </v>
      </c>
    </row>
    <row r="5109" ht="15.75" customHeight="1">
      <c r="A5109" s="11">
        <v>16962.0</v>
      </c>
      <c r="B5109" s="11" t="s">
        <v>5094</v>
      </c>
      <c r="C5109" s="12">
        <v>19199.0</v>
      </c>
      <c r="D5109" s="11" t="str">
        <f t="shared" si="1"/>
        <v> </v>
      </c>
      <c r="E5109" s="11" t="str">
        <f t="shared" si="2"/>
        <v> </v>
      </c>
    </row>
    <row r="5110" ht="15.75" customHeight="1">
      <c r="A5110" s="11">
        <v>16965.0</v>
      </c>
      <c r="B5110" s="11" t="s">
        <v>5095</v>
      </c>
      <c r="C5110" s="12">
        <v>19061.0</v>
      </c>
      <c r="D5110" s="11" t="str">
        <f t="shared" si="1"/>
        <v> </v>
      </c>
      <c r="E5110" s="11" t="str">
        <f t="shared" si="2"/>
        <v> </v>
      </c>
    </row>
    <row r="5111" ht="15.75" customHeight="1">
      <c r="A5111" s="11">
        <v>16967.0</v>
      </c>
      <c r="B5111" s="11" t="s">
        <v>5096</v>
      </c>
      <c r="C5111" s="12">
        <v>23591.0</v>
      </c>
      <c r="D5111" s="11" t="str">
        <f t="shared" si="1"/>
        <v> </v>
      </c>
      <c r="E5111" s="11" t="str">
        <f t="shared" si="2"/>
        <v> </v>
      </c>
    </row>
    <row r="5112" ht="15.75" customHeight="1">
      <c r="A5112" s="11">
        <v>16968.0</v>
      </c>
      <c r="B5112" s="11" t="s">
        <v>5097</v>
      </c>
      <c r="C5112" s="12">
        <v>17193.0</v>
      </c>
      <c r="D5112" s="11" t="str">
        <f t="shared" si="1"/>
        <v> </v>
      </c>
      <c r="E5112" s="11" t="str">
        <f t="shared" si="2"/>
        <v> </v>
      </c>
    </row>
    <row r="5113" ht="15.75" customHeight="1">
      <c r="A5113" s="11">
        <v>16969.0</v>
      </c>
      <c r="B5113" s="11" t="s">
        <v>5098</v>
      </c>
      <c r="C5113" s="12">
        <v>24840.0</v>
      </c>
      <c r="D5113" s="11" t="str">
        <f t="shared" si="1"/>
        <v> </v>
      </c>
      <c r="E5113" s="11" t="str">
        <f t="shared" si="2"/>
        <v> </v>
      </c>
    </row>
    <row r="5114" ht="15.75" customHeight="1">
      <c r="A5114" s="11">
        <v>16970.0</v>
      </c>
      <c r="B5114" s="11" t="s">
        <v>5099</v>
      </c>
      <c r="C5114" s="12">
        <v>19986.0</v>
      </c>
      <c r="D5114" s="11" t="str">
        <f t="shared" si="1"/>
        <v> </v>
      </c>
      <c r="E5114" s="11" t="str">
        <f t="shared" si="2"/>
        <v> </v>
      </c>
    </row>
    <row r="5115" ht="15.75" customHeight="1">
      <c r="A5115" s="11">
        <v>16971.0</v>
      </c>
      <c r="B5115" s="11" t="s">
        <v>5100</v>
      </c>
      <c r="C5115" s="12">
        <v>25920.0</v>
      </c>
      <c r="D5115" s="11" t="str">
        <f t="shared" si="1"/>
        <v> </v>
      </c>
      <c r="E5115" s="11" t="str">
        <f t="shared" si="2"/>
        <v> </v>
      </c>
    </row>
    <row r="5116" ht="15.75" customHeight="1">
      <c r="A5116" s="11">
        <v>16973.0</v>
      </c>
      <c r="B5116" s="11" t="s">
        <v>5101</v>
      </c>
      <c r="C5116" s="12">
        <v>24541.0</v>
      </c>
      <c r="D5116" s="11" t="str">
        <f t="shared" si="1"/>
        <v> </v>
      </c>
      <c r="E5116" s="11" t="str">
        <f t="shared" si="2"/>
        <v> </v>
      </c>
    </row>
    <row r="5117" ht="15.75" customHeight="1">
      <c r="A5117" s="11">
        <v>16974.0</v>
      </c>
      <c r="B5117" s="11" t="s">
        <v>5102</v>
      </c>
      <c r="C5117" s="12">
        <v>18458.0</v>
      </c>
      <c r="D5117" s="11" t="str">
        <f t="shared" si="1"/>
        <v> </v>
      </c>
      <c r="E5117" s="11" t="str">
        <f t="shared" si="2"/>
        <v> </v>
      </c>
    </row>
    <row r="5118" ht="15.75" customHeight="1">
      <c r="A5118" s="11">
        <v>16975.0</v>
      </c>
      <c r="B5118" s="11" t="s">
        <v>5103</v>
      </c>
      <c r="C5118" s="12">
        <v>27957.0</v>
      </c>
      <c r="D5118" s="11" t="str">
        <f t="shared" si="1"/>
        <v> </v>
      </c>
      <c r="E5118" s="11" t="str">
        <f t="shared" si="2"/>
        <v> </v>
      </c>
    </row>
    <row r="5119" ht="15.75" customHeight="1">
      <c r="A5119" s="11">
        <v>16978.0</v>
      </c>
      <c r="B5119" s="11" t="s">
        <v>5104</v>
      </c>
      <c r="C5119" s="12">
        <v>21205.0</v>
      </c>
      <c r="D5119" s="11" t="str">
        <f t="shared" si="1"/>
        <v> </v>
      </c>
      <c r="E5119" s="11" t="str">
        <f t="shared" si="2"/>
        <v> </v>
      </c>
    </row>
    <row r="5120" ht="15.75" customHeight="1">
      <c r="A5120" s="11">
        <v>16979.0</v>
      </c>
      <c r="B5120" s="11" t="s">
        <v>5105</v>
      </c>
      <c r="C5120" s="12">
        <v>20605.0</v>
      </c>
      <c r="D5120" s="11" t="str">
        <f t="shared" si="1"/>
        <v> </v>
      </c>
      <c r="E5120" s="11" t="str">
        <f t="shared" si="2"/>
        <v> </v>
      </c>
    </row>
    <row r="5121" ht="15.75" customHeight="1">
      <c r="A5121" s="11">
        <v>16980.0</v>
      </c>
      <c r="B5121" s="11" t="s">
        <v>5106</v>
      </c>
      <c r="C5121" s="12">
        <v>25014.0</v>
      </c>
      <c r="D5121" s="11" t="str">
        <f t="shared" si="1"/>
        <v> </v>
      </c>
      <c r="E5121" s="11" t="str">
        <f t="shared" si="2"/>
        <v> </v>
      </c>
    </row>
    <row r="5122" ht="15.75" customHeight="1">
      <c r="A5122" s="11">
        <v>16981.0</v>
      </c>
      <c r="B5122" s="11" t="s">
        <v>5107</v>
      </c>
      <c r="C5122" s="12">
        <v>16257.0</v>
      </c>
      <c r="D5122" s="11" t="str">
        <f t="shared" si="1"/>
        <v> </v>
      </c>
      <c r="E5122" s="11" t="str">
        <f t="shared" si="2"/>
        <v> </v>
      </c>
    </row>
    <row r="5123" ht="15.75" customHeight="1">
      <c r="A5123" s="11">
        <v>16982.0</v>
      </c>
      <c r="B5123" s="11" t="s">
        <v>5108</v>
      </c>
      <c r="C5123" s="12">
        <v>21978.0</v>
      </c>
      <c r="D5123" s="11" t="str">
        <f t="shared" si="1"/>
        <v> </v>
      </c>
      <c r="E5123" s="11" t="str">
        <f t="shared" si="2"/>
        <v> </v>
      </c>
    </row>
    <row r="5124" ht="15.75" customHeight="1">
      <c r="A5124" s="11">
        <v>16983.0</v>
      </c>
      <c r="B5124" s="11" t="s">
        <v>5109</v>
      </c>
      <c r="C5124" s="12">
        <v>33550.0</v>
      </c>
      <c r="D5124" s="11" t="str">
        <f t="shared" si="1"/>
        <v> </v>
      </c>
      <c r="E5124" s="11" t="str">
        <f t="shared" si="2"/>
        <v> </v>
      </c>
    </row>
    <row r="5125" ht="15.75" customHeight="1">
      <c r="A5125" s="11">
        <v>16984.0</v>
      </c>
      <c r="B5125" s="11" t="s">
        <v>5110</v>
      </c>
      <c r="C5125" s="12">
        <v>22620.0</v>
      </c>
      <c r="D5125" s="11" t="str">
        <f t="shared" si="1"/>
        <v> </v>
      </c>
      <c r="E5125" s="11" t="str">
        <f t="shared" si="2"/>
        <v> </v>
      </c>
    </row>
    <row r="5126" ht="15.75" customHeight="1">
      <c r="A5126" s="11">
        <v>16985.0</v>
      </c>
      <c r="B5126" s="11" t="s">
        <v>740</v>
      </c>
      <c r="C5126" s="12">
        <v>22406.0</v>
      </c>
      <c r="D5126" s="11" t="str">
        <f t="shared" si="1"/>
        <v>Repeat</v>
      </c>
      <c r="E5126" s="11" t="str">
        <f t="shared" si="2"/>
        <v>Repeat</v>
      </c>
    </row>
    <row r="5127" ht="15.75" customHeight="1">
      <c r="A5127" s="11">
        <v>16987.0</v>
      </c>
      <c r="B5127" s="11" t="s">
        <v>5111</v>
      </c>
      <c r="C5127" s="12">
        <v>20918.0</v>
      </c>
      <c r="D5127" s="11" t="str">
        <f t="shared" si="1"/>
        <v> </v>
      </c>
      <c r="E5127" s="11" t="str">
        <f t="shared" si="2"/>
        <v> </v>
      </c>
    </row>
    <row r="5128" ht="15.75" customHeight="1">
      <c r="A5128" s="11">
        <v>16988.0</v>
      </c>
      <c r="B5128" s="11" t="s">
        <v>5112</v>
      </c>
      <c r="C5128" s="12">
        <v>22702.0</v>
      </c>
      <c r="D5128" s="11" t="str">
        <f t="shared" si="1"/>
        <v> </v>
      </c>
      <c r="E5128" s="11" t="str">
        <f t="shared" si="2"/>
        <v> </v>
      </c>
    </row>
    <row r="5129" ht="15.75" customHeight="1">
      <c r="A5129" s="11">
        <v>16989.0</v>
      </c>
      <c r="B5129" s="11" t="s">
        <v>5113</v>
      </c>
      <c r="C5129" s="12">
        <v>17608.0</v>
      </c>
      <c r="D5129" s="11" t="str">
        <f t="shared" si="1"/>
        <v> </v>
      </c>
      <c r="E5129" s="11" t="str">
        <f t="shared" si="2"/>
        <v> </v>
      </c>
    </row>
    <row r="5130" ht="15.75" customHeight="1">
      <c r="A5130" s="11">
        <v>16990.0</v>
      </c>
      <c r="B5130" s="11" t="s">
        <v>5114</v>
      </c>
      <c r="C5130" s="12">
        <v>14488.0</v>
      </c>
      <c r="D5130" s="11" t="str">
        <f t="shared" si="1"/>
        <v> </v>
      </c>
      <c r="E5130" s="11" t="str">
        <f t="shared" si="2"/>
        <v> </v>
      </c>
    </row>
    <row r="5131" ht="15.75" customHeight="1">
      <c r="A5131" s="11">
        <v>16991.0</v>
      </c>
      <c r="B5131" s="11" t="s">
        <v>5115</v>
      </c>
      <c r="C5131" s="12">
        <v>20338.0</v>
      </c>
      <c r="D5131" s="11" t="str">
        <f t="shared" si="1"/>
        <v> </v>
      </c>
      <c r="E5131" s="11" t="str">
        <f t="shared" si="2"/>
        <v> </v>
      </c>
    </row>
    <row r="5132" ht="15.75" customHeight="1">
      <c r="A5132" s="11">
        <v>16993.0</v>
      </c>
      <c r="B5132" s="11" t="s">
        <v>5116</v>
      </c>
      <c r="C5132" s="12">
        <v>14634.0</v>
      </c>
      <c r="D5132" s="11" t="str">
        <f t="shared" si="1"/>
        <v>Repeat</v>
      </c>
      <c r="E5132" s="11" t="str">
        <f t="shared" si="2"/>
        <v>Repeat</v>
      </c>
    </row>
    <row r="5133" ht="15.75" customHeight="1">
      <c r="A5133" s="11">
        <v>16995.0</v>
      </c>
      <c r="B5133" s="11" t="s">
        <v>5117</v>
      </c>
      <c r="C5133" s="12">
        <v>24264.0</v>
      </c>
      <c r="D5133" s="11" t="str">
        <f t="shared" si="1"/>
        <v> </v>
      </c>
      <c r="E5133" s="11" t="str">
        <f t="shared" si="2"/>
        <v> </v>
      </c>
    </row>
    <row r="5134" ht="15.75" customHeight="1">
      <c r="A5134" s="11">
        <v>16996.0</v>
      </c>
      <c r="B5134" s="11" t="s">
        <v>5118</v>
      </c>
      <c r="C5134" s="12">
        <v>25072.0</v>
      </c>
      <c r="D5134" s="11" t="str">
        <f t="shared" si="1"/>
        <v> </v>
      </c>
      <c r="E5134" s="11" t="str">
        <f t="shared" si="2"/>
        <v> </v>
      </c>
    </row>
    <row r="5135" ht="15.75" customHeight="1">
      <c r="A5135" s="11">
        <v>16997.0</v>
      </c>
      <c r="B5135" s="11" t="s">
        <v>5119</v>
      </c>
      <c r="C5135" s="12">
        <v>19563.0</v>
      </c>
      <c r="D5135" s="11" t="str">
        <f t="shared" si="1"/>
        <v> </v>
      </c>
      <c r="E5135" s="11" t="str">
        <f t="shared" si="2"/>
        <v> </v>
      </c>
    </row>
    <row r="5136" ht="15.75" customHeight="1">
      <c r="A5136" s="11">
        <v>16998.0</v>
      </c>
      <c r="B5136" s="11" t="s">
        <v>5120</v>
      </c>
      <c r="C5136" s="12">
        <v>22892.0</v>
      </c>
      <c r="D5136" s="11" t="str">
        <f t="shared" si="1"/>
        <v> </v>
      </c>
      <c r="E5136" s="11" t="str">
        <f t="shared" si="2"/>
        <v> </v>
      </c>
    </row>
    <row r="5137" ht="15.75" customHeight="1">
      <c r="A5137" s="11">
        <v>16999.0</v>
      </c>
      <c r="B5137" s="11" t="s">
        <v>5121</v>
      </c>
      <c r="C5137" s="12">
        <v>25187.0</v>
      </c>
      <c r="D5137" s="11" t="str">
        <f t="shared" si="1"/>
        <v> </v>
      </c>
      <c r="E5137" s="11" t="str">
        <f t="shared" si="2"/>
        <v> </v>
      </c>
    </row>
    <row r="5138" ht="15.75" customHeight="1">
      <c r="A5138" s="11">
        <v>17001.0</v>
      </c>
      <c r="B5138" s="11" t="s">
        <v>5122</v>
      </c>
      <c r="C5138" s="12">
        <v>21083.0</v>
      </c>
      <c r="D5138" s="11" t="str">
        <f t="shared" si="1"/>
        <v> </v>
      </c>
      <c r="E5138" s="11" t="str">
        <f t="shared" si="2"/>
        <v> </v>
      </c>
    </row>
    <row r="5139" ht="15.75" customHeight="1">
      <c r="A5139" s="11">
        <v>17002.0</v>
      </c>
      <c r="B5139" s="11" t="s">
        <v>5123</v>
      </c>
      <c r="C5139" s="12">
        <v>16318.0</v>
      </c>
      <c r="D5139" s="11" t="str">
        <f t="shared" si="1"/>
        <v> </v>
      </c>
      <c r="E5139" s="11" t="str">
        <f t="shared" si="2"/>
        <v> </v>
      </c>
    </row>
    <row r="5140" ht="15.75" customHeight="1">
      <c r="A5140" s="11">
        <v>17003.0</v>
      </c>
      <c r="B5140" s="11" t="s">
        <v>5124</v>
      </c>
      <c r="C5140" s="12">
        <v>26677.0</v>
      </c>
      <c r="D5140" s="11" t="str">
        <f t="shared" si="1"/>
        <v> </v>
      </c>
      <c r="E5140" s="11" t="str">
        <f t="shared" si="2"/>
        <v> </v>
      </c>
    </row>
    <row r="5141" ht="15.75" customHeight="1">
      <c r="A5141" s="11">
        <v>17005.0</v>
      </c>
      <c r="B5141" s="11" t="s">
        <v>5125</v>
      </c>
      <c r="C5141" s="12">
        <v>22398.0</v>
      </c>
      <c r="D5141" s="11" t="str">
        <f t="shared" si="1"/>
        <v> </v>
      </c>
      <c r="E5141" s="11" t="str">
        <f t="shared" si="2"/>
        <v> </v>
      </c>
    </row>
    <row r="5142" ht="15.75" customHeight="1">
      <c r="A5142" s="11">
        <v>17007.0</v>
      </c>
      <c r="B5142" s="11" t="s">
        <v>5126</v>
      </c>
      <c r="C5142" s="12">
        <v>18316.0</v>
      </c>
      <c r="D5142" s="11" t="str">
        <f t="shared" si="1"/>
        <v> </v>
      </c>
      <c r="E5142" s="11" t="str">
        <f t="shared" si="2"/>
        <v> </v>
      </c>
    </row>
    <row r="5143" ht="15.75" customHeight="1">
      <c r="A5143" s="11">
        <v>17008.0</v>
      </c>
      <c r="B5143" s="11" t="s">
        <v>5127</v>
      </c>
      <c r="C5143" s="12">
        <v>27220.0</v>
      </c>
      <c r="D5143" s="11" t="str">
        <f t="shared" si="1"/>
        <v> </v>
      </c>
      <c r="E5143" s="11" t="str">
        <f t="shared" si="2"/>
        <v>Repeat</v>
      </c>
    </row>
    <row r="5144" ht="15.75" customHeight="1">
      <c r="A5144" s="11">
        <v>17009.0</v>
      </c>
      <c r="B5144" s="11" t="s">
        <v>5128</v>
      </c>
      <c r="C5144" s="12">
        <v>20910.0</v>
      </c>
      <c r="D5144" s="11" t="str">
        <f t="shared" si="1"/>
        <v> </v>
      </c>
      <c r="E5144" s="11" t="str">
        <f t="shared" si="2"/>
        <v> </v>
      </c>
    </row>
    <row r="5145" ht="15.75" customHeight="1">
      <c r="A5145" s="11">
        <v>17010.0</v>
      </c>
      <c r="B5145" s="11" t="s">
        <v>5129</v>
      </c>
      <c r="C5145" s="12">
        <v>31117.0</v>
      </c>
      <c r="D5145" s="11" t="str">
        <f t="shared" si="1"/>
        <v> </v>
      </c>
      <c r="E5145" s="11" t="str">
        <f t="shared" si="2"/>
        <v> </v>
      </c>
    </row>
    <row r="5146" ht="15.75" customHeight="1">
      <c r="A5146" s="11">
        <v>17011.0</v>
      </c>
      <c r="B5146" s="11" t="s">
        <v>5130</v>
      </c>
      <c r="C5146" s="12">
        <v>31873.0</v>
      </c>
      <c r="D5146" s="11" t="str">
        <f t="shared" si="1"/>
        <v> </v>
      </c>
      <c r="E5146" s="11" t="str">
        <f t="shared" si="2"/>
        <v> </v>
      </c>
    </row>
    <row r="5147" ht="15.75" customHeight="1">
      <c r="A5147" s="11">
        <v>17012.0</v>
      </c>
      <c r="B5147" s="11" t="s">
        <v>5131</v>
      </c>
      <c r="C5147" s="12">
        <v>37215.0</v>
      </c>
      <c r="D5147" s="11" t="str">
        <f t="shared" si="1"/>
        <v> </v>
      </c>
      <c r="E5147" s="11" t="str">
        <f t="shared" si="2"/>
        <v> </v>
      </c>
    </row>
    <row r="5148" ht="15.75" customHeight="1">
      <c r="A5148" s="11">
        <v>17013.0</v>
      </c>
      <c r="B5148" s="11" t="s">
        <v>5132</v>
      </c>
      <c r="C5148" s="12">
        <v>21932.0</v>
      </c>
      <c r="D5148" s="11" t="str">
        <f t="shared" si="1"/>
        <v> </v>
      </c>
      <c r="E5148" s="11" t="str">
        <f t="shared" si="2"/>
        <v> </v>
      </c>
    </row>
    <row r="5149" ht="15.75" customHeight="1">
      <c r="A5149" s="11">
        <v>17014.0</v>
      </c>
      <c r="B5149" s="11" t="s">
        <v>5133</v>
      </c>
      <c r="C5149" s="12">
        <v>21430.0</v>
      </c>
      <c r="D5149" s="11" t="str">
        <f t="shared" si="1"/>
        <v> </v>
      </c>
      <c r="E5149" s="11" t="str">
        <f t="shared" si="2"/>
        <v> </v>
      </c>
    </row>
    <row r="5150" ht="15.75" customHeight="1">
      <c r="A5150" s="11">
        <v>17016.0</v>
      </c>
      <c r="B5150" s="11" t="s">
        <v>5134</v>
      </c>
      <c r="C5150" s="12">
        <v>21593.0</v>
      </c>
      <c r="D5150" s="11" t="str">
        <f t="shared" si="1"/>
        <v> </v>
      </c>
      <c r="E5150" s="11" t="str">
        <f t="shared" si="2"/>
        <v> </v>
      </c>
    </row>
    <row r="5151" ht="15.75" customHeight="1">
      <c r="A5151" s="11">
        <v>17017.0</v>
      </c>
      <c r="B5151" s="11" t="s">
        <v>5135</v>
      </c>
      <c r="C5151" s="12">
        <v>29428.0</v>
      </c>
      <c r="D5151" s="11" t="str">
        <f t="shared" si="1"/>
        <v> </v>
      </c>
      <c r="E5151" s="11" t="str">
        <f t="shared" si="2"/>
        <v> </v>
      </c>
    </row>
    <row r="5152" ht="15.75" customHeight="1">
      <c r="A5152" s="11">
        <v>17018.0</v>
      </c>
      <c r="B5152" s="11" t="s">
        <v>5136</v>
      </c>
      <c r="C5152" s="12">
        <v>13331.0</v>
      </c>
      <c r="D5152" s="11" t="str">
        <f t="shared" si="1"/>
        <v> </v>
      </c>
      <c r="E5152" s="11" t="str">
        <f t="shared" si="2"/>
        <v> </v>
      </c>
    </row>
    <row r="5153" ht="15.75" customHeight="1">
      <c r="A5153" s="11">
        <v>17019.0</v>
      </c>
      <c r="B5153" s="11" t="s">
        <v>3762</v>
      </c>
      <c r="C5153" s="12">
        <v>26989.0</v>
      </c>
      <c r="D5153" s="11" t="str">
        <f t="shared" si="1"/>
        <v>Repeat</v>
      </c>
      <c r="E5153" s="11" t="str">
        <f t="shared" si="2"/>
        <v> </v>
      </c>
    </row>
    <row r="5154" ht="15.75" customHeight="1">
      <c r="A5154" s="11">
        <v>17020.0</v>
      </c>
      <c r="B5154" s="11" t="s">
        <v>5137</v>
      </c>
      <c r="C5154" s="12">
        <v>17746.0</v>
      </c>
      <c r="D5154" s="11" t="str">
        <f t="shared" si="1"/>
        <v> </v>
      </c>
      <c r="E5154" s="11" t="str">
        <f t="shared" si="2"/>
        <v> </v>
      </c>
    </row>
    <row r="5155" ht="15.75" customHeight="1">
      <c r="A5155" s="11">
        <v>17021.0</v>
      </c>
      <c r="B5155" s="11" t="s">
        <v>5138</v>
      </c>
      <c r="C5155" s="12">
        <v>18852.0</v>
      </c>
      <c r="D5155" s="11" t="str">
        <f t="shared" si="1"/>
        <v> </v>
      </c>
      <c r="E5155" s="11" t="str">
        <f t="shared" si="2"/>
        <v> </v>
      </c>
    </row>
    <row r="5156" ht="15.75" customHeight="1">
      <c r="A5156" s="11">
        <v>17022.0</v>
      </c>
      <c r="B5156" s="11" t="s">
        <v>5139</v>
      </c>
      <c r="C5156" s="12">
        <v>24614.0</v>
      </c>
      <c r="D5156" s="11" t="str">
        <f t="shared" si="1"/>
        <v> </v>
      </c>
      <c r="E5156" s="11" t="str">
        <f t="shared" si="2"/>
        <v> </v>
      </c>
    </row>
    <row r="5157" ht="15.75" customHeight="1">
      <c r="A5157" s="11">
        <v>17024.0</v>
      </c>
      <c r="B5157" s="11" t="s">
        <v>5140</v>
      </c>
      <c r="C5157" s="12">
        <v>31335.0</v>
      </c>
      <c r="D5157" s="11" t="str">
        <f t="shared" si="1"/>
        <v> </v>
      </c>
      <c r="E5157" s="11" t="str">
        <f t="shared" si="2"/>
        <v> </v>
      </c>
    </row>
    <row r="5158" ht="15.75" customHeight="1">
      <c r="A5158" s="11">
        <v>17025.0</v>
      </c>
      <c r="B5158" s="11" t="s">
        <v>5141</v>
      </c>
      <c r="C5158" s="12">
        <v>24788.0</v>
      </c>
      <c r="D5158" s="11" t="str">
        <f t="shared" si="1"/>
        <v> </v>
      </c>
      <c r="E5158" s="11" t="str">
        <f t="shared" si="2"/>
        <v> </v>
      </c>
    </row>
    <row r="5159" ht="15.75" customHeight="1">
      <c r="A5159" s="11">
        <v>17026.0</v>
      </c>
      <c r="B5159" s="11" t="s">
        <v>5142</v>
      </c>
      <c r="C5159" s="12">
        <v>24338.0</v>
      </c>
      <c r="D5159" s="11" t="str">
        <f t="shared" si="1"/>
        <v> </v>
      </c>
      <c r="E5159" s="11" t="str">
        <f t="shared" si="2"/>
        <v> </v>
      </c>
    </row>
    <row r="5160" ht="15.75" customHeight="1">
      <c r="A5160" s="11">
        <v>17027.0</v>
      </c>
      <c r="B5160" s="11" t="s">
        <v>5143</v>
      </c>
      <c r="C5160" s="12">
        <v>17124.0</v>
      </c>
      <c r="D5160" s="11" t="str">
        <f t="shared" si="1"/>
        <v> </v>
      </c>
      <c r="E5160" s="11" t="str">
        <f t="shared" si="2"/>
        <v> </v>
      </c>
    </row>
    <row r="5161" ht="15.75" customHeight="1">
      <c r="A5161" s="11">
        <v>17028.0</v>
      </c>
      <c r="B5161" s="11" t="s">
        <v>5144</v>
      </c>
      <c r="C5161" s="12">
        <v>22485.0</v>
      </c>
      <c r="D5161" s="11" t="str">
        <f t="shared" si="1"/>
        <v> </v>
      </c>
      <c r="E5161" s="11" t="str">
        <f t="shared" si="2"/>
        <v> </v>
      </c>
    </row>
    <row r="5162" ht="15.75" customHeight="1">
      <c r="A5162" s="11">
        <v>17029.0</v>
      </c>
      <c r="B5162" s="11" t="s">
        <v>5145</v>
      </c>
      <c r="C5162" s="12">
        <v>14167.0</v>
      </c>
      <c r="D5162" s="11" t="str">
        <f t="shared" si="1"/>
        <v> </v>
      </c>
      <c r="E5162" s="11" t="str">
        <f t="shared" si="2"/>
        <v> </v>
      </c>
    </row>
    <row r="5163" ht="15.75" customHeight="1">
      <c r="A5163" s="11">
        <v>17030.0</v>
      </c>
      <c r="B5163" s="11" t="s">
        <v>5146</v>
      </c>
      <c r="C5163" s="12">
        <v>14120.0</v>
      </c>
      <c r="D5163" s="11" t="str">
        <f t="shared" si="1"/>
        <v> </v>
      </c>
      <c r="E5163" s="11" t="str">
        <f t="shared" si="2"/>
        <v> </v>
      </c>
    </row>
    <row r="5164" ht="15.75" customHeight="1">
      <c r="A5164" s="11">
        <v>17032.0</v>
      </c>
      <c r="B5164" s="11" t="s">
        <v>5147</v>
      </c>
      <c r="C5164" s="12">
        <v>26641.0</v>
      </c>
      <c r="D5164" s="11" t="str">
        <f t="shared" si="1"/>
        <v> </v>
      </c>
      <c r="E5164" s="11" t="str">
        <f t="shared" si="2"/>
        <v> </v>
      </c>
    </row>
    <row r="5165" ht="15.75" customHeight="1">
      <c r="A5165" s="11">
        <v>17033.0</v>
      </c>
      <c r="B5165" s="11" t="s">
        <v>5148</v>
      </c>
      <c r="C5165" s="12">
        <v>20774.0</v>
      </c>
      <c r="D5165" s="11" t="str">
        <f t="shared" si="1"/>
        <v> </v>
      </c>
      <c r="E5165" s="11" t="str">
        <f t="shared" si="2"/>
        <v> </v>
      </c>
    </row>
    <row r="5166" ht="15.75" customHeight="1">
      <c r="A5166" s="11">
        <v>17034.0</v>
      </c>
      <c r="B5166" s="11" t="s">
        <v>5149</v>
      </c>
      <c r="C5166" s="12">
        <v>22143.0</v>
      </c>
      <c r="D5166" s="11" t="str">
        <f t="shared" si="1"/>
        <v> </v>
      </c>
      <c r="E5166" s="11" t="str">
        <f t="shared" si="2"/>
        <v> </v>
      </c>
    </row>
    <row r="5167" ht="15.75" customHeight="1">
      <c r="A5167" s="11">
        <v>17422.0</v>
      </c>
      <c r="B5167" s="11" t="s">
        <v>5150</v>
      </c>
      <c r="C5167" s="12">
        <v>25496.0</v>
      </c>
      <c r="D5167" s="11" t="str">
        <f t="shared" si="1"/>
        <v> </v>
      </c>
      <c r="E5167" s="11" t="str">
        <f t="shared" si="2"/>
        <v>Repeat</v>
      </c>
    </row>
    <row r="5168" ht="15.75" customHeight="1">
      <c r="A5168" s="11">
        <v>17036.0</v>
      </c>
      <c r="B5168" s="11" t="s">
        <v>5151</v>
      </c>
      <c r="C5168" s="12">
        <v>19720.0</v>
      </c>
      <c r="D5168" s="11" t="str">
        <f t="shared" si="1"/>
        <v> </v>
      </c>
      <c r="E5168" s="11" t="str">
        <f t="shared" si="2"/>
        <v> </v>
      </c>
    </row>
    <row r="5169" ht="15.75" customHeight="1">
      <c r="A5169" s="11">
        <v>17038.0</v>
      </c>
      <c r="B5169" s="11" t="s">
        <v>5152</v>
      </c>
      <c r="C5169" s="12">
        <v>16355.0</v>
      </c>
      <c r="D5169" s="11" t="str">
        <f t="shared" si="1"/>
        <v> </v>
      </c>
      <c r="E5169" s="11" t="str">
        <f t="shared" si="2"/>
        <v> </v>
      </c>
    </row>
    <row r="5170" ht="15.75" customHeight="1">
      <c r="A5170" s="11">
        <v>17039.0</v>
      </c>
      <c r="B5170" s="11" t="s">
        <v>5153</v>
      </c>
      <c r="C5170" s="12">
        <v>22843.0</v>
      </c>
      <c r="D5170" s="11" t="str">
        <f t="shared" si="1"/>
        <v> </v>
      </c>
      <c r="E5170" s="11" t="str">
        <f t="shared" si="2"/>
        <v> </v>
      </c>
    </row>
    <row r="5171" ht="15.75" customHeight="1">
      <c r="A5171" s="11">
        <v>17040.0</v>
      </c>
      <c r="B5171" s="11" t="s">
        <v>5154</v>
      </c>
      <c r="C5171" s="12">
        <v>18883.0</v>
      </c>
      <c r="D5171" s="11" t="str">
        <f t="shared" si="1"/>
        <v> </v>
      </c>
      <c r="E5171" s="11" t="str">
        <f t="shared" si="2"/>
        <v> </v>
      </c>
    </row>
    <row r="5172" ht="15.75" customHeight="1">
      <c r="A5172" s="11">
        <v>17041.0</v>
      </c>
      <c r="B5172" s="11" t="s">
        <v>5155</v>
      </c>
      <c r="C5172" s="12">
        <v>32411.0</v>
      </c>
      <c r="D5172" s="11" t="str">
        <f t="shared" si="1"/>
        <v> </v>
      </c>
      <c r="E5172" s="11" t="str">
        <f t="shared" si="2"/>
        <v> </v>
      </c>
    </row>
    <row r="5173" ht="15.75" customHeight="1">
      <c r="A5173" s="11">
        <v>17042.0</v>
      </c>
      <c r="B5173" s="11" t="s">
        <v>5156</v>
      </c>
      <c r="C5173" s="12">
        <v>16764.0</v>
      </c>
      <c r="D5173" s="11" t="str">
        <f t="shared" si="1"/>
        <v> </v>
      </c>
      <c r="E5173" s="11" t="str">
        <f t="shared" si="2"/>
        <v> </v>
      </c>
    </row>
    <row r="5174" ht="15.75" customHeight="1">
      <c r="A5174" s="11">
        <v>17043.0</v>
      </c>
      <c r="B5174" s="11" t="s">
        <v>5157</v>
      </c>
      <c r="C5174" s="12">
        <v>28322.0</v>
      </c>
      <c r="D5174" s="11" t="str">
        <f t="shared" si="1"/>
        <v> </v>
      </c>
      <c r="E5174" s="11" t="str">
        <f t="shared" si="2"/>
        <v> </v>
      </c>
    </row>
    <row r="5175" ht="15.75" customHeight="1">
      <c r="A5175" s="11">
        <v>17044.0</v>
      </c>
      <c r="B5175" s="11" t="s">
        <v>5158</v>
      </c>
      <c r="C5175" s="12">
        <v>24728.0</v>
      </c>
      <c r="D5175" s="11" t="str">
        <f t="shared" si="1"/>
        <v> </v>
      </c>
      <c r="E5175" s="11" t="str">
        <f t="shared" si="2"/>
        <v> </v>
      </c>
    </row>
    <row r="5176" ht="15.75" customHeight="1">
      <c r="A5176" s="11">
        <v>17046.0</v>
      </c>
      <c r="B5176" s="11" t="s">
        <v>5159</v>
      </c>
      <c r="C5176" s="12">
        <v>30865.0</v>
      </c>
      <c r="D5176" s="11" t="str">
        <f t="shared" si="1"/>
        <v> </v>
      </c>
      <c r="E5176" s="11" t="str">
        <f t="shared" si="2"/>
        <v> </v>
      </c>
    </row>
    <row r="5177" ht="15.75" customHeight="1">
      <c r="A5177" s="11">
        <v>17047.0</v>
      </c>
      <c r="B5177" s="11" t="s">
        <v>5160</v>
      </c>
      <c r="C5177" s="12">
        <v>25021.0</v>
      </c>
      <c r="D5177" s="11" t="str">
        <f t="shared" si="1"/>
        <v> </v>
      </c>
      <c r="E5177" s="11" t="str">
        <f t="shared" si="2"/>
        <v> </v>
      </c>
    </row>
    <row r="5178" ht="15.75" customHeight="1">
      <c r="A5178" s="11">
        <v>17048.0</v>
      </c>
      <c r="B5178" s="11" t="s">
        <v>5161</v>
      </c>
      <c r="C5178" s="12">
        <v>35213.0</v>
      </c>
      <c r="D5178" s="11" t="str">
        <f t="shared" si="1"/>
        <v> </v>
      </c>
      <c r="E5178" s="11" t="str">
        <f t="shared" si="2"/>
        <v> </v>
      </c>
    </row>
    <row r="5179" ht="15.75" customHeight="1">
      <c r="A5179" s="11">
        <v>17049.0</v>
      </c>
      <c r="B5179" s="11" t="s">
        <v>5162</v>
      </c>
      <c r="C5179" s="12">
        <v>16647.0</v>
      </c>
      <c r="D5179" s="11" t="str">
        <f t="shared" si="1"/>
        <v> </v>
      </c>
      <c r="E5179" s="11" t="str">
        <f t="shared" si="2"/>
        <v> </v>
      </c>
    </row>
    <row r="5180" ht="15.75" customHeight="1">
      <c r="A5180" s="11">
        <v>17052.0</v>
      </c>
      <c r="B5180" s="11" t="s">
        <v>5163</v>
      </c>
      <c r="C5180" s="12">
        <v>18098.0</v>
      </c>
      <c r="D5180" s="11" t="str">
        <f t="shared" si="1"/>
        <v> </v>
      </c>
      <c r="E5180" s="11" t="str">
        <f t="shared" si="2"/>
        <v> </v>
      </c>
    </row>
    <row r="5181" ht="15.75" customHeight="1">
      <c r="A5181" s="11">
        <v>17053.0</v>
      </c>
      <c r="B5181" s="11" t="s">
        <v>5164</v>
      </c>
      <c r="C5181" s="12">
        <v>32858.0</v>
      </c>
      <c r="D5181" s="11" t="str">
        <f t="shared" si="1"/>
        <v> </v>
      </c>
      <c r="E5181" s="11" t="str">
        <f t="shared" si="2"/>
        <v> </v>
      </c>
    </row>
    <row r="5182" ht="15.75" customHeight="1">
      <c r="A5182" s="11">
        <v>16737.0</v>
      </c>
      <c r="B5182" s="11" t="s">
        <v>5165</v>
      </c>
      <c r="C5182" s="12">
        <v>28127.0</v>
      </c>
      <c r="D5182" s="11" t="str">
        <f t="shared" si="1"/>
        <v> </v>
      </c>
      <c r="E5182" s="11" t="str">
        <f t="shared" si="2"/>
        <v> </v>
      </c>
    </row>
    <row r="5183" ht="15.75" customHeight="1">
      <c r="A5183" s="11">
        <v>17055.0</v>
      </c>
      <c r="B5183" s="11" t="s">
        <v>5166</v>
      </c>
      <c r="C5183" s="12">
        <v>11289.0</v>
      </c>
      <c r="D5183" s="11" t="str">
        <f t="shared" si="1"/>
        <v> </v>
      </c>
      <c r="E5183" s="11" t="str">
        <f t="shared" si="2"/>
        <v> </v>
      </c>
    </row>
    <row r="5184" ht="15.75" customHeight="1">
      <c r="A5184" s="11">
        <v>17057.0</v>
      </c>
      <c r="B5184" s="11" t="s">
        <v>5167</v>
      </c>
      <c r="C5184" s="12">
        <v>15821.0</v>
      </c>
      <c r="D5184" s="11" t="str">
        <f t="shared" si="1"/>
        <v> </v>
      </c>
      <c r="E5184" s="11" t="str">
        <f t="shared" si="2"/>
        <v> </v>
      </c>
    </row>
    <row r="5185" ht="15.75" customHeight="1">
      <c r="A5185" s="11">
        <v>17058.0</v>
      </c>
      <c r="B5185" s="11" t="s">
        <v>5168</v>
      </c>
      <c r="C5185" s="12">
        <v>28766.0</v>
      </c>
      <c r="D5185" s="11" t="str">
        <f t="shared" si="1"/>
        <v> </v>
      </c>
      <c r="E5185" s="11" t="str">
        <f t="shared" si="2"/>
        <v> </v>
      </c>
    </row>
    <row r="5186" ht="15.75" customHeight="1">
      <c r="A5186" s="11">
        <v>17059.0</v>
      </c>
      <c r="B5186" s="11" t="s">
        <v>5169</v>
      </c>
      <c r="C5186" s="12">
        <v>25452.0</v>
      </c>
      <c r="D5186" s="11" t="str">
        <f t="shared" si="1"/>
        <v> </v>
      </c>
      <c r="E5186" s="11" t="str">
        <f t="shared" si="2"/>
        <v> </v>
      </c>
    </row>
    <row r="5187" ht="15.75" customHeight="1">
      <c r="A5187" s="11">
        <v>17060.0</v>
      </c>
      <c r="B5187" s="11" t="s">
        <v>5170</v>
      </c>
      <c r="C5187" s="12">
        <v>24734.0</v>
      </c>
      <c r="D5187" s="11" t="str">
        <f t="shared" si="1"/>
        <v> </v>
      </c>
      <c r="E5187" s="11" t="str">
        <f t="shared" si="2"/>
        <v> </v>
      </c>
    </row>
    <row r="5188" ht="15.75" customHeight="1">
      <c r="A5188" s="11">
        <v>17062.0</v>
      </c>
      <c r="B5188" s="11" t="s">
        <v>5171</v>
      </c>
      <c r="C5188" s="12">
        <v>28972.0</v>
      </c>
      <c r="D5188" s="11" t="str">
        <f t="shared" si="1"/>
        <v> </v>
      </c>
      <c r="E5188" s="11" t="str">
        <f t="shared" si="2"/>
        <v> </v>
      </c>
    </row>
    <row r="5189" ht="15.75" customHeight="1">
      <c r="A5189" s="11">
        <v>17064.0</v>
      </c>
      <c r="B5189" s="11" t="s">
        <v>5172</v>
      </c>
      <c r="C5189" s="12">
        <v>17700.0</v>
      </c>
      <c r="D5189" s="11" t="str">
        <f t="shared" si="1"/>
        <v> </v>
      </c>
      <c r="E5189" s="11" t="str">
        <f t="shared" si="2"/>
        <v> </v>
      </c>
    </row>
    <row r="5190" ht="15.75" customHeight="1">
      <c r="A5190" s="11">
        <v>17066.0</v>
      </c>
      <c r="B5190" s="11" t="s">
        <v>5173</v>
      </c>
      <c r="C5190" s="12">
        <v>16544.0</v>
      </c>
      <c r="D5190" s="11" t="str">
        <f t="shared" si="1"/>
        <v> </v>
      </c>
      <c r="E5190" s="11" t="str">
        <f t="shared" si="2"/>
        <v> </v>
      </c>
    </row>
    <row r="5191" ht="15.75" customHeight="1">
      <c r="A5191" s="11">
        <v>17067.0</v>
      </c>
      <c r="B5191" s="11" t="s">
        <v>5174</v>
      </c>
      <c r="C5191" s="12">
        <v>33823.0</v>
      </c>
      <c r="D5191" s="11" t="str">
        <f t="shared" si="1"/>
        <v> </v>
      </c>
      <c r="E5191" s="11" t="str">
        <f t="shared" si="2"/>
        <v> </v>
      </c>
    </row>
    <row r="5192" ht="15.75" customHeight="1">
      <c r="A5192" s="11">
        <v>17068.0</v>
      </c>
      <c r="B5192" s="11" t="s">
        <v>5175</v>
      </c>
      <c r="C5192" s="12">
        <v>22674.0</v>
      </c>
      <c r="D5192" s="11" t="str">
        <f t="shared" si="1"/>
        <v> </v>
      </c>
      <c r="E5192" s="11" t="str">
        <f t="shared" si="2"/>
        <v> </v>
      </c>
    </row>
    <row r="5193" ht="15.75" customHeight="1">
      <c r="A5193" s="11">
        <v>17069.0</v>
      </c>
      <c r="B5193" s="11" t="s">
        <v>5176</v>
      </c>
      <c r="C5193" s="12">
        <v>25720.0</v>
      </c>
      <c r="D5193" s="11" t="str">
        <f t="shared" si="1"/>
        <v> </v>
      </c>
      <c r="E5193" s="11" t="str">
        <f t="shared" si="2"/>
        <v> </v>
      </c>
    </row>
    <row r="5194" ht="15.75" customHeight="1">
      <c r="A5194" s="11">
        <v>17070.0</v>
      </c>
      <c r="B5194" s="11" t="s">
        <v>5177</v>
      </c>
      <c r="C5194" s="12">
        <v>21561.0</v>
      </c>
      <c r="D5194" s="11" t="str">
        <f t="shared" si="1"/>
        <v> </v>
      </c>
      <c r="E5194" s="11" t="str">
        <f t="shared" si="2"/>
        <v> </v>
      </c>
    </row>
    <row r="5195" ht="15.75" customHeight="1">
      <c r="A5195" s="11">
        <v>17071.0</v>
      </c>
      <c r="B5195" s="11" t="s">
        <v>5178</v>
      </c>
      <c r="C5195" s="12">
        <v>20042.0</v>
      </c>
      <c r="D5195" s="11" t="str">
        <f t="shared" si="1"/>
        <v> </v>
      </c>
      <c r="E5195" s="11" t="str">
        <f t="shared" si="2"/>
        <v> </v>
      </c>
    </row>
    <row r="5196" ht="15.75" customHeight="1">
      <c r="A5196" s="11">
        <v>17072.0</v>
      </c>
      <c r="B5196" s="11" t="s">
        <v>5179</v>
      </c>
      <c r="C5196" s="12">
        <v>27779.0</v>
      </c>
      <c r="D5196" s="11" t="str">
        <f t="shared" si="1"/>
        <v> </v>
      </c>
      <c r="E5196" s="11" t="str">
        <f t="shared" si="2"/>
        <v> </v>
      </c>
    </row>
    <row r="5197" ht="15.75" customHeight="1">
      <c r="A5197" s="11">
        <v>17074.0</v>
      </c>
      <c r="B5197" s="11" t="s">
        <v>5180</v>
      </c>
      <c r="C5197" s="12">
        <v>19946.0</v>
      </c>
      <c r="D5197" s="11" t="str">
        <f t="shared" si="1"/>
        <v> </v>
      </c>
      <c r="E5197" s="11" t="str">
        <f t="shared" si="2"/>
        <v> </v>
      </c>
    </row>
    <row r="5198" ht="15.75" customHeight="1">
      <c r="A5198" s="11">
        <v>17075.0</v>
      </c>
      <c r="B5198" s="11" t="s">
        <v>5181</v>
      </c>
      <c r="C5198" s="12">
        <v>34288.0</v>
      </c>
      <c r="D5198" s="11" t="str">
        <f t="shared" si="1"/>
        <v> </v>
      </c>
      <c r="E5198" s="11" t="str">
        <f t="shared" si="2"/>
        <v> </v>
      </c>
    </row>
    <row r="5199" ht="15.75" customHeight="1">
      <c r="A5199" s="11">
        <v>17076.0</v>
      </c>
      <c r="B5199" s="11" t="s">
        <v>5182</v>
      </c>
      <c r="C5199" s="12">
        <v>25317.0</v>
      </c>
      <c r="D5199" s="11" t="str">
        <f t="shared" si="1"/>
        <v> </v>
      </c>
      <c r="E5199" s="11" t="str">
        <f t="shared" si="2"/>
        <v> </v>
      </c>
    </row>
    <row r="5200" ht="15.75" customHeight="1">
      <c r="A5200" s="11">
        <v>17078.0</v>
      </c>
      <c r="B5200" s="11" t="s">
        <v>5183</v>
      </c>
      <c r="C5200" s="12">
        <v>15795.0</v>
      </c>
      <c r="D5200" s="11" t="str">
        <f t="shared" si="1"/>
        <v> </v>
      </c>
      <c r="E5200" s="11" t="str">
        <f t="shared" si="2"/>
        <v> </v>
      </c>
    </row>
    <row r="5201" ht="15.75" customHeight="1">
      <c r="A5201" s="11">
        <v>17079.0</v>
      </c>
      <c r="B5201" s="11" t="s">
        <v>5184</v>
      </c>
      <c r="C5201" s="12">
        <v>28191.0</v>
      </c>
      <c r="D5201" s="11" t="str">
        <f t="shared" si="1"/>
        <v> </v>
      </c>
      <c r="E5201" s="11" t="str">
        <f t="shared" si="2"/>
        <v> </v>
      </c>
    </row>
    <row r="5202" ht="15.75" customHeight="1">
      <c r="A5202" s="11">
        <v>17080.0</v>
      </c>
      <c r="B5202" s="11" t="s">
        <v>5185</v>
      </c>
      <c r="C5202" s="12">
        <v>25813.0</v>
      </c>
      <c r="D5202" s="11" t="str">
        <f t="shared" si="1"/>
        <v> </v>
      </c>
      <c r="E5202" s="11" t="str">
        <f t="shared" si="2"/>
        <v> </v>
      </c>
    </row>
    <row r="5203" ht="15.75" customHeight="1">
      <c r="A5203" s="11">
        <v>17081.0</v>
      </c>
      <c r="B5203" s="11" t="s">
        <v>5186</v>
      </c>
      <c r="C5203" s="12">
        <v>14389.0</v>
      </c>
      <c r="D5203" s="11" t="str">
        <f t="shared" si="1"/>
        <v> </v>
      </c>
      <c r="E5203" s="11" t="str">
        <f t="shared" si="2"/>
        <v> </v>
      </c>
    </row>
    <row r="5204" ht="15.75" customHeight="1">
      <c r="A5204" s="11">
        <v>17082.0</v>
      </c>
      <c r="B5204" s="11" t="s">
        <v>5187</v>
      </c>
      <c r="C5204" s="12">
        <v>15255.0</v>
      </c>
      <c r="D5204" s="11" t="str">
        <f t="shared" si="1"/>
        <v> </v>
      </c>
      <c r="E5204" s="11" t="str">
        <f t="shared" si="2"/>
        <v> </v>
      </c>
    </row>
    <row r="5205" ht="15.75" customHeight="1">
      <c r="A5205" s="11">
        <v>17083.0</v>
      </c>
      <c r="B5205" s="11" t="s">
        <v>5188</v>
      </c>
      <c r="C5205" s="12">
        <v>19218.0</v>
      </c>
      <c r="D5205" s="11" t="str">
        <f t="shared" si="1"/>
        <v> </v>
      </c>
      <c r="E5205" s="11" t="str">
        <f t="shared" si="2"/>
        <v> </v>
      </c>
    </row>
    <row r="5206" ht="15.75" customHeight="1">
      <c r="A5206" s="11">
        <v>17085.0</v>
      </c>
      <c r="B5206" s="11" t="s">
        <v>5189</v>
      </c>
      <c r="C5206" s="12">
        <v>25274.0</v>
      </c>
      <c r="D5206" s="11" t="str">
        <f t="shared" si="1"/>
        <v> </v>
      </c>
      <c r="E5206" s="11" t="str">
        <f t="shared" si="2"/>
        <v> </v>
      </c>
    </row>
    <row r="5207" ht="15.75" customHeight="1">
      <c r="A5207" s="11">
        <v>17086.0</v>
      </c>
      <c r="B5207" s="11" t="s">
        <v>5190</v>
      </c>
      <c r="C5207" s="12">
        <v>27296.0</v>
      </c>
      <c r="D5207" s="11" t="str">
        <f t="shared" si="1"/>
        <v> </v>
      </c>
      <c r="E5207" s="11" t="str">
        <f t="shared" si="2"/>
        <v> </v>
      </c>
    </row>
    <row r="5208" ht="15.75" customHeight="1">
      <c r="A5208" s="11">
        <v>15508.0</v>
      </c>
      <c r="B5208" s="11" t="s">
        <v>5191</v>
      </c>
      <c r="C5208" s="12">
        <v>25256.0</v>
      </c>
      <c r="D5208" s="11" t="str">
        <f t="shared" si="1"/>
        <v> </v>
      </c>
      <c r="E5208" s="11" t="str">
        <f t="shared" si="2"/>
        <v> </v>
      </c>
    </row>
    <row r="5209" ht="15.75" customHeight="1">
      <c r="A5209" s="11">
        <v>17089.0</v>
      </c>
      <c r="B5209" s="11" t="s">
        <v>5192</v>
      </c>
      <c r="C5209" s="12">
        <v>18082.0</v>
      </c>
      <c r="D5209" s="11" t="str">
        <f t="shared" si="1"/>
        <v> </v>
      </c>
      <c r="E5209" s="11" t="str">
        <f t="shared" si="2"/>
        <v> </v>
      </c>
    </row>
    <row r="5210" ht="15.75" customHeight="1">
      <c r="A5210" s="11">
        <v>17091.0</v>
      </c>
      <c r="B5210" s="11" t="s">
        <v>5193</v>
      </c>
      <c r="C5210" s="12">
        <v>26715.0</v>
      </c>
      <c r="D5210" s="11" t="str">
        <f t="shared" si="1"/>
        <v> </v>
      </c>
      <c r="E5210" s="11" t="str">
        <f t="shared" si="2"/>
        <v> </v>
      </c>
    </row>
    <row r="5211" ht="15.75" customHeight="1">
      <c r="A5211" s="11">
        <v>17092.0</v>
      </c>
      <c r="B5211" s="11" t="s">
        <v>5194</v>
      </c>
      <c r="C5211" s="12">
        <v>21671.0</v>
      </c>
      <c r="D5211" s="11" t="str">
        <f t="shared" si="1"/>
        <v> </v>
      </c>
      <c r="E5211" s="11" t="str">
        <f t="shared" si="2"/>
        <v> </v>
      </c>
    </row>
    <row r="5212" ht="15.75" customHeight="1">
      <c r="A5212" s="11">
        <v>17093.0</v>
      </c>
      <c r="B5212" s="11" t="s">
        <v>5195</v>
      </c>
      <c r="C5212" s="12">
        <v>23334.0</v>
      </c>
      <c r="D5212" s="11" t="str">
        <f t="shared" si="1"/>
        <v> </v>
      </c>
      <c r="E5212" s="11" t="str">
        <f t="shared" si="2"/>
        <v> </v>
      </c>
    </row>
    <row r="5213" ht="15.75" customHeight="1">
      <c r="A5213" s="11">
        <v>17094.0</v>
      </c>
      <c r="B5213" s="11" t="s">
        <v>5196</v>
      </c>
      <c r="C5213" s="12">
        <v>19645.0</v>
      </c>
      <c r="D5213" s="11" t="str">
        <f t="shared" si="1"/>
        <v> </v>
      </c>
      <c r="E5213" s="11" t="str">
        <f t="shared" si="2"/>
        <v> </v>
      </c>
    </row>
    <row r="5214" ht="15.75" customHeight="1">
      <c r="A5214" s="11">
        <v>17095.0</v>
      </c>
      <c r="B5214" s="11" t="s">
        <v>5197</v>
      </c>
      <c r="C5214" s="12">
        <v>16812.0</v>
      </c>
      <c r="D5214" s="11" t="str">
        <f t="shared" si="1"/>
        <v> </v>
      </c>
      <c r="E5214" s="11" t="str">
        <f t="shared" si="2"/>
        <v> </v>
      </c>
    </row>
    <row r="5215" ht="15.75" customHeight="1">
      <c r="A5215" s="11">
        <v>17096.0</v>
      </c>
      <c r="B5215" s="11" t="s">
        <v>5198</v>
      </c>
      <c r="C5215" s="12">
        <v>14240.0</v>
      </c>
      <c r="D5215" s="11" t="str">
        <f t="shared" si="1"/>
        <v> </v>
      </c>
      <c r="E5215" s="11" t="str">
        <f t="shared" si="2"/>
        <v> </v>
      </c>
    </row>
    <row r="5216" ht="15.75" customHeight="1">
      <c r="A5216" s="11">
        <v>17097.0</v>
      </c>
      <c r="B5216" s="11" t="s">
        <v>5199</v>
      </c>
      <c r="C5216" s="12">
        <v>20197.0</v>
      </c>
      <c r="D5216" s="11" t="str">
        <f t="shared" si="1"/>
        <v> </v>
      </c>
      <c r="E5216" s="11" t="str">
        <f t="shared" si="2"/>
        <v> </v>
      </c>
    </row>
    <row r="5217" ht="15.75" customHeight="1">
      <c r="A5217" s="11">
        <v>17098.0</v>
      </c>
      <c r="B5217" s="11" t="s">
        <v>5200</v>
      </c>
      <c r="C5217" s="12">
        <v>10771.0</v>
      </c>
      <c r="D5217" s="11" t="str">
        <f t="shared" si="1"/>
        <v>Repeat</v>
      </c>
      <c r="E5217" s="11" t="str">
        <f t="shared" si="2"/>
        <v>Repeat</v>
      </c>
    </row>
    <row r="5218" ht="15.75" customHeight="1">
      <c r="A5218" s="11">
        <v>17099.0</v>
      </c>
      <c r="B5218" s="11" t="s">
        <v>5201</v>
      </c>
      <c r="C5218" s="12">
        <v>19994.0</v>
      </c>
      <c r="D5218" s="11" t="str">
        <f t="shared" si="1"/>
        <v> </v>
      </c>
      <c r="E5218" s="11" t="str">
        <f t="shared" si="2"/>
        <v> </v>
      </c>
    </row>
    <row r="5219" ht="15.75" customHeight="1">
      <c r="A5219" s="11">
        <v>17100.0</v>
      </c>
      <c r="B5219" s="11" t="s">
        <v>5202</v>
      </c>
      <c r="C5219" s="12">
        <v>20993.0</v>
      </c>
      <c r="D5219" s="11" t="str">
        <f t="shared" si="1"/>
        <v> </v>
      </c>
      <c r="E5219" s="11" t="str">
        <f t="shared" si="2"/>
        <v> </v>
      </c>
    </row>
    <row r="5220" ht="15.75" customHeight="1">
      <c r="A5220" s="11">
        <v>17101.0</v>
      </c>
      <c r="B5220" s="11" t="s">
        <v>5203</v>
      </c>
      <c r="C5220" s="12">
        <v>25821.0</v>
      </c>
      <c r="D5220" s="11" t="str">
        <f t="shared" si="1"/>
        <v> </v>
      </c>
      <c r="E5220" s="11" t="str">
        <f t="shared" si="2"/>
        <v> </v>
      </c>
    </row>
    <row r="5221" ht="15.75" customHeight="1">
      <c r="A5221" s="11">
        <v>17102.0</v>
      </c>
      <c r="B5221" s="11" t="s">
        <v>5204</v>
      </c>
      <c r="C5221" s="12">
        <v>21299.0</v>
      </c>
      <c r="D5221" s="11" t="str">
        <f t="shared" si="1"/>
        <v> </v>
      </c>
      <c r="E5221" s="11" t="str">
        <f t="shared" si="2"/>
        <v> </v>
      </c>
    </row>
    <row r="5222" ht="15.75" customHeight="1">
      <c r="A5222" s="11">
        <v>17103.0</v>
      </c>
      <c r="B5222" s="11" t="s">
        <v>1934</v>
      </c>
      <c r="C5222" s="12">
        <v>24852.0</v>
      </c>
      <c r="D5222" s="11" t="str">
        <f t="shared" si="1"/>
        <v>Repeat</v>
      </c>
      <c r="E5222" s="11" t="str">
        <f t="shared" si="2"/>
        <v> </v>
      </c>
    </row>
    <row r="5223" ht="15.75" customHeight="1">
      <c r="A5223" s="11">
        <v>17104.0</v>
      </c>
      <c r="B5223" s="11" t="s">
        <v>5205</v>
      </c>
      <c r="C5223" s="12">
        <v>29278.0</v>
      </c>
      <c r="D5223" s="11" t="str">
        <f t="shared" si="1"/>
        <v> </v>
      </c>
      <c r="E5223" s="11" t="str">
        <f t="shared" si="2"/>
        <v> </v>
      </c>
    </row>
    <row r="5224" ht="15.75" customHeight="1">
      <c r="A5224" s="11">
        <v>17105.0</v>
      </c>
      <c r="B5224" s="11" t="s">
        <v>5206</v>
      </c>
      <c r="C5224" s="12">
        <v>25263.0</v>
      </c>
      <c r="D5224" s="11" t="str">
        <f t="shared" si="1"/>
        <v> </v>
      </c>
      <c r="E5224" s="11" t="str">
        <f t="shared" si="2"/>
        <v> </v>
      </c>
    </row>
    <row r="5225" ht="15.75" customHeight="1">
      <c r="A5225" s="11">
        <v>17106.0</v>
      </c>
      <c r="B5225" s="11" t="s">
        <v>5207</v>
      </c>
      <c r="C5225" s="12">
        <v>11696.0</v>
      </c>
      <c r="D5225" s="11" t="str">
        <f t="shared" si="1"/>
        <v> </v>
      </c>
      <c r="E5225" s="11" t="str">
        <f t="shared" si="2"/>
        <v>Repeat</v>
      </c>
    </row>
    <row r="5226" ht="15.75" customHeight="1">
      <c r="A5226" s="11">
        <v>17107.0</v>
      </c>
      <c r="B5226" s="11" t="s">
        <v>5208</v>
      </c>
      <c r="C5226" s="12">
        <v>33141.0</v>
      </c>
      <c r="D5226" s="11" t="str">
        <f t="shared" si="1"/>
        <v> </v>
      </c>
      <c r="E5226" s="11" t="str">
        <f t="shared" si="2"/>
        <v> </v>
      </c>
    </row>
    <row r="5227" ht="15.75" customHeight="1">
      <c r="A5227" s="11">
        <v>17108.0</v>
      </c>
      <c r="B5227" s="11" t="s">
        <v>5209</v>
      </c>
      <c r="C5227" s="12">
        <v>27178.0</v>
      </c>
      <c r="D5227" s="11" t="str">
        <f t="shared" si="1"/>
        <v> </v>
      </c>
      <c r="E5227" s="11" t="str">
        <f t="shared" si="2"/>
        <v> </v>
      </c>
    </row>
    <row r="5228" ht="15.75" customHeight="1">
      <c r="A5228" s="11">
        <v>17109.0</v>
      </c>
      <c r="B5228" s="11" t="s">
        <v>5210</v>
      </c>
      <c r="C5228" s="12">
        <v>24191.0</v>
      </c>
      <c r="D5228" s="11" t="str">
        <f t="shared" si="1"/>
        <v> </v>
      </c>
      <c r="E5228" s="11" t="str">
        <f t="shared" si="2"/>
        <v> </v>
      </c>
    </row>
    <row r="5229" ht="15.75" customHeight="1">
      <c r="A5229" s="11">
        <v>17110.0</v>
      </c>
      <c r="B5229" s="11" t="s">
        <v>5211</v>
      </c>
      <c r="C5229" s="12">
        <v>20387.0</v>
      </c>
      <c r="D5229" s="11" t="str">
        <f t="shared" si="1"/>
        <v> </v>
      </c>
      <c r="E5229" s="11" t="str">
        <f t="shared" si="2"/>
        <v> </v>
      </c>
    </row>
    <row r="5230" ht="15.75" customHeight="1">
      <c r="A5230" s="11">
        <v>17111.0</v>
      </c>
      <c r="B5230" s="11" t="s">
        <v>5212</v>
      </c>
      <c r="C5230" s="12">
        <v>35171.0</v>
      </c>
      <c r="D5230" s="11" t="str">
        <f t="shared" si="1"/>
        <v> </v>
      </c>
      <c r="E5230" s="11" t="str">
        <f t="shared" si="2"/>
        <v> </v>
      </c>
    </row>
    <row r="5231" ht="15.75" customHeight="1">
      <c r="A5231" s="11">
        <v>17112.0</v>
      </c>
      <c r="B5231" s="11" t="s">
        <v>5213</v>
      </c>
      <c r="C5231" s="12">
        <v>30598.0</v>
      </c>
      <c r="D5231" s="11" t="str">
        <f t="shared" si="1"/>
        <v> </v>
      </c>
      <c r="E5231" s="11" t="str">
        <f t="shared" si="2"/>
        <v> </v>
      </c>
    </row>
    <row r="5232" ht="15.75" customHeight="1">
      <c r="A5232" s="11">
        <v>17114.0</v>
      </c>
      <c r="B5232" s="11" t="s">
        <v>5214</v>
      </c>
      <c r="C5232" s="12">
        <v>18389.0</v>
      </c>
      <c r="D5232" s="11" t="str">
        <f t="shared" si="1"/>
        <v> </v>
      </c>
      <c r="E5232" s="11" t="str">
        <f t="shared" si="2"/>
        <v> </v>
      </c>
    </row>
    <row r="5233" ht="15.75" customHeight="1">
      <c r="A5233" s="11">
        <v>17115.0</v>
      </c>
      <c r="B5233" s="11" t="s">
        <v>5215</v>
      </c>
      <c r="C5233" s="12">
        <v>22351.0</v>
      </c>
      <c r="D5233" s="11" t="str">
        <f t="shared" si="1"/>
        <v> </v>
      </c>
      <c r="E5233" s="11" t="str">
        <f t="shared" si="2"/>
        <v> </v>
      </c>
    </row>
    <row r="5234" ht="15.75" customHeight="1">
      <c r="A5234" s="11">
        <v>17116.0</v>
      </c>
      <c r="B5234" s="11" t="s">
        <v>5216</v>
      </c>
      <c r="C5234" s="12">
        <v>32878.0</v>
      </c>
      <c r="D5234" s="11" t="str">
        <f t="shared" si="1"/>
        <v> </v>
      </c>
      <c r="E5234" s="11" t="str">
        <f t="shared" si="2"/>
        <v> </v>
      </c>
    </row>
    <row r="5235" ht="15.75" customHeight="1">
      <c r="A5235" s="11">
        <v>17117.0</v>
      </c>
      <c r="B5235" s="11" t="s">
        <v>5217</v>
      </c>
      <c r="C5235" s="12">
        <v>18876.0</v>
      </c>
      <c r="D5235" s="11" t="str">
        <f t="shared" si="1"/>
        <v> </v>
      </c>
      <c r="E5235" s="11" t="str">
        <f t="shared" si="2"/>
        <v> </v>
      </c>
    </row>
    <row r="5236" ht="15.75" customHeight="1">
      <c r="A5236" s="11">
        <v>17118.0</v>
      </c>
      <c r="B5236" s="11" t="s">
        <v>5218</v>
      </c>
      <c r="C5236" s="12">
        <v>25241.0</v>
      </c>
      <c r="D5236" s="11" t="str">
        <f t="shared" si="1"/>
        <v> </v>
      </c>
      <c r="E5236" s="11" t="str">
        <f t="shared" si="2"/>
        <v> </v>
      </c>
    </row>
    <row r="5237" ht="15.75" customHeight="1">
      <c r="A5237" s="11">
        <v>17119.0</v>
      </c>
      <c r="B5237" s="11" t="s">
        <v>5219</v>
      </c>
      <c r="C5237" s="12">
        <v>22189.0</v>
      </c>
      <c r="D5237" s="11" t="str">
        <f t="shared" si="1"/>
        <v> </v>
      </c>
      <c r="E5237" s="11" t="str">
        <f t="shared" si="2"/>
        <v>Repeat</v>
      </c>
    </row>
    <row r="5238" ht="15.75" customHeight="1">
      <c r="A5238" s="11">
        <v>17120.0</v>
      </c>
      <c r="B5238" s="11" t="s">
        <v>5220</v>
      </c>
      <c r="C5238" s="12">
        <v>15240.0</v>
      </c>
      <c r="D5238" s="11" t="str">
        <f t="shared" si="1"/>
        <v> </v>
      </c>
      <c r="E5238" s="11" t="str">
        <f t="shared" si="2"/>
        <v> </v>
      </c>
    </row>
    <row r="5239" ht="15.75" customHeight="1">
      <c r="A5239" s="11">
        <v>17121.0</v>
      </c>
      <c r="B5239" s="11" t="s">
        <v>5221</v>
      </c>
      <c r="C5239" s="12">
        <v>10085.0</v>
      </c>
      <c r="D5239" s="11" t="str">
        <f t="shared" si="1"/>
        <v>Repeat</v>
      </c>
      <c r="E5239" s="11" t="str">
        <f t="shared" si="2"/>
        <v>Repeat</v>
      </c>
    </row>
    <row r="5240" ht="15.75" customHeight="1">
      <c r="A5240" s="11">
        <v>17123.0</v>
      </c>
      <c r="B5240" s="11" t="s">
        <v>5222</v>
      </c>
      <c r="C5240" s="12">
        <v>20047.0</v>
      </c>
      <c r="D5240" s="11" t="str">
        <f t="shared" si="1"/>
        <v> </v>
      </c>
      <c r="E5240" s="11" t="str">
        <f t="shared" si="2"/>
        <v> </v>
      </c>
    </row>
    <row r="5241" ht="15.75" customHeight="1">
      <c r="A5241" s="11">
        <v>17125.0</v>
      </c>
      <c r="B5241" s="11" t="s">
        <v>5223</v>
      </c>
      <c r="C5241" s="12">
        <v>17554.0</v>
      </c>
      <c r="D5241" s="11" t="str">
        <f t="shared" si="1"/>
        <v> </v>
      </c>
      <c r="E5241" s="11" t="str">
        <f t="shared" si="2"/>
        <v> </v>
      </c>
    </row>
    <row r="5242" ht="15.75" customHeight="1">
      <c r="A5242" s="11">
        <v>17126.0</v>
      </c>
      <c r="B5242" s="11" t="s">
        <v>5224</v>
      </c>
      <c r="C5242" s="12">
        <v>14466.0</v>
      </c>
      <c r="D5242" s="11" t="str">
        <f t="shared" si="1"/>
        <v> </v>
      </c>
      <c r="E5242" s="11" t="str">
        <f t="shared" si="2"/>
        <v> </v>
      </c>
    </row>
    <row r="5243" ht="15.75" customHeight="1">
      <c r="A5243" s="11">
        <v>17127.0</v>
      </c>
      <c r="B5243" s="11" t="s">
        <v>5225</v>
      </c>
      <c r="C5243" s="12">
        <v>20178.0</v>
      </c>
      <c r="D5243" s="11" t="str">
        <f t="shared" si="1"/>
        <v> </v>
      </c>
      <c r="E5243" s="11" t="str">
        <f t="shared" si="2"/>
        <v> </v>
      </c>
    </row>
    <row r="5244" ht="15.75" customHeight="1">
      <c r="A5244" s="11">
        <v>17128.0</v>
      </c>
      <c r="B5244" s="11" t="s">
        <v>5226</v>
      </c>
      <c r="C5244" s="12">
        <v>20854.0</v>
      </c>
      <c r="D5244" s="11" t="str">
        <f t="shared" si="1"/>
        <v> </v>
      </c>
      <c r="E5244" s="11" t="str">
        <f t="shared" si="2"/>
        <v> </v>
      </c>
    </row>
    <row r="5245" ht="15.75" customHeight="1">
      <c r="A5245" s="11">
        <v>17129.0</v>
      </c>
      <c r="B5245" s="11" t="s">
        <v>5227</v>
      </c>
      <c r="C5245" s="12">
        <v>37263.0</v>
      </c>
      <c r="D5245" s="11" t="str">
        <f t="shared" si="1"/>
        <v> </v>
      </c>
      <c r="E5245" s="11" t="str">
        <f t="shared" si="2"/>
        <v> </v>
      </c>
    </row>
    <row r="5246" ht="15.75" customHeight="1">
      <c r="A5246" s="11">
        <v>17132.0</v>
      </c>
      <c r="B5246" s="11" t="s">
        <v>5228</v>
      </c>
      <c r="C5246" s="12">
        <v>20001.0</v>
      </c>
      <c r="D5246" s="11" t="str">
        <f t="shared" si="1"/>
        <v> </v>
      </c>
      <c r="E5246" s="11" t="str">
        <f t="shared" si="2"/>
        <v> </v>
      </c>
    </row>
    <row r="5247" ht="15.75" customHeight="1">
      <c r="A5247" s="11">
        <v>17133.0</v>
      </c>
      <c r="B5247" s="11" t="s">
        <v>5229</v>
      </c>
      <c r="C5247" s="12">
        <v>17711.0</v>
      </c>
      <c r="D5247" s="11" t="str">
        <f t="shared" si="1"/>
        <v> </v>
      </c>
      <c r="E5247" s="11" t="str">
        <f t="shared" si="2"/>
        <v> </v>
      </c>
    </row>
    <row r="5248" ht="15.75" customHeight="1">
      <c r="A5248" s="11">
        <v>17134.0</v>
      </c>
      <c r="B5248" s="11" t="s">
        <v>5230</v>
      </c>
      <c r="C5248" s="12">
        <v>11819.0</v>
      </c>
      <c r="D5248" s="11" t="str">
        <f t="shared" si="1"/>
        <v> </v>
      </c>
      <c r="E5248" s="11" t="str">
        <f t="shared" si="2"/>
        <v> </v>
      </c>
    </row>
    <row r="5249" ht="15.75" customHeight="1">
      <c r="A5249" s="11">
        <v>17135.0</v>
      </c>
      <c r="B5249" s="11" t="s">
        <v>5231</v>
      </c>
      <c r="C5249" s="12">
        <v>7991.0</v>
      </c>
      <c r="D5249" s="11" t="str">
        <f t="shared" si="1"/>
        <v> </v>
      </c>
      <c r="E5249" s="11" t="str">
        <f t="shared" si="2"/>
        <v> </v>
      </c>
    </row>
    <row r="5250" ht="15.75" customHeight="1">
      <c r="A5250" s="11">
        <v>17136.0</v>
      </c>
      <c r="B5250" s="11" t="s">
        <v>5232</v>
      </c>
      <c r="C5250" s="12">
        <v>28830.0</v>
      </c>
      <c r="D5250" s="11" t="str">
        <f t="shared" si="1"/>
        <v> </v>
      </c>
      <c r="E5250" s="11" t="str">
        <f t="shared" si="2"/>
        <v>Repeat</v>
      </c>
    </row>
    <row r="5251" ht="15.75" customHeight="1">
      <c r="A5251" s="11">
        <v>17137.0</v>
      </c>
      <c r="B5251" s="11" t="s">
        <v>5233</v>
      </c>
      <c r="C5251" s="12">
        <v>22217.0</v>
      </c>
      <c r="D5251" s="11" t="str">
        <f t="shared" si="1"/>
        <v> </v>
      </c>
      <c r="E5251" s="11" t="str">
        <f t="shared" si="2"/>
        <v> </v>
      </c>
    </row>
    <row r="5252" ht="15.75" customHeight="1">
      <c r="A5252" s="11">
        <v>17139.0</v>
      </c>
      <c r="B5252" s="11" t="s">
        <v>5234</v>
      </c>
      <c r="C5252" s="12">
        <v>15964.0</v>
      </c>
      <c r="D5252" s="11" t="str">
        <f t="shared" si="1"/>
        <v> </v>
      </c>
      <c r="E5252" s="11" t="str">
        <f t="shared" si="2"/>
        <v> </v>
      </c>
    </row>
    <row r="5253" ht="15.75" customHeight="1">
      <c r="A5253" s="11">
        <v>17140.0</v>
      </c>
      <c r="B5253" s="11" t="s">
        <v>5235</v>
      </c>
      <c r="C5253" s="12">
        <v>32116.0</v>
      </c>
      <c r="D5253" s="11" t="str">
        <f t="shared" si="1"/>
        <v> </v>
      </c>
      <c r="E5253" s="11" t="str">
        <f t="shared" si="2"/>
        <v> </v>
      </c>
    </row>
    <row r="5254" ht="15.75" customHeight="1">
      <c r="A5254" s="11">
        <v>17141.0</v>
      </c>
      <c r="B5254" s="11" t="s">
        <v>5236</v>
      </c>
      <c r="C5254" s="12">
        <v>12984.0</v>
      </c>
      <c r="D5254" s="11" t="str">
        <f t="shared" si="1"/>
        <v> </v>
      </c>
      <c r="E5254" s="11" t="str">
        <f t="shared" si="2"/>
        <v> </v>
      </c>
    </row>
    <row r="5255" ht="15.75" customHeight="1">
      <c r="A5255" s="11">
        <v>17142.0</v>
      </c>
      <c r="B5255" s="11" t="s">
        <v>5237</v>
      </c>
      <c r="C5255" s="12">
        <v>30104.0</v>
      </c>
      <c r="D5255" s="11" t="str">
        <f t="shared" si="1"/>
        <v> </v>
      </c>
      <c r="E5255" s="11" t="str">
        <f t="shared" si="2"/>
        <v> </v>
      </c>
    </row>
    <row r="5256" ht="15.75" customHeight="1">
      <c r="A5256" s="11">
        <v>17143.0</v>
      </c>
      <c r="B5256" s="11" t="s">
        <v>5238</v>
      </c>
      <c r="C5256" s="12">
        <v>23907.0</v>
      </c>
      <c r="D5256" s="11" t="str">
        <f t="shared" si="1"/>
        <v> </v>
      </c>
      <c r="E5256" s="11" t="str">
        <f t="shared" si="2"/>
        <v> </v>
      </c>
    </row>
    <row r="5257" ht="15.75" customHeight="1">
      <c r="A5257" s="11">
        <v>17144.0</v>
      </c>
      <c r="B5257" s="11" t="s">
        <v>5239</v>
      </c>
      <c r="C5257" s="12">
        <v>28295.0</v>
      </c>
      <c r="D5257" s="11" t="str">
        <f t="shared" si="1"/>
        <v> </v>
      </c>
      <c r="E5257" s="11" t="str">
        <f t="shared" si="2"/>
        <v> </v>
      </c>
    </row>
    <row r="5258" ht="15.75" customHeight="1">
      <c r="A5258" s="11">
        <v>17146.0</v>
      </c>
      <c r="B5258" s="11" t="s">
        <v>5240</v>
      </c>
      <c r="C5258" s="12">
        <v>20905.0</v>
      </c>
      <c r="D5258" s="11" t="str">
        <f t="shared" si="1"/>
        <v> </v>
      </c>
      <c r="E5258" s="11" t="str">
        <f t="shared" si="2"/>
        <v> </v>
      </c>
    </row>
    <row r="5259" ht="15.75" customHeight="1">
      <c r="A5259" s="11">
        <v>17147.0</v>
      </c>
      <c r="B5259" s="11" t="s">
        <v>5241</v>
      </c>
      <c r="C5259" s="12">
        <v>19931.0</v>
      </c>
      <c r="D5259" s="11" t="str">
        <f t="shared" si="1"/>
        <v> </v>
      </c>
      <c r="E5259" s="11" t="str">
        <f t="shared" si="2"/>
        <v> </v>
      </c>
    </row>
    <row r="5260" ht="15.75" customHeight="1">
      <c r="A5260" s="11">
        <v>17150.0</v>
      </c>
      <c r="B5260" s="11" t="s">
        <v>5242</v>
      </c>
      <c r="C5260" s="12">
        <v>25756.0</v>
      </c>
      <c r="D5260" s="11" t="str">
        <f t="shared" si="1"/>
        <v> </v>
      </c>
      <c r="E5260" s="11" t="str">
        <f t="shared" si="2"/>
        <v> </v>
      </c>
    </row>
    <row r="5261" ht="15.75" customHeight="1">
      <c r="A5261" s="11">
        <v>17151.0</v>
      </c>
      <c r="B5261" s="11" t="s">
        <v>5243</v>
      </c>
      <c r="C5261" s="12">
        <v>32477.0</v>
      </c>
      <c r="D5261" s="11" t="str">
        <f t="shared" si="1"/>
        <v> </v>
      </c>
      <c r="E5261" s="11" t="str">
        <f t="shared" si="2"/>
        <v> </v>
      </c>
    </row>
    <row r="5262" ht="15.75" customHeight="1">
      <c r="A5262" s="11">
        <v>17153.0</v>
      </c>
      <c r="B5262" s="11" t="s">
        <v>5244</v>
      </c>
      <c r="C5262" s="12">
        <v>29857.0</v>
      </c>
      <c r="D5262" s="11" t="str">
        <f t="shared" si="1"/>
        <v> </v>
      </c>
      <c r="E5262" s="11" t="str">
        <f t="shared" si="2"/>
        <v> </v>
      </c>
    </row>
    <row r="5263" ht="15.75" customHeight="1">
      <c r="A5263" s="11">
        <v>17154.0</v>
      </c>
      <c r="B5263" s="11" t="s">
        <v>5245</v>
      </c>
      <c r="C5263" s="12">
        <v>27058.0</v>
      </c>
      <c r="D5263" s="11" t="str">
        <f t="shared" si="1"/>
        <v> </v>
      </c>
      <c r="E5263" s="11" t="str">
        <f t="shared" si="2"/>
        <v> </v>
      </c>
    </row>
    <row r="5264" ht="15.75" customHeight="1">
      <c r="A5264" s="11">
        <v>17155.0</v>
      </c>
      <c r="B5264" s="11" t="s">
        <v>5246</v>
      </c>
      <c r="C5264" s="12">
        <v>20870.0</v>
      </c>
      <c r="D5264" s="11" t="str">
        <f t="shared" si="1"/>
        <v> </v>
      </c>
      <c r="E5264" s="11" t="str">
        <f t="shared" si="2"/>
        <v> </v>
      </c>
    </row>
    <row r="5265" ht="15.75" customHeight="1">
      <c r="A5265" s="11">
        <v>17156.0</v>
      </c>
      <c r="B5265" s="11" t="s">
        <v>5247</v>
      </c>
      <c r="C5265" s="12">
        <v>21989.0</v>
      </c>
      <c r="D5265" s="11" t="str">
        <f t="shared" si="1"/>
        <v>Repeat</v>
      </c>
      <c r="E5265" s="11" t="str">
        <f t="shared" si="2"/>
        <v> </v>
      </c>
    </row>
    <row r="5266" ht="15.75" customHeight="1">
      <c r="A5266" s="11">
        <v>17157.0</v>
      </c>
      <c r="B5266" s="11" t="s">
        <v>5248</v>
      </c>
      <c r="C5266" s="12">
        <v>21795.0</v>
      </c>
      <c r="D5266" s="11" t="str">
        <f t="shared" si="1"/>
        <v> </v>
      </c>
      <c r="E5266" s="11" t="str">
        <f t="shared" si="2"/>
        <v> </v>
      </c>
    </row>
    <row r="5267" ht="15.75" customHeight="1">
      <c r="A5267" s="11">
        <v>17158.0</v>
      </c>
      <c r="B5267" s="11" t="s">
        <v>5249</v>
      </c>
      <c r="C5267" s="12">
        <v>28152.0</v>
      </c>
      <c r="D5267" s="11" t="str">
        <f t="shared" si="1"/>
        <v> </v>
      </c>
      <c r="E5267" s="11" t="str">
        <f t="shared" si="2"/>
        <v> </v>
      </c>
    </row>
    <row r="5268" ht="15.75" customHeight="1">
      <c r="A5268" s="11">
        <v>17159.0</v>
      </c>
      <c r="B5268" s="11" t="s">
        <v>5250</v>
      </c>
      <c r="C5268" s="12">
        <v>17702.0</v>
      </c>
      <c r="D5268" s="11" t="str">
        <f t="shared" si="1"/>
        <v> </v>
      </c>
      <c r="E5268" s="11" t="str">
        <f t="shared" si="2"/>
        <v> </v>
      </c>
    </row>
    <row r="5269" ht="15.75" customHeight="1">
      <c r="A5269" s="11">
        <v>17162.0</v>
      </c>
      <c r="B5269" s="11" t="s">
        <v>5251</v>
      </c>
      <c r="C5269" s="12">
        <v>22211.0</v>
      </c>
      <c r="D5269" s="11" t="str">
        <f t="shared" si="1"/>
        <v> </v>
      </c>
      <c r="E5269" s="11" t="str">
        <f t="shared" si="2"/>
        <v> </v>
      </c>
    </row>
    <row r="5270" ht="15.75" customHeight="1">
      <c r="A5270" s="11">
        <v>17163.0</v>
      </c>
      <c r="B5270" s="11" t="s">
        <v>5252</v>
      </c>
      <c r="C5270" s="12">
        <v>20350.0</v>
      </c>
      <c r="D5270" s="11" t="str">
        <f t="shared" si="1"/>
        <v> </v>
      </c>
      <c r="E5270" s="11" t="str">
        <f t="shared" si="2"/>
        <v> </v>
      </c>
    </row>
    <row r="5271" ht="15.75" customHeight="1">
      <c r="A5271" s="11">
        <v>17164.0</v>
      </c>
      <c r="B5271" s="11" t="s">
        <v>5253</v>
      </c>
      <c r="C5271" s="12">
        <v>22850.0</v>
      </c>
      <c r="D5271" s="11" t="str">
        <f t="shared" si="1"/>
        <v> </v>
      </c>
      <c r="E5271" s="11" t="str">
        <f t="shared" si="2"/>
        <v> </v>
      </c>
    </row>
    <row r="5272" ht="15.75" customHeight="1">
      <c r="A5272" s="11">
        <v>17165.0</v>
      </c>
      <c r="B5272" s="11" t="s">
        <v>5254</v>
      </c>
      <c r="C5272" s="12">
        <v>13529.0</v>
      </c>
      <c r="D5272" s="11" t="str">
        <f t="shared" si="1"/>
        <v> </v>
      </c>
      <c r="E5272" s="11" t="str">
        <f t="shared" si="2"/>
        <v> </v>
      </c>
    </row>
    <row r="5273" ht="15.75" customHeight="1">
      <c r="A5273" s="11">
        <v>17166.0</v>
      </c>
      <c r="B5273" s="11" t="s">
        <v>5255</v>
      </c>
      <c r="C5273" s="12">
        <v>23624.0</v>
      </c>
      <c r="D5273" s="11" t="str">
        <f t="shared" si="1"/>
        <v> </v>
      </c>
      <c r="E5273" s="11" t="str">
        <f t="shared" si="2"/>
        <v> </v>
      </c>
    </row>
    <row r="5274" ht="15.75" customHeight="1">
      <c r="A5274" s="11">
        <v>17168.0</v>
      </c>
      <c r="B5274" s="11" t="s">
        <v>5256</v>
      </c>
      <c r="C5274" s="12">
        <v>27344.0</v>
      </c>
      <c r="D5274" s="11" t="str">
        <f t="shared" si="1"/>
        <v> </v>
      </c>
      <c r="E5274" s="11" t="str">
        <f t="shared" si="2"/>
        <v> </v>
      </c>
    </row>
    <row r="5275" ht="15.75" customHeight="1">
      <c r="A5275" s="11">
        <v>17170.0</v>
      </c>
      <c r="B5275" s="11" t="s">
        <v>5257</v>
      </c>
      <c r="C5275" s="12">
        <v>15869.0</v>
      </c>
      <c r="D5275" s="11" t="str">
        <f t="shared" si="1"/>
        <v> </v>
      </c>
      <c r="E5275" s="11" t="str">
        <f t="shared" si="2"/>
        <v> </v>
      </c>
    </row>
    <row r="5276" ht="15.75" customHeight="1">
      <c r="A5276" s="11">
        <v>17171.0</v>
      </c>
      <c r="B5276" s="11" t="s">
        <v>5258</v>
      </c>
      <c r="C5276" s="12">
        <v>26592.0</v>
      </c>
      <c r="D5276" s="11" t="str">
        <f t="shared" si="1"/>
        <v> </v>
      </c>
      <c r="E5276" s="11" t="str">
        <f t="shared" si="2"/>
        <v> </v>
      </c>
    </row>
    <row r="5277" ht="15.75" customHeight="1">
      <c r="A5277" s="11">
        <v>17172.0</v>
      </c>
      <c r="B5277" s="11" t="s">
        <v>5259</v>
      </c>
      <c r="C5277" s="12">
        <v>17998.0</v>
      </c>
      <c r="D5277" s="11" t="str">
        <f t="shared" si="1"/>
        <v> </v>
      </c>
      <c r="E5277" s="11" t="str">
        <f t="shared" si="2"/>
        <v> </v>
      </c>
    </row>
    <row r="5278" ht="15.75" customHeight="1">
      <c r="A5278" s="11">
        <v>17173.0</v>
      </c>
      <c r="B5278" s="11" t="s">
        <v>5260</v>
      </c>
      <c r="C5278" s="12">
        <v>29239.0</v>
      </c>
      <c r="D5278" s="11" t="str">
        <f t="shared" si="1"/>
        <v> </v>
      </c>
      <c r="E5278" s="11" t="str">
        <f t="shared" si="2"/>
        <v> </v>
      </c>
    </row>
    <row r="5279" ht="15.75" customHeight="1">
      <c r="A5279" s="11">
        <v>17174.0</v>
      </c>
      <c r="B5279" s="11" t="s">
        <v>5261</v>
      </c>
      <c r="C5279" s="12">
        <v>28957.0</v>
      </c>
      <c r="D5279" s="11" t="str">
        <f t="shared" si="1"/>
        <v> </v>
      </c>
      <c r="E5279" s="11" t="str">
        <f t="shared" si="2"/>
        <v> </v>
      </c>
    </row>
    <row r="5280" ht="15.75" customHeight="1">
      <c r="A5280" s="11">
        <v>17175.0</v>
      </c>
      <c r="B5280" s="11" t="s">
        <v>5262</v>
      </c>
      <c r="C5280" s="12">
        <v>22114.0</v>
      </c>
      <c r="D5280" s="11" t="str">
        <f t="shared" si="1"/>
        <v> </v>
      </c>
      <c r="E5280" s="11" t="str">
        <f t="shared" si="2"/>
        <v> </v>
      </c>
    </row>
    <row r="5281" ht="15.75" customHeight="1">
      <c r="A5281" s="11">
        <v>17176.0</v>
      </c>
      <c r="B5281" s="11" t="s">
        <v>5263</v>
      </c>
      <c r="C5281" s="12">
        <v>17317.0</v>
      </c>
      <c r="D5281" s="11" t="str">
        <f t="shared" si="1"/>
        <v> </v>
      </c>
      <c r="E5281" s="11" t="str">
        <f t="shared" si="2"/>
        <v> </v>
      </c>
    </row>
    <row r="5282" ht="15.75" customHeight="1">
      <c r="A5282" s="11">
        <v>17177.0</v>
      </c>
      <c r="B5282" s="11" t="s">
        <v>5264</v>
      </c>
      <c r="C5282" s="12">
        <v>30401.0</v>
      </c>
      <c r="D5282" s="11" t="str">
        <f t="shared" si="1"/>
        <v> </v>
      </c>
      <c r="E5282" s="11" t="str">
        <f t="shared" si="2"/>
        <v> </v>
      </c>
    </row>
    <row r="5283" ht="15.75" customHeight="1">
      <c r="A5283" s="11">
        <v>17179.0</v>
      </c>
      <c r="B5283" s="11" t="s">
        <v>5265</v>
      </c>
      <c r="C5283" s="12">
        <v>37615.0</v>
      </c>
      <c r="D5283" s="11" t="str">
        <f t="shared" si="1"/>
        <v> </v>
      </c>
      <c r="E5283" s="11" t="str">
        <f t="shared" si="2"/>
        <v> </v>
      </c>
    </row>
    <row r="5284" ht="15.75" customHeight="1">
      <c r="A5284" s="11">
        <v>17180.0</v>
      </c>
      <c r="B5284" s="11" t="s">
        <v>5266</v>
      </c>
      <c r="C5284" s="12">
        <v>14910.0</v>
      </c>
      <c r="D5284" s="11" t="str">
        <f t="shared" si="1"/>
        <v> </v>
      </c>
      <c r="E5284" s="11" t="str">
        <f t="shared" si="2"/>
        <v> </v>
      </c>
    </row>
    <row r="5285" ht="15.75" customHeight="1">
      <c r="A5285" s="11">
        <v>17181.0</v>
      </c>
      <c r="B5285" s="11" t="s">
        <v>5267</v>
      </c>
      <c r="C5285" s="12">
        <v>16445.0</v>
      </c>
      <c r="D5285" s="11" t="str">
        <f t="shared" si="1"/>
        <v> </v>
      </c>
      <c r="E5285" s="11" t="str">
        <f t="shared" si="2"/>
        <v> </v>
      </c>
    </row>
    <row r="5286" ht="15.75" customHeight="1">
      <c r="A5286" s="11">
        <v>17182.0</v>
      </c>
      <c r="B5286" s="11" t="s">
        <v>5268</v>
      </c>
      <c r="C5286" s="12">
        <v>24399.0</v>
      </c>
      <c r="D5286" s="11" t="str">
        <f t="shared" si="1"/>
        <v> </v>
      </c>
      <c r="E5286" s="11" t="str">
        <f t="shared" si="2"/>
        <v> </v>
      </c>
    </row>
    <row r="5287" ht="15.75" customHeight="1">
      <c r="A5287" s="11">
        <v>17184.0</v>
      </c>
      <c r="B5287" s="11" t="s">
        <v>5269</v>
      </c>
      <c r="C5287" s="12">
        <v>26988.0</v>
      </c>
      <c r="D5287" s="11" t="str">
        <f t="shared" si="1"/>
        <v> </v>
      </c>
      <c r="E5287" s="11" t="str">
        <f t="shared" si="2"/>
        <v> </v>
      </c>
    </row>
    <row r="5288" ht="15.75" customHeight="1">
      <c r="A5288" s="11">
        <v>17185.0</v>
      </c>
      <c r="B5288" s="11" t="s">
        <v>5270</v>
      </c>
      <c r="C5288" s="12">
        <v>15362.0</v>
      </c>
      <c r="D5288" s="11" t="str">
        <f t="shared" si="1"/>
        <v> </v>
      </c>
      <c r="E5288" s="11" t="str">
        <f t="shared" si="2"/>
        <v> </v>
      </c>
    </row>
    <row r="5289" ht="15.75" customHeight="1">
      <c r="A5289" s="11">
        <v>17186.0</v>
      </c>
      <c r="B5289" s="11" t="s">
        <v>5271</v>
      </c>
      <c r="C5289" s="12">
        <v>32887.0</v>
      </c>
      <c r="D5289" s="11" t="str">
        <f t="shared" si="1"/>
        <v> </v>
      </c>
      <c r="E5289" s="11" t="str">
        <f t="shared" si="2"/>
        <v>Repeat</v>
      </c>
    </row>
    <row r="5290" ht="15.75" customHeight="1">
      <c r="A5290" s="11">
        <v>16777.0</v>
      </c>
      <c r="B5290" s="11" t="s">
        <v>5272</v>
      </c>
      <c r="C5290" s="12">
        <v>15732.0</v>
      </c>
      <c r="D5290" s="11" t="str">
        <f t="shared" si="1"/>
        <v> </v>
      </c>
      <c r="E5290" s="11" t="str">
        <f t="shared" si="2"/>
        <v> </v>
      </c>
    </row>
    <row r="5291" ht="15.75" customHeight="1">
      <c r="A5291" s="11">
        <v>17188.0</v>
      </c>
      <c r="B5291" s="11" t="s">
        <v>5273</v>
      </c>
      <c r="C5291" s="12">
        <v>20711.0</v>
      </c>
      <c r="D5291" s="11" t="str">
        <f t="shared" si="1"/>
        <v> </v>
      </c>
      <c r="E5291" s="11" t="str">
        <f t="shared" si="2"/>
        <v> </v>
      </c>
    </row>
    <row r="5292" ht="15.75" customHeight="1">
      <c r="A5292" s="11">
        <v>17189.0</v>
      </c>
      <c r="B5292" s="11" t="s">
        <v>5274</v>
      </c>
      <c r="C5292" s="12">
        <v>26494.0</v>
      </c>
      <c r="D5292" s="11" t="str">
        <f t="shared" si="1"/>
        <v> </v>
      </c>
      <c r="E5292" s="11" t="str">
        <f t="shared" si="2"/>
        <v> </v>
      </c>
    </row>
    <row r="5293" ht="15.75" customHeight="1">
      <c r="A5293" s="11">
        <v>17190.0</v>
      </c>
      <c r="B5293" s="11" t="s">
        <v>5275</v>
      </c>
      <c r="C5293" s="12">
        <v>19879.0</v>
      </c>
      <c r="D5293" s="11" t="str">
        <f t="shared" si="1"/>
        <v> </v>
      </c>
      <c r="E5293" s="11" t="str">
        <f t="shared" si="2"/>
        <v> </v>
      </c>
    </row>
    <row r="5294" ht="15.75" customHeight="1">
      <c r="A5294" s="11">
        <v>17191.0</v>
      </c>
      <c r="B5294" s="11" t="s">
        <v>5276</v>
      </c>
      <c r="C5294" s="12">
        <v>28971.0</v>
      </c>
      <c r="D5294" s="11" t="str">
        <f t="shared" si="1"/>
        <v> </v>
      </c>
      <c r="E5294" s="11" t="str">
        <f t="shared" si="2"/>
        <v> </v>
      </c>
    </row>
    <row r="5295" ht="15.75" customHeight="1">
      <c r="A5295" s="11">
        <v>17192.0</v>
      </c>
      <c r="B5295" s="11" t="s">
        <v>5277</v>
      </c>
      <c r="C5295" s="12">
        <v>19647.0</v>
      </c>
      <c r="D5295" s="11" t="str">
        <f t="shared" si="1"/>
        <v> </v>
      </c>
      <c r="E5295" s="11" t="str">
        <f t="shared" si="2"/>
        <v> </v>
      </c>
    </row>
    <row r="5296" ht="15.75" customHeight="1">
      <c r="A5296" s="11">
        <v>17193.0</v>
      </c>
      <c r="B5296" s="11" t="s">
        <v>204</v>
      </c>
      <c r="C5296" s="12">
        <v>13097.0</v>
      </c>
      <c r="D5296" s="11" t="str">
        <f t="shared" si="1"/>
        <v>Repeat</v>
      </c>
      <c r="E5296" s="11" t="str">
        <f t="shared" si="2"/>
        <v> </v>
      </c>
    </row>
    <row r="5297" ht="15.75" customHeight="1">
      <c r="A5297" s="11">
        <v>17194.0</v>
      </c>
      <c r="B5297" s="11" t="s">
        <v>5278</v>
      </c>
      <c r="C5297" s="12">
        <v>14925.0</v>
      </c>
      <c r="D5297" s="11" t="str">
        <f t="shared" si="1"/>
        <v> </v>
      </c>
      <c r="E5297" s="11" t="str">
        <f t="shared" si="2"/>
        <v> </v>
      </c>
    </row>
    <row r="5298" ht="15.75" customHeight="1">
      <c r="A5298" s="11">
        <v>17195.0</v>
      </c>
      <c r="B5298" s="11" t="s">
        <v>5279</v>
      </c>
      <c r="C5298" s="12">
        <v>23337.0</v>
      </c>
      <c r="D5298" s="11" t="str">
        <f t="shared" si="1"/>
        <v> </v>
      </c>
      <c r="E5298" s="11" t="str">
        <f t="shared" si="2"/>
        <v> </v>
      </c>
    </row>
    <row r="5299" ht="15.75" customHeight="1">
      <c r="A5299" s="11">
        <v>17197.0</v>
      </c>
      <c r="B5299" s="11" t="s">
        <v>5280</v>
      </c>
      <c r="C5299" s="12">
        <v>20092.0</v>
      </c>
      <c r="D5299" s="11" t="str">
        <f t="shared" si="1"/>
        <v> </v>
      </c>
      <c r="E5299" s="11" t="str">
        <f t="shared" si="2"/>
        <v>Repeat</v>
      </c>
    </row>
    <row r="5300" ht="15.75" customHeight="1">
      <c r="A5300" s="11">
        <v>17198.0</v>
      </c>
      <c r="B5300" s="11" t="s">
        <v>5281</v>
      </c>
      <c r="C5300" s="12">
        <v>20106.0</v>
      </c>
      <c r="D5300" s="11" t="str">
        <f t="shared" si="1"/>
        <v> </v>
      </c>
      <c r="E5300" s="11" t="str">
        <f t="shared" si="2"/>
        <v> </v>
      </c>
    </row>
    <row r="5301" ht="15.75" customHeight="1">
      <c r="A5301" s="11">
        <v>17199.0</v>
      </c>
      <c r="B5301" s="11" t="s">
        <v>5282</v>
      </c>
      <c r="C5301" s="12">
        <v>34129.0</v>
      </c>
      <c r="D5301" s="11" t="str">
        <f t="shared" si="1"/>
        <v> </v>
      </c>
      <c r="E5301" s="11" t="str">
        <f t="shared" si="2"/>
        <v> </v>
      </c>
    </row>
    <row r="5302" ht="15.75" customHeight="1">
      <c r="A5302" s="11">
        <v>17200.0</v>
      </c>
      <c r="B5302" s="11" t="s">
        <v>5283</v>
      </c>
      <c r="C5302" s="12">
        <v>27599.0</v>
      </c>
      <c r="D5302" s="11" t="str">
        <f t="shared" si="1"/>
        <v> </v>
      </c>
      <c r="E5302" s="11" t="str">
        <f t="shared" si="2"/>
        <v> </v>
      </c>
    </row>
    <row r="5303" ht="15.75" customHeight="1">
      <c r="A5303" s="11">
        <v>17201.0</v>
      </c>
      <c r="B5303" s="11" t="s">
        <v>5284</v>
      </c>
      <c r="C5303" s="12">
        <v>25999.0</v>
      </c>
      <c r="D5303" s="11" t="str">
        <f t="shared" si="1"/>
        <v> </v>
      </c>
      <c r="E5303" s="11" t="str">
        <f t="shared" si="2"/>
        <v> </v>
      </c>
    </row>
    <row r="5304" ht="15.75" customHeight="1">
      <c r="A5304" s="11">
        <v>17203.0</v>
      </c>
      <c r="B5304" s="11" t="s">
        <v>5285</v>
      </c>
      <c r="C5304" s="12">
        <v>21217.0</v>
      </c>
      <c r="D5304" s="11" t="str">
        <f t="shared" si="1"/>
        <v> </v>
      </c>
      <c r="E5304" s="11" t="str">
        <f t="shared" si="2"/>
        <v> </v>
      </c>
    </row>
    <row r="5305" ht="15.75" customHeight="1">
      <c r="A5305" s="11">
        <v>17204.0</v>
      </c>
      <c r="B5305" s="11" t="s">
        <v>5286</v>
      </c>
      <c r="C5305" s="12">
        <v>20195.0</v>
      </c>
      <c r="D5305" s="11" t="str">
        <f t="shared" si="1"/>
        <v> </v>
      </c>
      <c r="E5305" s="11" t="str">
        <f t="shared" si="2"/>
        <v> </v>
      </c>
    </row>
    <row r="5306" ht="15.75" customHeight="1">
      <c r="A5306" s="11">
        <v>17205.0</v>
      </c>
      <c r="B5306" s="11" t="s">
        <v>5287</v>
      </c>
      <c r="C5306" s="12">
        <v>18951.0</v>
      </c>
      <c r="D5306" s="11" t="str">
        <f t="shared" si="1"/>
        <v> </v>
      </c>
      <c r="E5306" s="11" t="str">
        <f t="shared" si="2"/>
        <v> </v>
      </c>
    </row>
    <row r="5307" ht="15.75" customHeight="1">
      <c r="A5307" s="11">
        <v>17206.0</v>
      </c>
      <c r="B5307" s="11" t="s">
        <v>5288</v>
      </c>
      <c r="C5307" s="12">
        <v>20244.0</v>
      </c>
      <c r="D5307" s="11" t="str">
        <f t="shared" si="1"/>
        <v> </v>
      </c>
      <c r="E5307" s="11" t="str">
        <f t="shared" si="2"/>
        <v> </v>
      </c>
    </row>
    <row r="5308" ht="15.75" customHeight="1">
      <c r="A5308" s="11">
        <v>17207.0</v>
      </c>
      <c r="B5308" s="11" t="s">
        <v>5289</v>
      </c>
      <c r="C5308" s="12">
        <v>21962.0</v>
      </c>
      <c r="D5308" s="11" t="str">
        <f t="shared" si="1"/>
        <v> </v>
      </c>
      <c r="E5308" s="11" t="str">
        <f t="shared" si="2"/>
        <v> </v>
      </c>
    </row>
    <row r="5309" ht="15.75" customHeight="1">
      <c r="A5309" s="11">
        <v>17209.0</v>
      </c>
      <c r="B5309" s="11" t="s">
        <v>5290</v>
      </c>
      <c r="C5309" s="12">
        <v>31086.0</v>
      </c>
      <c r="D5309" s="11" t="str">
        <f t="shared" si="1"/>
        <v> </v>
      </c>
      <c r="E5309" s="11" t="str">
        <f t="shared" si="2"/>
        <v> </v>
      </c>
    </row>
    <row r="5310" ht="15.75" customHeight="1">
      <c r="A5310" s="11">
        <v>17210.0</v>
      </c>
      <c r="B5310" s="11" t="s">
        <v>5291</v>
      </c>
      <c r="C5310" s="12">
        <v>21998.0</v>
      </c>
      <c r="D5310" s="11" t="str">
        <f t="shared" si="1"/>
        <v> </v>
      </c>
      <c r="E5310" s="11" t="str">
        <f t="shared" si="2"/>
        <v> </v>
      </c>
    </row>
    <row r="5311" ht="15.75" customHeight="1">
      <c r="A5311" s="11">
        <v>17211.0</v>
      </c>
      <c r="B5311" s="11" t="s">
        <v>5292</v>
      </c>
      <c r="C5311" s="12">
        <v>16418.0</v>
      </c>
      <c r="D5311" s="11" t="str">
        <f t="shared" si="1"/>
        <v> </v>
      </c>
      <c r="E5311" s="11" t="str">
        <f t="shared" si="2"/>
        <v> </v>
      </c>
    </row>
    <row r="5312" ht="15.75" customHeight="1">
      <c r="A5312" s="11">
        <v>17212.0</v>
      </c>
      <c r="B5312" s="11" t="s">
        <v>5293</v>
      </c>
      <c r="C5312" s="12">
        <v>12935.0</v>
      </c>
      <c r="D5312" s="11" t="str">
        <f t="shared" si="1"/>
        <v> </v>
      </c>
      <c r="E5312" s="11" t="str">
        <f t="shared" si="2"/>
        <v> </v>
      </c>
    </row>
    <row r="5313" ht="15.75" customHeight="1">
      <c r="A5313" s="11">
        <v>17213.0</v>
      </c>
      <c r="B5313" s="11" t="s">
        <v>5294</v>
      </c>
      <c r="C5313" s="12">
        <v>20559.0</v>
      </c>
      <c r="D5313" s="11" t="str">
        <f t="shared" si="1"/>
        <v> </v>
      </c>
      <c r="E5313" s="11" t="str">
        <f t="shared" si="2"/>
        <v>Repeat</v>
      </c>
    </row>
    <row r="5314" ht="15.75" customHeight="1">
      <c r="A5314" s="11">
        <v>17214.0</v>
      </c>
      <c r="B5314" s="11" t="s">
        <v>5295</v>
      </c>
      <c r="C5314" s="12">
        <v>27931.0</v>
      </c>
      <c r="D5314" s="11" t="str">
        <f t="shared" si="1"/>
        <v> </v>
      </c>
      <c r="E5314" s="11" t="str">
        <f t="shared" si="2"/>
        <v> </v>
      </c>
    </row>
    <row r="5315" ht="15.75" customHeight="1">
      <c r="A5315" s="11">
        <v>17215.0</v>
      </c>
      <c r="B5315" s="11" t="s">
        <v>5296</v>
      </c>
      <c r="C5315" s="12">
        <v>22578.0</v>
      </c>
      <c r="D5315" s="11" t="str">
        <f t="shared" si="1"/>
        <v> </v>
      </c>
      <c r="E5315" s="11" t="str">
        <f t="shared" si="2"/>
        <v> </v>
      </c>
    </row>
    <row r="5316" ht="15.75" customHeight="1">
      <c r="A5316" s="11">
        <v>17216.0</v>
      </c>
      <c r="B5316" s="11" t="s">
        <v>5297</v>
      </c>
      <c r="C5316" s="12">
        <v>26265.0</v>
      </c>
      <c r="D5316" s="11" t="str">
        <f t="shared" si="1"/>
        <v> </v>
      </c>
      <c r="E5316" s="11" t="str">
        <f t="shared" si="2"/>
        <v> </v>
      </c>
    </row>
    <row r="5317" ht="15.75" customHeight="1">
      <c r="A5317" s="11">
        <v>13600.0</v>
      </c>
      <c r="B5317" s="11" t="s">
        <v>5298</v>
      </c>
      <c r="C5317" s="12">
        <v>25019.0</v>
      </c>
      <c r="D5317" s="11" t="str">
        <f t="shared" si="1"/>
        <v> </v>
      </c>
      <c r="E5317" s="11" t="str">
        <f t="shared" si="2"/>
        <v> </v>
      </c>
    </row>
    <row r="5318" ht="15.75" customHeight="1">
      <c r="A5318" s="11">
        <v>17218.0</v>
      </c>
      <c r="B5318" s="11" t="s">
        <v>5299</v>
      </c>
      <c r="C5318" s="12">
        <v>21038.0</v>
      </c>
      <c r="D5318" s="11" t="str">
        <f t="shared" si="1"/>
        <v> </v>
      </c>
      <c r="E5318" s="11" t="str">
        <f t="shared" si="2"/>
        <v> </v>
      </c>
    </row>
    <row r="5319" ht="15.75" customHeight="1">
      <c r="A5319" s="11">
        <v>17219.0</v>
      </c>
      <c r="B5319" s="11" t="s">
        <v>5300</v>
      </c>
      <c r="C5319" s="12">
        <v>22454.0</v>
      </c>
      <c r="D5319" s="11" t="str">
        <f t="shared" si="1"/>
        <v> </v>
      </c>
      <c r="E5319" s="11" t="str">
        <f t="shared" si="2"/>
        <v> </v>
      </c>
    </row>
    <row r="5320" ht="15.75" customHeight="1">
      <c r="A5320" s="11">
        <v>17220.0</v>
      </c>
      <c r="B5320" s="11" t="s">
        <v>5301</v>
      </c>
      <c r="C5320" s="12">
        <v>34760.0</v>
      </c>
      <c r="D5320" s="11" t="str">
        <f t="shared" si="1"/>
        <v> </v>
      </c>
      <c r="E5320" s="11" t="str">
        <f t="shared" si="2"/>
        <v> </v>
      </c>
    </row>
    <row r="5321" ht="15.75" customHeight="1">
      <c r="A5321" s="11">
        <v>17222.0</v>
      </c>
      <c r="B5321" s="11" t="s">
        <v>5302</v>
      </c>
      <c r="C5321" s="12">
        <v>33227.0</v>
      </c>
      <c r="D5321" s="11" t="str">
        <f t="shared" si="1"/>
        <v> </v>
      </c>
      <c r="E5321" s="11" t="str">
        <f t="shared" si="2"/>
        <v> </v>
      </c>
    </row>
    <row r="5322" ht="15.75" customHeight="1">
      <c r="A5322" s="11">
        <v>17223.0</v>
      </c>
      <c r="B5322" s="11" t="s">
        <v>5303</v>
      </c>
      <c r="C5322" s="12">
        <v>29464.0</v>
      </c>
      <c r="D5322" s="11" t="str">
        <f t="shared" si="1"/>
        <v> </v>
      </c>
      <c r="E5322" s="11" t="str">
        <f t="shared" si="2"/>
        <v> </v>
      </c>
    </row>
    <row r="5323" ht="15.75" customHeight="1">
      <c r="A5323" s="11">
        <v>17224.0</v>
      </c>
      <c r="B5323" s="11" t="s">
        <v>5304</v>
      </c>
      <c r="C5323" s="12">
        <v>19306.0</v>
      </c>
      <c r="D5323" s="11" t="str">
        <f t="shared" si="1"/>
        <v> </v>
      </c>
      <c r="E5323" s="11" t="str">
        <f t="shared" si="2"/>
        <v> </v>
      </c>
    </row>
    <row r="5324" ht="15.75" customHeight="1">
      <c r="A5324" s="11">
        <v>17225.0</v>
      </c>
      <c r="B5324" s="11" t="s">
        <v>5305</v>
      </c>
      <c r="C5324" s="12">
        <v>19725.0</v>
      </c>
      <c r="D5324" s="11" t="str">
        <f t="shared" si="1"/>
        <v> </v>
      </c>
      <c r="E5324" s="11" t="str">
        <f t="shared" si="2"/>
        <v> </v>
      </c>
    </row>
    <row r="5325" ht="15.75" customHeight="1">
      <c r="A5325" s="11">
        <v>17226.0</v>
      </c>
      <c r="B5325" s="11" t="s">
        <v>5306</v>
      </c>
      <c r="C5325" s="12">
        <v>27961.0</v>
      </c>
      <c r="D5325" s="11" t="str">
        <f t="shared" si="1"/>
        <v> </v>
      </c>
      <c r="E5325" s="11" t="str">
        <f t="shared" si="2"/>
        <v> </v>
      </c>
    </row>
    <row r="5326" ht="15.75" customHeight="1">
      <c r="A5326" s="11">
        <v>17227.0</v>
      </c>
      <c r="B5326" s="11" t="s">
        <v>1680</v>
      </c>
      <c r="C5326" s="12">
        <v>16166.0</v>
      </c>
      <c r="D5326" s="11" t="str">
        <f t="shared" si="1"/>
        <v>Repeat</v>
      </c>
      <c r="E5326" s="11" t="str">
        <f t="shared" si="2"/>
        <v> </v>
      </c>
    </row>
    <row r="5327" ht="15.75" customHeight="1">
      <c r="A5327" s="11">
        <v>17228.0</v>
      </c>
      <c r="B5327" s="11" t="s">
        <v>5307</v>
      </c>
      <c r="C5327" s="12">
        <v>20508.0</v>
      </c>
      <c r="D5327" s="11" t="str">
        <f t="shared" si="1"/>
        <v> </v>
      </c>
      <c r="E5327" s="11" t="str">
        <f t="shared" si="2"/>
        <v> </v>
      </c>
    </row>
    <row r="5328" ht="15.75" customHeight="1">
      <c r="A5328" s="11">
        <v>17229.0</v>
      </c>
      <c r="B5328" s="11" t="s">
        <v>5308</v>
      </c>
      <c r="C5328" s="12">
        <v>18356.0</v>
      </c>
      <c r="D5328" s="11" t="str">
        <f t="shared" si="1"/>
        <v> </v>
      </c>
      <c r="E5328" s="11" t="str">
        <f t="shared" si="2"/>
        <v> </v>
      </c>
    </row>
    <row r="5329" ht="15.75" customHeight="1">
      <c r="A5329" s="11">
        <v>17230.0</v>
      </c>
      <c r="B5329" s="11" t="s">
        <v>5309</v>
      </c>
      <c r="C5329" s="12">
        <v>22265.0</v>
      </c>
      <c r="D5329" s="11" t="str">
        <f t="shared" si="1"/>
        <v> </v>
      </c>
      <c r="E5329" s="11" t="str">
        <f t="shared" si="2"/>
        <v> </v>
      </c>
    </row>
    <row r="5330" ht="15.75" customHeight="1">
      <c r="A5330" s="11">
        <v>17231.0</v>
      </c>
      <c r="B5330" s="11" t="s">
        <v>5310</v>
      </c>
      <c r="C5330" s="12">
        <v>25588.0</v>
      </c>
      <c r="D5330" s="11" t="str">
        <f t="shared" si="1"/>
        <v> </v>
      </c>
      <c r="E5330" s="11" t="str">
        <f t="shared" si="2"/>
        <v> </v>
      </c>
    </row>
    <row r="5331" ht="15.75" customHeight="1">
      <c r="A5331" s="11">
        <v>17232.0</v>
      </c>
      <c r="B5331" s="11" t="s">
        <v>5311</v>
      </c>
      <c r="C5331" s="12">
        <v>24913.0</v>
      </c>
      <c r="D5331" s="11" t="str">
        <f t="shared" si="1"/>
        <v> </v>
      </c>
      <c r="E5331" s="11" t="str">
        <f t="shared" si="2"/>
        <v> </v>
      </c>
    </row>
    <row r="5332" ht="15.75" customHeight="1">
      <c r="A5332" s="11">
        <v>17234.0</v>
      </c>
      <c r="B5332" s="11" t="s">
        <v>5312</v>
      </c>
      <c r="C5332" s="12">
        <v>26564.0</v>
      </c>
      <c r="D5332" s="11" t="str">
        <f t="shared" si="1"/>
        <v> </v>
      </c>
      <c r="E5332" s="11" t="str">
        <f t="shared" si="2"/>
        <v> </v>
      </c>
    </row>
    <row r="5333" ht="15.75" customHeight="1">
      <c r="A5333" s="11">
        <v>17235.0</v>
      </c>
      <c r="B5333" s="11" t="s">
        <v>5313</v>
      </c>
      <c r="C5333" s="12">
        <v>23653.0</v>
      </c>
      <c r="D5333" s="11" t="str">
        <f t="shared" si="1"/>
        <v> </v>
      </c>
      <c r="E5333" s="11" t="str">
        <f t="shared" si="2"/>
        <v> </v>
      </c>
    </row>
    <row r="5334" ht="15.75" customHeight="1">
      <c r="A5334" s="11">
        <v>17236.0</v>
      </c>
      <c r="B5334" s="11" t="s">
        <v>5314</v>
      </c>
      <c r="C5334" s="12">
        <v>22141.0</v>
      </c>
      <c r="D5334" s="11" t="str">
        <f t="shared" si="1"/>
        <v> </v>
      </c>
      <c r="E5334" s="11" t="str">
        <f t="shared" si="2"/>
        <v> </v>
      </c>
    </row>
    <row r="5335" ht="15.75" customHeight="1">
      <c r="A5335" s="11">
        <v>17237.0</v>
      </c>
      <c r="B5335" s="11" t="s">
        <v>5315</v>
      </c>
      <c r="C5335" s="12">
        <v>25026.0</v>
      </c>
      <c r="D5335" s="11" t="str">
        <f t="shared" si="1"/>
        <v> </v>
      </c>
      <c r="E5335" s="11" t="str">
        <f t="shared" si="2"/>
        <v> </v>
      </c>
    </row>
    <row r="5336" ht="15.75" customHeight="1">
      <c r="A5336" s="11">
        <v>17239.0</v>
      </c>
      <c r="B5336" s="11" t="s">
        <v>5316</v>
      </c>
      <c r="C5336" s="12">
        <v>35554.0</v>
      </c>
      <c r="D5336" s="11" t="str">
        <f t="shared" si="1"/>
        <v> </v>
      </c>
      <c r="E5336" s="11" t="str">
        <f t="shared" si="2"/>
        <v> </v>
      </c>
    </row>
    <row r="5337" ht="15.75" customHeight="1">
      <c r="A5337" s="11">
        <v>17240.0</v>
      </c>
      <c r="B5337" s="11" t="s">
        <v>5317</v>
      </c>
      <c r="C5337" s="12">
        <v>17830.0</v>
      </c>
      <c r="D5337" s="11" t="str">
        <f t="shared" si="1"/>
        <v> </v>
      </c>
      <c r="E5337" s="11" t="str">
        <f t="shared" si="2"/>
        <v> </v>
      </c>
    </row>
    <row r="5338" ht="15.75" customHeight="1">
      <c r="A5338" s="11">
        <v>17241.0</v>
      </c>
      <c r="B5338" s="11" t="s">
        <v>5318</v>
      </c>
      <c r="C5338" s="12">
        <v>24347.0</v>
      </c>
      <c r="D5338" s="11" t="str">
        <f t="shared" si="1"/>
        <v> </v>
      </c>
      <c r="E5338" s="11" t="str">
        <f t="shared" si="2"/>
        <v> </v>
      </c>
    </row>
    <row r="5339" ht="15.75" customHeight="1">
      <c r="A5339" s="11">
        <v>17242.0</v>
      </c>
      <c r="B5339" s="11" t="s">
        <v>5319</v>
      </c>
      <c r="C5339" s="12">
        <v>23320.0</v>
      </c>
      <c r="D5339" s="11" t="str">
        <f t="shared" si="1"/>
        <v> </v>
      </c>
      <c r="E5339" s="11" t="str">
        <f t="shared" si="2"/>
        <v>Repeat</v>
      </c>
    </row>
    <row r="5340" ht="15.75" customHeight="1">
      <c r="A5340" s="11">
        <v>17243.0</v>
      </c>
      <c r="B5340" s="11" t="s">
        <v>5320</v>
      </c>
      <c r="C5340" s="12">
        <v>16122.0</v>
      </c>
      <c r="D5340" s="11" t="str">
        <f t="shared" si="1"/>
        <v> </v>
      </c>
      <c r="E5340" s="11" t="str">
        <f t="shared" si="2"/>
        <v> </v>
      </c>
    </row>
    <row r="5341" ht="15.75" customHeight="1">
      <c r="A5341" s="11">
        <v>17244.0</v>
      </c>
      <c r="B5341" s="11" t="s">
        <v>1408</v>
      </c>
      <c r="C5341" s="12">
        <v>16927.0</v>
      </c>
      <c r="D5341" s="11" t="str">
        <f t="shared" si="1"/>
        <v>Repeat</v>
      </c>
      <c r="E5341" s="11" t="str">
        <f t="shared" si="2"/>
        <v> </v>
      </c>
    </row>
    <row r="5342" ht="15.75" customHeight="1">
      <c r="A5342" s="11">
        <v>17246.0</v>
      </c>
      <c r="B5342" s="11" t="s">
        <v>5321</v>
      </c>
      <c r="C5342" s="12">
        <v>13268.0</v>
      </c>
      <c r="D5342" s="11" t="str">
        <f t="shared" si="1"/>
        <v> </v>
      </c>
      <c r="E5342" s="11" t="str">
        <f t="shared" si="2"/>
        <v> </v>
      </c>
    </row>
    <row r="5343" ht="15.75" customHeight="1">
      <c r="A5343" s="11">
        <v>17247.0</v>
      </c>
      <c r="B5343" s="11" t="s">
        <v>5322</v>
      </c>
      <c r="C5343" s="12">
        <v>23075.0</v>
      </c>
      <c r="D5343" s="11" t="str">
        <f t="shared" si="1"/>
        <v> </v>
      </c>
      <c r="E5343" s="11" t="str">
        <f t="shared" si="2"/>
        <v> </v>
      </c>
    </row>
    <row r="5344" ht="15.75" customHeight="1">
      <c r="A5344" s="11">
        <v>17248.0</v>
      </c>
      <c r="B5344" s="11" t="s">
        <v>5323</v>
      </c>
      <c r="C5344" s="12">
        <v>24291.0</v>
      </c>
      <c r="D5344" s="11" t="str">
        <f t="shared" si="1"/>
        <v> </v>
      </c>
      <c r="E5344" s="11" t="str">
        <f t="shared" si="2"/>
        <v> </v>
      </c>
    </row>
    <row r="5345" ht="15.75" customHeight="1">
      <c r="A5345" s="11">
        <v>17249.0</v>
      </c>
      <c r="B5345" s="11" t="s">
        <v>5324</v>
      </c>
      <c r="C5345" s="12">
        <v>17289.0</v>
      </c>
      <c r="D5345" s="11" t="str">
        <f t="shared" si="1"/>
        <v> </v>
      </c>
      <c r="E5345" s="11" t="str">
        <f t="shared" si="2"/>
        <v> </v>
      </c>
    </row>
    <row r="5346" ht="15.75" customHeight="1">
      <c r="A5346" s="11">
        <v>17250.0</v>
      </c>
      <c r="B5346" s="11" t="s">
        <v>5325</v>
      </c>
      <c r="C5346" s="12">
        <v>37376.0</v>
      </c>
      <c r="D5346" s="11" t="str">
        <f t="shared" si="1"/>
        <v> </v>
      </c>
      <c r="E5346" s="11" t="str">
        <f t="shared" si="2"/>
        <v> </v>
      </c>
    </row>
    <row r="5347" ht="15.75" customHeight="1">
      <c r="A5347" s="11">
        <v>17251.0</v>
      </c>
      <c r="B5347" s="11" t="s">
        <v>5326</v>
      </c>
      <c r="C5347" s="12">
        <v>26547.0</v>
      </c>
      <c r="D5347" s="11" t="str">
        <f t="shared" si="1"/>
        <v> </v>
      </c>
      <c r="E5347" s="11" t="str">
        <f t="shared" si="2"/>
        <v> </v>
      </c>
    </row>
    <row r="5348" ht="15.75" customHeight="1">
      <c r="A5348" s="11">
        <v>17252.0</v>
      </c>
      <c r="B5348" s="11" t="s">
        <v>5327</v>
      </c>
      <c r="C5348" s="12">
        <v>31636.0</v>
      </c>
      <c r="D5348" s="11" t="str">
        <f t="shared" si="1"/>
        <v> </v>
      </c>
      <c r="E5348" s="11" t="str">
        <f t="shared" si="2"/>
        <v> </v>
      </c>
    </row>
    <row r="5349" ht="15.75" customHeight="1">
      <c r="A5349" s="11">
        <v>17253.0</v>
      </c>
      <c r="B5349" s="11" t="s">
        <v>5328</v>
      </c>
      <c r="C5349" s="12">
        <v>20904.0</v>
      </c>
      <c r="D5349" s="11" t="str">
        <f t="shared" si="1"/>
        <v> </v>
      </c>
      <c r="E5349" s="11" t="str">
        <f t="shared" si="2"/>
        <v> </v>
      </c>
    </row>
    <row r="5350" ht="15.75" customHeight="1">
      <c r="A5350" s="11">
        <v>17255.0</v>
      </c>
      <c r="B5350" s="11" t="s">
        <v>5329</v>
      </c>
      <c r="C5350" s="12">
        <v>24395.0</v>
      </c>
      <c r="D5350" s="11" t="str">
        <f t="shared" si="1"/>
        <v> </v>
      </c>
      <c r="E5350" s="11" t="str">
        <f t="shared" si="2"/>
        <v> </v>
      </c>
    </row>
    <row r="5351" ht="15.75" customHeight="1">
      <c r="A5351" s="11">
        <v>16819.0</v>
      </c>
      <c r="B5351" s="11" t="s">
        <v>5330</v>
      </c>
      <c r="C5351" s="12">
        <v>12946.0</v>
      </c>
      <c r="D5351" s="11" t="str">
        <f t="shared" si="1"/>
        <v> </v>
      </c>
      <c r="E5351" s="11" t="str">
        <f t="shared" si="2"/>
        <v> </v>
      </c>
    </row>
    <row r="5352" ht="15.75" customHeight="1">
      <c r="A5352" s="11">
        <v>17257.0</v>
      </c>
      <c r="B5352" s="11" t="s">
        <v>5331</v>
      </c>
      <c r="C5352" s="12">
        <v>20232.0</v>
      </c>
      <c r="D5352" s="11" t="str">
        <f t="shared" si="1"/>
        <v> </v>
      </c>
      <c r="E5352" s="11" t="str">
        <f t="shared" si="2"/>
        <v> </v>
      </c>
    </row>
    <row r="5353" ht="15.75" customHeight="1">
      <c r="A5353" s="11">
        <v>17258.0</v>
      </c>
      <c r="B5353" s="11" t="s">
        <v>5332</v>
      </c>
      <c r="C5353" s="12">
        <v>15584.0</v>
      </c>
      <c r="D5353" s="11" t="str">
        <f t="shared" si="1"/>
        <v> </v>
      </c>
      <c r="E5353" s="11" t="str">
        <f t="shared" si="2"/>
        <v> </v>
      </c>
    </row>
    <row r="5354" ht="15.75" customHeight="1">
      <c r="A5354" s="11">
        <v>17259.0</v>
      </c>
      <c r="B5354" s="11" t="s">
        <v>5333</v>
      </c>
      <c r="C5354" s="12">
        <v>30466.0</v>
      </c>
      <c r="D5354" s="11" t="str">
        <f t="shared" si="1"/>
        <v> </v>
      </c>
      <c r="E5354" s="11" t="str">
        <f t="shared" si="2"/>
        <v> </v>
      </c>
    </row>
    <row r="5355" ht="15.75" customHeight="1">
      <c r="A5355" s="11">
        <v>17260.0</v>
      </c>
      <c r="B5355" s="11" t="s">
        <v>5334</v>
      </c>
      <c r="C5355" s="12">
        <v>20239.0</v>
      </c>
      <c r="D5355" s="11" t="str">
        <f t="shared" si="1"/>
        <v> </v>
      </c>
      <c r="E5355" s="11" t="str">
        <f t="shared" si="2"/>
        <v> </v>
      </c>
    </row>
    <row r="5356" ht="15.75" customHeight="1">
      <c r="A5356" s="11">
        <v>17261.0</v>
      </c>
      <c r="B5356" s="11" t="s">
        <v>5335</v>
      </c>
      <c r="C5356" s="12">
        <v>29928.0</v>
      </c>
      <c r="D5356" s="11" t="str">
        <f t="shared" si="1"/>
        <v> </v>
      </c>
      <c r="E5356" s="11" t="str">
        <f t="shared" si="2"/>
        <v> </v>
      </c>
    </row>
    <row r="5357" ht="15.75" customHeight="1">
      <c r="A5357" s="11">
        <v>17262.0</v>
      </c>
      <c r="B5357" s="11" t="s">
        <v>5336</v>
      </c>
      <c r="C5357" s="12">
        <v>27191.0</v>
      </c>
      <c r="D5357" s="11" t="str">
        <f t="shared" si="1"/>
        <v> </v>
      </c>
      <c r="E5357" s="11" t="str">
        <f t="shared" si="2"/>
        <v> </v>
      </c>
    </row>
    <row r="5358" ht="15.75" customHeight="1">
      <c r="A5358" s="11">
        <v>17263.0</v>
      </c>
      <c r="B5358" s="11" t="s">
        <v>5337</v>
      </c>
      <c r="C5358" s="12">
        <v>25223.0</v>
      </c>
      <c r="D5358" s="11" t="str">
        <f t="shared" si="1"/>
        <v> </v>
      </c>
      <c r="E5358" s="11" t="str">
        <f t="shared" si="2"/>
        <v> </v>
      </c>
    </row>
    <row r="5359" ht="15.75" customHeight="1">
      <c r="A5359" s="11">
        <v>17264.0</v>
      </c>
      <c r="B5359" s="11" t="s">
        <v>5338</v>
      </c>
      <c r="C5359" s="12">
        <v>18156.0</v>
      </c>
      <c r="D5359" s="11" t="str">
        <f t="shared" si="1"/>
        <v> </v>
      </c>
      <c r="E5359" s="11" t="str">
        <f t="shared" si="2"/>
        <v> </v>
      </c>
    </row>
    <row r="5360" ht="15.75" customHeight="1">
      <c r="A5360" s="11">
        <v>17266.0</v>
      </c>
      <c r="B5360" s="11" t="s">
        <v>5339</v>
      </c>
      <c r="C5360" s="12">
        <v>17591.0</v>
      </c>
      <c r="D5360" s="11" t="str">
        <f t="shared" si="1"/>
        <v> </v>
      </c>
      <c r="E5360" s="11" t="str">
        <f t="shared" si="2"/>
        <v> </v>
      </c>
    </row>
    <row r="5361" ht="15.75" customHeight="1">
      <c r="A5361" s="11">
        <v>17270.0</v>
      </c>
      <c r="B5361" s="11" t="s">
        <v>5340</v>
      </c>
      <c r="C5361" s="12">
        <v>34986.0</v>
      </c>
      <c r="D5361" s="11" t="str">
        <f t="shared" si="1"/>
        <v> </v>
      </c>
      <c r="E5361" s="11" t="str">
        <f t="shared" si="2"/>
        <v> </v>
      </c>
    </row>
    <row r="5362" ht="15.75" customHeight="1">
      <c r="A5362" s="11">
        <v>17271.0</v>
      </c>
      <c r="B5362" s="11" t="s">
        <v>5341</v>
      </c>
      <c r="C5362" s="12">
        <v>30677.0</v>
      </c>
      <c r="D5362" s="11" t="str">
        <f t="shared" si="1"/>
        <v> </v>
      </c>
      <c r="E5362" s="11" t="str">
        <f t="shared" si="2"/>
        <v> </v>
      </c>
    </row>
    <row r="5363" ht="15.75" customHeight="1">
      <c r="A5363" s="11">
        <v>17272.0</v>
      </c>
      <c r="B5363" s="11" t="s">
        <v>5342</v>
      </c>
      <c r="C5363" s="12">
        <v>15370.0</v>
      </c>
      <c r="D5363" s="11" t="str">
        <f t="shared" si="1"/>
        <v> </v>
      </c>
      <c r="E5363" s="11" t="str">
        <f t="shared" si="2"/>
        <v>Repeat</v>
      </c>
    </row>
    <row r="5364" ht="15.75" customHeight="1">
      <c r="A5364" s="11">
        <v>17273.0</v>
      </c>
      <c r="B5364" s="11" t="s">
        <v>5343</v>
      </c>
      <c r="C5364" s="12">
        <v>20862.0</v>
      </c>
      <c r="D5364" s="11" t="str">
        <f t="shared" si="1"/>
        <v> </v>
      </c>
      <c r="E5364" s="11" t="str">
        <f t="shared" si="2"/>
        <v> </v>
      </c>
    </row>
    <row r="5365" ht="15.75" customHeight="1">
      <c r="A5365" s="11">
        <v>17274.0</v>
      </c>
      <c r="B5365" s="11" t="s">
        <v>5344</v>
      </c>
      <c r="C5365" s="12">
        <v>34730.0</v>
      </c>
      <c r="D5365" s="11" t="str">
        <f t="shared" si="1"/>
        <v> </v>
      </c>
      <c r="E5365" s="11" t="str">
        <f t="shared" si="2"/>
        <v> </v>
      </c>
    </row>
    <row r="5366" ht="15.75" customHeight="1">
      <c r="A5366" s="11">
        <v>17275.0</v>
      </c>
      <c r="B5366" s="11" t="s">
        <v>5345</v>
      </c>
      <c r="C5366" s="12">
        <v>36215.0</v>
      </c>
      <c r="D5366" s="11" t="str">
        <f t="shared" si="1"/>
        <v> </v>
      </c>
      <c r="E5366" s="11" t="str">
        <f t="shared" si="2"/>
        <v> </v>
      </c>
    </row>
    <row r="5367" ht="15.75" customHeight="1">
      <c r="A5367" s="11">
        <v>17277.0</v>
      </c>
      <c r="B5367" s="11" t="s">
        <v>5346</v>
      </c>
      <c r="C5367" s="12">
        <v>29742.0</v>
      </c>
      <c r="D5367" s="11" t="str">
        <f t="shared" si="1"/>
        <v> </v>
      </c>
      <c r="E5367" s="11" t="str">
        <f t="shared" si="2"/>
        <v> </v>
      </c>
    </row>
    <row r="5368" ht="15.75" customHeight="1">
      <c r="A5368" s="11">
        <v>17278.0</v>
      </c>
      <c r="B5368" s="11" t="s">
        <v>5347</v>
      </c>
      <c r="C5368" s="12">
        <v>17633.0</v>
      </c>
      <c r="D5368" s="11" t="str">
        <f t="shared" si="1"/>
        <v> </v>
      </c>
      <c r="E5368" s="11" t="str">
        <f t="shared" si="2"/>
        <v> </v>
      </c>
    </row>
    <row r="5369" ht="15.75" customHeight="1">
      <c r="A5369" s="11">
        <v>17279.0</v>
      </c>
      <c r="B5369" s="11" t="s">
        <v>5348</v>
      </c>
      <c r="C5369" s="12">
        <v>16640.0</v>
      </c>
      <c r="D5369" s="11" t="str">
        <f t="shared" si="1"/>
        <v> </v>
      </c>
      <c r="E5369" s="11" t="str">
        <f t="shared" si="2"/>
        <v> </v>
      </c>
    </row>
    <row r="5370" ht="15.75" customHeight="1">
      <c r="A5370" s="11">
        <v>17280.0</v>
      </c>
      <c r="B5370" s="11" t="s">
        <v>5349</v>
      </c>
      <c r="C5370" s="12">
        <v>29439.0</v>
      </c>
      <c r="D5370" s="11" t="str">
        <f t="shared" si="1"/>
        <v> </v>
      </c>
      <c r="E5370" s="11" t="str">
        <f t="shared" si="2"/>
        <v>Repeat</v>
      </c>
    </row>
    <row r="5371" ht="15.75" customHeight="1">
      <c r="A5371" s="11">
        <v>16824.0</v>
      </c>
      <c r="B5371" s="11" t="s">
        <v>5350</v>
      </c>
      <c r="C5371" s="12">
        <v>26090.0</v>
      </c>
      <c r="D5371" s="11" t="str">
        <f t="shared" si="1"/>
        <v> </v>
      </c>
      <c r="E5371" s="11" t="str">
        <f t="shared" si="2"/>
        <v> </v>
      </c>
    </row>
    <row r="5372" ht="15.75" customHeight="1">
      <c r="A5372" s="11">
        <v>17282.0</v>
      </c>
      <c r="B5372" s="11" t="s">
        <v>5351</v>
      </c>
      <c r="C5372" s="12">
        <v>23082.0</v>
      </c>
      <c r="D5372" s="11" t="str">
        <f t="shared" si="1"/>
        <v> </v>
      </c>
      <c r="E5372" s="11" t="str">
        <f t="shared" si="2"/>
        <v> </v>
      </c>
    </row>
    <row r="5373" ht="15.75" customHeight="1">
      <c r="A5373" s="11">
        <v>17283.0</v>
      </c>
      <c r="B5373" s="11" t="s">
        <v>5352</v>
      </c>
      <c r="C5373" s="12">
        <v>20108.0</v>
      </c>
      <c r="D5373" s="11" t="str">
        <f t="shared" si="1"/>
        <v> </v>
      </c>
      <c r="E5373" s="11" t="str">
        <f t="shared" si="2"/>
        <v> </v>
      </c>
    </row>
    <row r="5374" ht="15.75" customHeight="1">
      <c r="A5374" s="11">
        <v>17285.0</v>
      </c>
      <c r="B5374" s="11" t="s">
        <v>5353</v>
      </c>
      <c r="C5374" s="12">
        <v>25666.0</v>
      </c>
      <c r="D5374" s="11" t="str">
        <f t="shared" si="1"/>
        <v> </v>
      </c>
      <c r="E5374" s="11" t="str">
        <f t="shared" si="2"/>
        <v> </v>
      </c>
    </row>
    <row r="5375" ht="15.75" customHeight="1">
      <c r="A5375" s="11">
        <v>17286.0</v>
      </c>
      <c r="B5375" s="11" t="s">
        <v>5354</v>
      </c>
      <c r="C5375" s="12">
        <v>16047.0</v>
      </c>
      <c r="D5375" s="11" t="str">
        <f t="shared" si="1"/>
        <v> </v>
      </c>
      <c r="E5375" s="11" t="str">
        <f t="shared" si="2"/>
        <v> </v>
      </c>
    </row>
    <row r="5376" ht="15.75" customHeight="1">
      <c r="A5376" s="11">
        <v>17288.0</v>
      </c>
      <c r="B5376" s="11" t="s">
        <v>5355</v>
      </c>
      <c r="C5376" s="12">
        <v>22364.0</v>
      </c>
      <c r="D5376" s="11" t="str">
        <f t="shared" si="1"/>
        <v> </v>
      </c>
      <c r="E5376" s="11" t="str">
        <f t="shared" si="2"/>
        <v> </v>
      </c>
    </row>
    <row r="5377" ht="15.75" customHeight="1">
      <c r="A5377" s="11">
        <v>17289.0</v>
      </c>
      <c r="B5377" s="11" t="s">
        <v>5356</v>
      </c>
      <c r="C5377" s="12">
        <v>17562.0</v>
      </c>
      <c r="D5377" s="11" t="str">
        <f t="shared" si="1"/>
        <v> </v>
      </c>
      <c r="E5377" s="11" t="str">
        <f t="shared" si="2"/>
        <v> </v>
      </c>
    </row>
    <row r="5378" ht="15.75" customHeight="1">
      <c r="A5378" s="11">
        <v>17290.0</v>
      </c>
      <c r="B5378" s="11" t="s">
        <v>5357</v>
      </c>
      <c r="C5378" s="12">
        <v>15125.0</v>
      </c>
      <c r="D5378" s="11" t="str">
        <f t="shared" si="1"/>
        <v> </v>
      </c>
      <c r="E5378" s="11" t="str">
        <f t="shared" si="2"/>
        <v>Repeat</v>
      </c>
    </row>
    <row r="5379" ht="15.75" customHeight="1">
      <c r="A5379" s="11">
        <v>17291.0</v>
      </c>
      <c r="B5379" s="11" t="s">
        <v>5358</v>
      </c>
      <c r="C5379" s="12">
        <v>23071.0</v>
      </c>
      <c r="D5379" s="11" t="str">
        <f t="shared" si="1"/>
        <v> </v>
      </c>
      <c r="E5379" s="11" t="str">
        <f t="shared" si="2"/>
        <v> </v>
      </c>
    </row>
    <row r="5380" ht="15.75" customHeight="1">
      <c r="A5380" s="11">
        <v>17292.0</v>
      </c>
      <c r="B5380" s="11" t="s">
        <v>5359</v>
      </c>
      <c r="C5380" s="12">
        <v>35216.0</v>
      </c>
      <c r="D5380" s="11" t="str">
        <f t="shared" si="1"/>
        <v> </v>
      </c>
      <c r="E5380" s="11" t="str">
        <f t="shared" si="2"/>
        <v> </v>
      </c>
    </row>
    <row r="5381" ht="15.75" customHeight="1">
      <c r="A5381" s="11">
        <v>17293.0</v>
      </c>
      <c r="B5381" s="11" t="s">
        <v>5360</v>
      </c>
      <c r="C5381" s="12">
        <v>16663.0</v>
      </c>
      <c r="D5381" s="11" t="str">
        <f t="shared" si="1"/>
        <v> </v>
      </c>
      <c r="E5381" s="11" t="str">
        <f t="shared" si="2"/>
        <v> </v>
      </c>
    </row>
    <row r="5382" ht="15.75" customHeight="1">
      <c r="A5382" s="11">
        <v>17294.0</v>
      </c>
      <c r="B5382" s="11" t="s">
        <v>5361</v>
      </c>
      <c r="C5382" s="12">
        <v>28685.0</v>
      </c>
      <c r="D5382" s="11" t="str">
        <f t="shared" si="1"/>
        <v> </v>
      </c>
      <c r="E5382" s="11" t="str">
        <f t="shared" si="2"/>
        <v> </v>
      </c>
    </row>
    <row r="5383" ht="15.75" customHeight="1">
      <c r="A5383" s="11">
        <v>17295.0</v>
      </c>
      <c r="B5383" s="11" t="s">
        <v>5362</v>
      </c>
      <c r="C5383" s="12">
        <v>22870.0</v>
      </c>
      <c r="D5383" s="11" t="str">
        <f t="shared" si="1"/>
        <v> </v>
      </c>
      <c r="E5383" s="11" t="str">
        <f t="shared" si="2"/>
        <v> </v>
      </c>
    </row>
    <row r="5384" ht="15.75" customHeight="1">
      <c r="A5384" s="11">
        <v>17297.0</v>
      </c>
      <c r="B5384" s="11" t="s">
        <v>5363</v>
      </c>
      <c r="C5384" s="12">
        <v>18233.0</v>
      </c>
      <c r="D5384" s="11" t="str">
        <f t="shared" si="1"/>
        <v> </v>
      </c>
      <c r="E5384" s="11" t="str">
        <f t="shared" si="2"/>
        <v> </v>
      </c>
    </row>
    <row r="5385" ht="15.75" customHeight="1">
      <c r="A5385" s="11">
        <v>17298.0</v>
      </c>
      <c r="B5385" s="11" t="s">
        <v>5364</v>
      </c>
      <c r="C5385" s="12">
        <v>18185.0</v>
      </c>
      <c r="D5385" s="11" t="str">
        <f t="shared" si="1"/>
        <v> </v>
      </c>
      <c r="E5385" s="11" t="str">
        <f t="shared" si="2"/>
        <v> </v>
      </c>
    </row>
    <row r="5386" ht="15.75" customHeight="1">
      <c r="A5386" s="11">
        <v>17300.0</v>
      </c>
      <c r="B5386" s="11" t="s">
        <v>5365</v>
      </c>
      <c r="C5386" s="12">
        <v>23437.0</v>
      </c>
      <c r="D5386" s="11" t="str">
        <f t="shared" si="1"/>
        <v> </v>
      </c>
      <c r="E5386" s="11" t="str">
        <f t="shared" si="2"/>
        <v> </v>
      </c>
    </row>
    <row r="5387" ht="15.75" customHeight="1">
      <c r="A5387" s="11">
        <v>17301.0</v>
      </c>
      <c r="B5387" s="11" t="s">
        <v>5366</v>
      </c>
      <c r="C5387" s="12">
        <v>31281.0</v>
      </c>
      <c r="D5387" s="11" t="str">
        <f t="shared" si="1"/>
        <v> </v>
      </c>
      <c r="E5387" s="11" t="str">
        <f t="shared" si="2"/>
        <v> </v>
      </c>
    </row>
    <row r="5388" ht="15.75" customHeight="1">
      <c r="A5388" s="11">
        <v>17303.0</v>
      </c>
      <c r="B5388" s="11" t="s">
        <v>5367</v>
      </c>
      <c r="C5388" s="12">
        <v>13916.0</v>
      </c>
      <c r="D5388" s="11" t="str">
        <f t="shared" si="1"/>
        <v> </v>
      </c>
      <c r="E5388" s="11" t="str">
        <f t="shared" si="2"/>
        <v>Repeat</v>
      </c>
    </row>
    <row r="5389" ht="15.75" customHeight="1">
      <c r="A5389" s="11">
        <v>17305.0</v>
      </c>
      <c r="B5389" s="11" t="s">
        <v>5368</v>
      </c>
      <c r="C5389" s="12">
        <v>17128.0</v>
      </c>
      <c r="D5389" s="11" t="str">
        <f t="shared" si="1"/>
        <v> </v>
      </c>
      <c r="E5389" s="11" t="str">
        <f t="shared" si="2"/>
        <v> </v>
      </c>
    </row>
    <row r="5390" ht="15.75" customHeight="1">
      <c r="A5390" s="11">
        <v>17306.0</v>
      </c>
      <c r="B5390" s="11" t="s">
        <v>5369</v>
      </c>
      <c r="C5390" s="12">
        <v>21668.0</v>
      </c>
      <c r="D5390" s="11" t="str">
        <f t="shared" si="1"/>
        <v> </v>
      </c>
      <c r="E5390" s="11" t="str">
        <f t="shared" si="2"/>
        <v> </v>
      </c>
    </row>
    <row r="5391" ht="15.75" customHeight="1">
      <c r="A5391" s="11">
        <v>17307.0</v>
      </c>
      <c r="B5391" s="11" t="s">
        <v>5370</v>
      </c>
      <c r="C5391" s="12">
        <v>15229.0</v>
      </c>
      <c r="D5391" s="11" t="str">
        <f t="shared" si="1"/>
        <v> </v>
      </c>
      <c r="E5391" s="11" t="str">
        <f t="shared" si="2"/>
        <v> </v>
      </c>
    </row>
    <row r="5392" ht="15.75" customHeight="1">
      <c r="A5392" s="11">
        <v>17308.0</v>
      </c>
      <c r="B5392" s="11" t="s">
        <v>5371</v>
      </c>
      <c r="C5392" s="12">
        <v>26605.0</v>
      </c>
      <c r="D5392" s="11" t="str">
        <f t="shared" si="1"/>
        <v> </v>
      </c>
      <c r="E5392" s="11" t="str">
        <f t="shared" si="2"/>
        <v> </v>
      </c>
    </row>
    <row r="5393" ht="15.75" customHeight="1">
      <c r="A5393" s="11">
        <v>17309.0</v>
      </c>
      <c r="B5393" s="11" t="s">
        <v>5372</v>
      </c>
      <c r="C5393" s="12">
        <v>18816.0</v>
      </c>
      <c r="D5393" s="11" t="str">
        <f t="shared" si="1"/>
        <v> </v>
      </c>
      <c r="E5393" s="11" t="str">
        <f t="shared" si="2"/>
        <v> </v>
      </c>
    </row>
    <row r="5394" ht="15.75" customHeight="1">
      <c r="A5394" s="11">
        <v>17310.0</v>
      </c>
      <c r="B5394" s="11" t="s">
        <v>5373</v>
      </c>
      <c r="C5394" s="12">
        <v>18041.0</v>
      </c>
      <c r="D5394" s="11" t="str">
        <f t="shared" si="1"/>
        <v> </v>
      </c>
      <c r="E5394" s="11" t="str">
        <f t="shared" si="2"/>
        <v> </v>
      </c>
    </row>
    <row r="5395" ht="15.75" customHeight="1">
      <c r="A5395" s="11">
        <v>17311.0</v>
      </c>
      <c r="B5395" s="11" t="s">
        <v>5374</v>
      </c>
      <c r="C5395" s="12">
        <v>26877.0</v>
      </c>
      <c r="D5395" s="11" t="str">
        <f t="shared" si="1"/>
        <v> </v>
      </c>
      <c r="E5395" s="11" t="str">
        <f t="shared" si="2"/>
        <v> </v>
      </c>
    </row>
    <row r="5396" ht="15.75" customHeight="1">
      <c r="A5396" s="11">
        <v>17314.0</v>
      </c>
      <c r="B5396" s="11" t="s">
        <v>5375</v>
      </c>
      <c r="C5396" s="12">
        <v>27861.0</v>
      </c>
      <c r="D5396" s="11" t="str">
        <f t="shared" si="1"/>
        <v> </v>
      </c>
      <c r="E5396" s="11" t="str">
        <f t="shared" si="2"/>
        <v> </v>
      </c>
    </row>
    <row r="5397" ht="15.75" customHeight="1">
      <c r="A5397" s="11">
        <v>17316.0</v>
      </c>
      <c r="B5397" s="11" t="s">
        <v>5376</v>
      </c>
      <c r="C5397" s="12">
        <v>21188.0</v>
      </c>
      <c r="D5397" s="11" t="str">
        <f t="shared" si="1"/>
        <v> </v>
      </c>
      <c r="E5397" s="11" t="str">
        <f t="shared" si="2"/>
        <v>Repeat</v>
      </c>
    </row>
    <row r="5398" ht="15.75" customHeight="1">
      <c r="A5398" s="11">
        <v>17317.0</v>
      </c>
      <c r="B5398" s="11" t="s">
        <v>5377</v>
      </c>
      <c r="C5398" s="12">
        <v>20616.0</v>
      </c>
      <c r="D5398" s="11" t="str">
        <f t="shared" si="1"/>
        <v> </v>
      </c>
      <c r="E5398" s="11" t="str">
        <f t="shared" si="2"/>
        <v> </v>
      </c>
    </row>
    <row r="5399" ht="15.75" customHeight="1">
      <c r="A5399" s="11">
        <v>17320.0</v>
      </c>
      <c r="B5399" s="11" t="s">
        <v>5378</v>
      </c>
      <c r="C5399" s="12">
        <v>23770.0</v>
      </c>
      <c r="D5399" s="11" t="str">
        <f t="shared" si="1"/>
        <v> </v>
      </c>
      <c r="E5399" s="11" t="str">
        <f t="shared" si="2"/>
        <v> </v>
      </c>
    </row>
    <row r="5400" ht="15.75" customHeight="1">
      <c r="A5400" s="11">
        <v>17322.0</v>
      </c>
      <c r="B5400" s="11" t="s">
        <v>5379</v>
      </c>
      <c r="C5400" s="12">
        <v>13998.0</v>
      </c>
      <c r="D5400" s="11" t="str">
        <f t="shared" si="1"/>
        <v> </v>
      </c>
      <c r="E5400" s="11" t="str">
        <f t="shared" si="2"/>
        <v> </v>
      </c>
    </row>
    <row r="5401" ht="15.75" customHeight="1">
      <c r="A5401" s="11">
        <v>17324.0</v>
      </c>
      <c r="B5401" s="11" t="s">
        <v>5380</v>
      </c>
      <c r="C5401" s="12">
        <v>27214.0</v>
      </c>
      <c r="D5401" s="11" t="str">
        <f t="shared" si="1"/>
        <v> </v>
      </c>
      <c r="E5401" s="11" t="str">
        <f t="shared" si="2"/>
        <v> </v>
      </c>
    </row>
    <row r="5402" ht="15.75" customHeight="1">
      <c r="A5402" s="11">
        <v>17325.0</v>
      </c>
      <c r="B5402" s="11" t="s">
        <v>5381</v>
      </c>
      <c r="C5402" s="12">
        <v>28876.0</v>
      </c>
      <c r="D5402" s="11" t="str">
        <f t="shared" si="1"/>
        <v> </v>
      </c>
      <c r="E5402" s="11" t="str">
        <f t="shared" si="2"/>
        <v> </v>
      </c>
    </row>
    <row r="5403" ht="15.75" customHeight="1">
      <c r="A5403" s="11">
        <v>17326.0</v>
      </c>
      <c r="B5403" s="11" t="s">
        <v>5382</v>
      </c>
      <c r="C5403" s="12">
        <v>17382.0</v>
      </c>
      <c r="D5403" s="11" t="str">
        <f t="shared" si="1"/>
        <v> </v>
      </c>
      <c r="E5403" s="11" t="str">
        <f t="shared" si="2"/>
        <v> </v>
      </c>
    </row>
    <row r="5404" ht="15.75" customHeight="1">
      <c r="A5404" s="11">
        <v>17327.0</v>
      </c>
      <c r="B5404" s="11" t="s">
        <v>5383</v>
      </c>
      <c r="C5404" s="12">
        <v>24176.0</v>
      </c>
      <c r="D5404" s="11" t="str">
        <f t="shared" si="1"/>
        <v> </v>
      </c>
      <c r="E5404" s="11" t="str">
        <f t="shared" si="2"/>
        <v> </v>
      </c>
    </row>
    <row r="5405" ht="15.75" customHeight="1">
      <c r="A5405" s="11">
        <v>17328.0</v>
      </c>
      <c r="B5405" s="11" t="s">
        <v>5384</v>
      </c>
      <c r="C5405" s="12">
        <v>15964.0</v>
      </c>
      <c r="D5405" s="11" t="str">
        <f t="shared" si="1"/>
        <v> </v>
      </c>
      <c r="E5405" s="11" t="str">
        <f t="shared" si="2"/>
        <v>Repeat</v>
      </c>
    </row>
    <row r="5406" ht="15.75" customHeight="1">
      <c r="A5406" s="11">
        <v>17329.0</v>
      </c>
      <c r="B5406" s="11" t="s">
        <v>5385</v>
      </c>
      <c r="C5406" s="12">
        <v>27776.0</v>
      </c>
      <c r="D5406" s="11" t="str">
        <f t="shared" si="1"/>
        <v> </v>
      </c>
      <c r="E5406" s="11" t="str">
        <f t="shared" si="2"/>
        <v> </v>
      </c>
    </row>
    <row r="5407" ht="15.75" customHeight="1">
      <c r="A5407" s="11">
        <v>17330.0</v>
      </c>
      <c r="B5407" s="11" t="s">
        <v>5386</v>
      </c>
      <c r="C5407" s="12">
        <v>15033.0</v>
      </c>
      <c r="D5407" s="11" t="str">
        <f t="shared" si="1"/>
        <v> </v>
      </c>
      <c r="E5407" s="11" t="str">
        <f t="shared" si="2"/>
        <v> </v>
      </c>
    </row>
    <row r="5408" ht="15.75" customHeight="1">
      <c r="A5408" s="11">
        <v>17333.0</v>
      </c>
      <c r="B5408" s="11" t="s">
        <v>5387</v>
      </c>
      <c r="C5408" s="12">
        <v>15071.0</v>
      </c>
      <c r="D5408" s="11" t="str">
        <f t="shared" si="1"/>
        <v> </v>
      </c>
      <c r="E5408" s="11" t="str">
        <f t="shared" si="2"/>
        <v> </v>
      </c>
    </row>
    <row r="5409" ht="15.75" customHeight="1">
      <c r="A5409" s="11">
        <v>17334.0</v>
      </c>
      <c r="B5409" s="11" t="s">
        <v>5388</v>
      </c>
      <c r="C5409" s="12">
        <v>25243.0</v>
      </c>
      <c r="D5409" s="11" t="str">
        <f t="shared" si="1"/>
        <v> </v>
      </c>
      <c r="E5409" s="11" t="str">
        <f t="shared" si="2"/>
        <v> </v>
      </c>
    </row>
    <row r="5410" ht="15.75" customHeight="1">
      <c r="A5410" s="11">
        <v>17335.0</v>
      </c>
      <c r="B5410" s="11" t="s">
        <v>5389</v>
      </c>
      <c r="C5410" s="12">
        <v>30732.0</v>
      </c>
      <c r="D5410" s="11" t="str">
        <f t="shared" si="1"/>
        <v>Repeat</v>
      </c>
      <c r="E5410" s="11" t="str">
        <f t="shared" si="2"/>
        <v> </v>
      </c>
    </row>
    <row r="5411" ht="15.75" customHeight="1">
      <c r="A5411" s="11">
        <v>17336.0</v>
      </c>
      <c r="B5411" s="11" t="s">
        <v>5390</v>
      </c>
      <c r="C5411" s="12">
        <v>12784.0</v>
      </c>
      <c r="D5411" s="11" t="str">
        <f t="shared" si="1"/>
        <v> </v>
      </c>
      <c r="E5411" s="11" t="str">
        <f t="shared" si="2"/>
        <v>Repeat</v>
      </c>
    </row>
    <row r="5412" ht="15.75" customHeight="1">
      <c r="A5412" s="11">
        <v>17337.0</v>
      </c>
      <c r="B5412" s="11" t="s">
        <v>5391</v>
      </c>
      <c r="C5412" s="12">
        <v>18183.0</v>
      </c>
      <c r="D5412" s="11" t="str">
        <f t="shared" si="1"/>
        <v> </v>
      </c>
      <c r="E5412" s="11" t="str">
        <f t="shared" si="2"/>
        <v> </v>
      </c>
    </row>
    <row r="5413" ht="15.75" customHeight="1">
      <c r="A5413" s="11">
        <v>17339.0</v>
      </c>
      <c r="B5413" s="11" t="s">
        <v>5392</v>
      </c>
      <c r="C5413" s="12">
        <v>15599.0</v>
      </c>
      <c r="D5413" s="11" t="str">
        <f t="shared" si="1"/>
        <v> </v>
      </c>
      <c r="E5413" s="11" t="str">
        <f t="shared" si="2"/>
        <v> </v>
      </c>
    </row>
    <row r="5414" ht="15.75" customHeight="1">
      <c r="A5414" s="11">
        <v>17340.0</v>
      </c>
      <c r="B5414" s="11" t="s">
        <v>5393</v>
      </c>
      <c r="C5414" s="12">
        <v>26715.0</v>
      </c>
      <c r="D5414" s="11" t="str">
        <f t="shared" si="1"/>
        <v> </v>
      </c>
      <c r="E5414" s="11" t="str">
        <f t="shared" si="2"/>
        <v> </v>
      </c>
    </row>
    <row r="5415" ht="15.75" customHeight="1">
      <c r="A5415" s="11">
        <v>17343.0</v>
      </c>
      <c r="B5415" s="11" t="s">
        <v>5394</v>
      </c>
      <c r="C5415" s="12">
        <v>26929.0</v>
      </c>
      <c r="D5415" s="11" t="str">
        <f t="shared" si="1"/>
        <v> </v>
      </c>
      <c r="E5415" s="11" t="str">
        <f t="shared" si="2"/>
        <v> </v>
      </c>
    </row>
    <row r="5416" ht="15.75" customHeight="1">
      <c r="A5416" s="11">
        <v>17344.0</v>
      </c>
      <c r="B5416" s="11" t="s">
        <v>5395</v>
      </c>
      <c r="C5416" s="12">
        <v>20321.0</v>
      </c>
      <c r="D5416" s="11" t="str">
        <f t="shared" si="1"/>
        <v> </v>
      </c>
      <c r="E5416" s="11" t="str">
        <f t="shared" si="2"/>
        <v> </v>
      </c>
    </row>
    <row r="5417" ht="15.75" customHeight="1">
      <c r="A5417" s="11">
        <v>17346.0</v>
      </c>
      <c r="B5417" s="11" t="s">
        <v>5396</v>
      </c>
      <c r="C5417" s="12">
        <v>36998.0</v>
      </c>
      <c r="D5417" s="11" t="str">
        <f t="shared" si="1"/>
        <v> </v>
      </c>
      <c r="E5417" s="11" t="str">
        <f t="shared" si="2"/>
        <v> </v>
      </c>
    </row>
    <row r="5418" ht="15.75" customHeight="1">
      <c r="A5418" s="11">
        <v>17347.0</v>
      </c>
      <c r="B5418" s="11" t="s">
        <v>5397</v>
      </c>
      <c r="C5418" s="12">
        <v>22820.0</v>
      </c>
      <c r="D5418" s="11" t="str">
        <f t="shared" si="1"/>
        <v> </v>
      </c>
      <c r="E5418" s="11" t="str">
        <f t="shared" si="2"/>
        <v> </v>
      </c>
    </row>
    <row r="5419" ht="15.75" customHeight="1">
      <c r="A5419" s="11">
        <v>17348.0</v>
      </c>
      <c r="B5419" s="11" t="s">
        <v>5398</v>
      </c>
      <c r="C5419" s="12">
        <v>24346.0</v>
      </c>
      <c r="D5419" s="11" t="str">
        <f t="shared" si="1"/>
        <v> </v>
      </c>
      <c r="E5419" s="11" t="str">
        <f t="shared" si="2"/>
        <v> </v>
      </c>
    </row>
    <row r="5420" ht="15.75" customHeight="1">
      <c r="A5420" s="11">
        <v>17349.0</v>
      </c>
      <c r="B5420" s="11" t="s">
        <v>5399</v>
      </c>
      <c r="C5420" s="12">
        <v>16193.0</v>
      </c>
      <c r="D5420" s="11" t="str">
        <f t="shared" si="1"/>
        <v> </v>
      </c>
      <c r="E5420" s="11" t="str">
        <f t="shared" si="2"/>
        <v> </v>
      </c>
    </row>
    <row r="5421" ht="15.75" customHeight="1">
      <c r="A5421" s="11">
        <v>17350.0</v>
      </c>
      <c r="B5421" s="11" t="s">
        <v>5400</v>
      </c>
      <c r="C5421" s="12">
        <v>14746.0</v>
      </c>
      <c r="D5421" s="11" t="str">
        <f t="shared" si="1"/>
        <v> </v>
      </c>
      <c r="E5421" s="11" t="str">
        <f t="shared" si="2"/>
        <v> </v>
      </c>
    </row>
    <row r="5422" ht="15.75" customHeight="1">
      <c r="A5422" s="11">
        <v>17351.0</v>
      </c>
      <c r="B5422" s="11" t="s">
        <v>5401</v>
      </c>
      <c r="C5422" s="12">
        <v>13050.0</v>
      </c>
      <c r="D5422" s="11" t="str">
        <f t="shared" si="1"/>
        <v> </v>
      </c>
      <c r="E5422" s="11" t="str">
        <f t="shared" si="2"/>
        <v> </v>
      </c>
    </row>
    <row r="5423" ht="15.75" customHeight="1">
      <c r="A5423" s="11">
        <v>17352.0</v>
      </c>
      <c r="B5423" s="11" t="s">
        <v>5402</v>
      </c>
      <c r="C5423" s="12">
        <v>20056.0</v>
      </c>
      <c r="D5423" s="11" t="str">
        <f t="shared" si="1"/>
        <v> </v>
      </c>
      <c r="E5423" s="11" t="str">
        <f t="shared" si="2"/>
        <v> </v>
      </c>
    </row>
    <row r="5424" ht="15.75" customHeight="1">
      <c r="A5424" s="11">
        <v>17356.0</v>
      </c>
      <c r="B5424" s="11" t="s">
        <v>5403</v>
      </c>
      <c r="C5424" s="12">
        <v>18854.0</v>
      </c>
      <c r="D5424" s="11" t="str">
        <f t="shared" si="1"/>
        <v> </v>
      </c>
      <c r="E5424" s="11" t="str">
        <f t="shared" si="2"/>
        <v> </v>
      </c>
    </row>
    <row r="5425" ht="15.75" customHeight="1">
      <c r="A5425" s="11">
        <v>17357.0</v>
      </c>
      <c r="B5425" s="11" t="s">
        <v>5404</v>
      </c>
      <c r="C5425" s="12">
        <v>18120.0</v>
      </c>
      <c r="D5425" s="11" t="str">
        <f t="shared" si="1"/>
        <v> </v>
      </c>
      <c r="E5425" s="11" t="str">
        <f t="shared" si="2"/>
        <v> </v>
      </c>
    </row>
    <row r="5426" ht="15.75" customHeight="1">
      <c r="A5426" s="11">
        <v>17358.0</v>
      </c>
      <c r="B5426" s="11" t="s">
        <v>5405</v>
      </c>
      <c r="C5426" s="12">
        <v>26128.0</v>
      </c>
      <c r="D5426" s="11" t="str">
        <f t="shared" si="1"/>
        <v> </v>
      </c>
      <c r="E5426" s="11" t="str">
        <f t="shared" si="2"/>
        <v> </v>
      </c>
    </row>
    <row r="5427" ht="15.75" customHeight="1">
      <c r="A5427" s="11">
        <v>17359.0</v>
      </c>
      <c r="B5427" s="11" t="s">
        <v>5406</v>
      </c>
      <c r="C5427" s="12">
        <v>19875.0</v>
      </c>
      <c r="D5427" s="11" t="str">
        <f t="shared" si="1"/>
        <v> </v>
      </c>
      <c r="E5427" s="11" t="str">
        <f t="shared" si="2"/>
        <v> </v>
      </c>
    </row>
    <row r="5428" ht="15.75" customHeight="1">
      <c r="A5428" s="11">
        <v>17360.0</v>
      </c>
      <c r="B5428" s="11" t="s">
        <v>5407</v>
      </c>
      <c r="C5428" s="12">
        <v>19781.0</v>
      </c>
      <c r="D5428" s="11" t="str">
        <f t="shared" si="1"/>
        <v> </v>
      </c>
      <c r="E5428" s="11" t="str">
        <f t="shared" si="2"/>
        <v> </v>
      </c>
    </row>
    <row r="5429" ht="15.75" customHeight="1">
      <c r="A5429" s="11">
        <v>17361.0</v>
      </c>
      <c r="B5429" s="11" t="s">
        <v>5408</v>
      </c>
      <c r="C5429" s="12">
        <v>16387.0</v>
      </c>
      <c r="D5429" s="11" t="str">
        <f t="shared" si="1"/>
        <v> </v>
      </c>
      <c r="E5429" s="11" t="str">
        <f t="shared" si="2"/>
        <v> </v>
      </c>
    </row>
    <row r="5430" ht="15.75" customHeight="1">
      <c r="A5430" s="11">
        <v>17362.0</v>
      </c>
      <c r="B5430" s="11" t="s">
        <v>5409</v>
      </c>
      <c r="C5430" s="12">
        <v>24242.0</v>
      </c>
      <c r="D5430" s="11" t="str">
        <f t="shared" si="1"/>
        <v> </v>
      </c>
      <c r="E5430" s="11" t="str">
        <f t="shared" si="2"/>
        <v> </v>
      </c>
    </row>
    <row r="5431" ht="15.75" customHeight="1">
      <c r="A5431" s="11">
        <v>17363.0</v>
      </c>
      <c r="B5431" s="11" t="s">
        <v>5410</v>
      </c>
      <c r="C5431" s="12">
        <v>25187.0</v>
      </c>
      <c r="D5431" s="11" t="str">
        <f t="shared" si="1"/>
        <v> </v>
      </c>
      <c r="E5431" s="11" t="str">
        <f t="shared" si="2"/>
        <v> </v>
      </c>
    </row>
    <row r="5432" ht="15.75" customHeight="1">
      <c r="A5432" s="11">
        <v>17364.0</v>
      </c>
      <c r="B5432" s="11" t="s">
        <v>5411</v>
      </c>
      <c r="C5432" s="12">
        <v>14335.0</v>
      </c>
      <c r="D5432" s="11" t="str">
        <f t="shared" si="1"/>
        <v> </v>
      </c>
      <c r="E5432" s="11" t="str">
        <f t="shared" si="2"/>
        <v> </v>
      </c>
    </row>
    <row r="5433" ht="15.75" customHeight="1">
      <c r="A5433" s="11">
        <v>17366.0</v>
      </c>
      <c r="B5433" s="11" t="s">
        <v>5412</v>
      </c>
      <c r="C5433" s="12">
        <v>15609.0</v>
      </c>
      <c r="D5433" s="11" t="str">
        <f t="shared" si="1"/>
        <v> </v>
      </c>
      <c r="E5433" s="11" t="str">
        <f t="shared" si="2"/>
        <v> </v>
      </c>
    </row>
    <row r="5434" ht="15.75" customHeight="1">
      <c r="A5434" s="11">
        <v>17367.0</v>
      </c>
      <c r="B5434" s="11" t="s">
        <v>5413</v>
      </c>
      <c r="C5434" s="12">
        <v>20919.0</v>
      </c>
      <c r="D5434" s="11" t="str">
        <f t="shared" si="1"/>
        <v> </v>
      </c>
      <c r="E5434" s="11" t="str">
        <f t="shared" si="2"/>
        <v> </v>
      </c>
    </row>
    <row r="5435" ht="15.75" customHeight="1">
      <c r="A5435" s="11">
        <v>17368.0</v>
      </c>
      <c r="B5435" s="11" t="s">
        <v>5414</v>
      </c>
      <c r="C5435" s="12">
        <v>15464.0</v>
      </c>
      <c r="D5435" s="11" t="str">
        <f t="shared" si="1"/>
        <v> </v>
      </c>
      <c r="E5435" s="11" t="str">
        <f t="shared" si="2"/>
        <v>Repeat</v>
      </c>
    </row>
    <row r="5436" ht="15.75" customHeight="1">
      <c r="A5436" s="11">
        <v>17369.0</v>
      </c>
      <c r="B5436" s="11" t="s">
        <v>5415</v>
      </c>
      <c r="C5436" s="12">
        <v>32288.0</v>
      </c>
      <c r="D5436" s="11" t="str">
        <f t="shared" si="1"/>
        <v> </v>
      </c>
      <c r="E5436" s="11" t="str">
        <f t="shared" si="2"/>
        <v> </v>
      </c>
    </row>
    <row r="5437" ht="15.75" customHeight="1">
      <c r="A5437" s="11">
        <v>17370.0</v>
      </c>
      <c r="B5437" s="11" t="s">
        <v>5416</v>
      </c>
      <c r="C5437" s="12">
        <v>19205.0</v>
      </c>
      <c r="D5437" s="11" t="str">
        <f t="shared" si="1"/>
        <v> </v>
      </c>
      <c r="E5437" s="11" t="str">
        <f t="shared" si="2"/>
        <v> </v>
      </c>
    </row>
    <row r="5438" ht="15.75" customHeight="1">
      <c r="A5438" s="11">
        <v>17371.0</v>
      </c>
      <c r="B5438" s="11" t="s">
        <v>5417</v>
      </c>
      <c r="C5438" s="12">
        <v>31691.0</v>
      </c>
      <c r="D5438" s="11" t="str">
        <f t="shared" si="1"/>
        <v> </v>
      </c>
      <c r="E5438" s="11" t="str">
        <f t="shared" si="2"/>
        <v> </v>
      </c>
    </row>
    <row r="5439" ht="15.75" customHeight="1">
      <c r="A5439" s="11">
        <v>17372.0</v>
      </c>
      <c r="B5439" s="11" t="s">
        <v>5418</v>
      </c>
      <c r="C5439" s="12">
        <v>28927.0</v>
      </c>
      <c r="D5439" s="11" t="str">
        <f t="shared" si="1"/>
        <v> </v>
      </c>
      <c r="E5439" s="11" t="str">
        <f t="shared" si="2"/>
        <v> </v>
      </c>
    </row>
    <row r="5440" ht="15.75" customHeight="1">
      <c r="A5440" s="11">
        <v>17373.0</v>
      </c>
      <c r="B5440" s="11" t="s">
        <v>5419</v>
      </c>
      <c r="C5440" s="12">
        <v>12052.0</v>
      </c>
      <c r="D5440" s="11" t="str">
        <f t="shared" si="1"/>
        <v> </v>
      </c>
      <c r="E5440" s="11" t="str">
        <f t="shared" si="2"/>
        <v> </v>
      </c>
    </row>
    <row r="5441" ht="15.75" customHeight="1">
      <c r="A5441" s="11">
        <v>17374.0</v>
      </c>
      <c r="B5441" s="11" t="s">
        <v>5420</v>
      </c>
      <c r="C5441" s="12">
        <v>18469.0</v>
      </c>
      <c r="D5441" s="11" t="str">
        <f t="shared" si="1"/>
        <v> </v>
      </c>
      <c r="E5441" s="11" t="str">
        <f t="shared" si="2"/>
        <v> </v>
      </c>
    </row>
    <row r="5442" ht="15.75" customHeight="1">
      <c r="A5442" s="11">
        <v>17375.0</v>
      </c>
      <c r="B5442" s="11" t="s">
        <v>5421</v>
      </c>
      <c r="C5442" s="12">
        <v>20256.0</v>
      </c>
      <c r="D5442" s="11" t="str">
        <f t="shared" si="1"/>
        <v> </v>
      </c>
      <c r="E5442" s="11" t="str">
        <f t="shared" si="2"/>
        <v> </v>
      </c>
    </row>
    <row r="5443" ht="15.75" customHeight="1">
      <c r="A5443" s="11">
        <v>17376.0</v>
      </c>
      <c r="B5443" s="11" t="s">
        <v>5422</v>
      </c>
      <c r="C5443" s="12">
        <v>16276.0</v>
      </c>
      <c r="D5443" s="11" t="str">
        <f t="shared" si="1"/>
        <v> </v>
      </c>
      <c r="E5443" s="11" t="str">
        <f t="shared" si="2"/>
        <v> </v>
      </c>
    </row>
    <row r="5444" ht="15.75" customHeight="1">
      <c r="A5444" s="11">
        <v>17377.0</v>
      </c>
      <c r="B5444" s="11" t="s">
        <v>5423</v>
      </c>
      <c r="C5444" s="12">
        <v>14196.0</v>
      </c>
      <c r="D5444" s="11" t="str">
        <f t="shared" si="1"/>
        <v> </v>
      </c>
      <c r="E5444" s="11" t="str">
        <f t="shared" si="2"/>
        <v> </v>
      </c>
    </row>
    <row r="5445" ht="15.75" customHeight="1">
      <c r="A5445" s="11">
        <v>17378.0</v>
      </c>
      <c r="B5445" s="11" t="s">
        <v>3122</v>
      </c>
      <c r="C5445" s="12">
        <v>15255.0</v>
      </c>
      <c r="D5445" s="11" t="str">
        <f t="shared" si="1"/>
        <v>Repeat</v>
      </c>
      <c r="E5445" s="11" t="str">
        <f t="shared" si="2"/>
        <v> </v>
      </c>
    </row>
    <row r="5446" ht="15.75" customHeight="1">
      <c r="A5446" s="11">
        <v>17380.0</v>
      </c>
      <c r="B5446" s="11" t="s">
        <v>5424</v>
      </c>
      <c r="C5446" s="12">
        <v>21029.0</v>
      </c>
      <c r="D5446" s="11" t="str">
        <f t="shared" si="1"/>
        <v> </v>
      </c>
      <c r="E5446" s="11" t="str">
        <f t="shared" si="2"/>
        <v> </v>
      </c>
    </row>
    <row r="5447" ht="15.75" customHeight="1">
      <c r="A5447" s="11">
        <v>17381.0</v>
      </c>
      <c r="B5447" s="11" t="s">
        <v>5425</v>
      </c>
      <c r="C5447" s="12">
        <v>28768.0</v>
      </c>
      <c r="D5447" s="11" t="str">
        <f t="shared" si="1"/>
        <v> </v>
      </c>
      <c r="E5447" s="11" t="str">
        <f t="shared" si="2"/>
        <v> </v>
      </c>
    </row>
    <row r="5448" ht="15.75" customHeight="1">
      <c r="A5448" s="11">
        <v>17382.0</v>
      </c>
      <c r="B5448" s="11" t="s">
        <v>5426</v>
      </c>
      <c r="C5448" s="12">
        <v>20693.0</v>
      </c>
      <c r="D5448" s="11" t="str">
        <f t="shared" si="1"/>
        <v> </v>
      </c>
      <c r="E5448" s="11" t="str">
        <f t="shared" si="2"/>
        <v> </v>
      </c>
    </row>
    <row r="5449" ht="15.75" customHeight="1">
      <c r="A5449" s="11">
        <v>17384.0</v>
      </c>
      <c r="B5449" s="11" t="s">
        <v>5427</v>
      </c>
      <c r="C5449" s="12">
        <v>19907.0</v>
      </c>
      <c r="D5449" s="11" t="str">
        <f t="shared" si="1"/>
        <v> </v>
      </c>
      <c r="E5449" s="11" t="str">
        <f t="shared" si="2"/>
        <v> </v>
      </c>
    </row>
    <row r="5450" ht="15.75" customHeight="1">
      <c r="A5450" s="11">
        <v>17385.0</v>
      </c>
      <c r="B5450" s="11" t="s">
        <v>5428</v>
      </c>
      <c r="C5450" s="12">
        <v>29501.0</v>
      </c>
      <c r="D5450" s="11" t="str">
        <f t="shared" si="1"/>
        <v> </v>
      </c>
      <c r="E5450" s="11" t="str">
        <f t="shared" si="2"/>
        <v> </v>
      </c>
    </row>
    <row r="5451" ht="15.75" customHeight="1">
      <c r="A5451" s="11">
        <v>17387.0</v>
      </c>
      <c r="B5451" s="11" t="s">
        <v>5429</v>
      </c>
      <c r="C5451" s="12">
        <v>19803.0</v>
      </c>
      <c r="D5451" s="11" t="str">
        <f t="shared" si="1"/>
        <v> </v>
      </c>
      <c r="E5451" s="11" t="str">
        <f t="shared" si="2"/>
        <v>Repeat</v>
      </c>
    </row>
    <row r="5452" ht="15.75" customHeight="1">
      <c r="A5452" s="11">
        <v>17388.0</v>
      </c>
      <c r="B5452" s="11" t="s">
        <v>5430</v>
      </c>
      <c r="C5452" s="12">
        <v>20837.0</v>
      </c>
      <c r="D5452" s="11" t="str">
        <f t="shared" si="1"/>
        <v> </v>
      </c>
      <c r="E5452" s="11" t="str">
        <f t="shared" si="2"/>
        <v> </v>
      </c>
    </row>
    <row r="5453" ht="15.75" customHeight="1">
      <c r="A5453" s="11">
        <v>17389.0</v>
      </c>
      <c r="B5453" s="11" t="s">
        <v>5431</v>
      </c>
      <c r="C5453" s="12">
        <v>25089.0</v>
      </c>
      <c r="D5453" s="11" t="str">
        <f t="shared" si="1"/>
        <v> </v>
      </c>
      <c r="E5453" s="11" t="str">
        <f t="shared" si="2"/>
        <v> </v>
      </c>
    </row>
    <row r="5454" ht="15.75" customHeight="1">
      <c r="A5454" s="11">
        <v>17390.0</v>
      </c>
      <c r="B5454" s="11" t="s">
        <v>5432</v>
      </c>
      <c r="C5454" s="12">
        <v>26869.0</v>
      </c>
      <c r="D5454" s="11" t="str">
        <f t="shared" si="1"/>
        <v> </v>
      </c>
      <c r="E5454" s="11" t="str">
        <f t="shared" si="2"/>
        <v> </v>
      </c>
    </row>
    <row r="5455" ht="15.75" customHeight="1">
      <c r="A5455" s="11">
        <v>17391.0</v>
      </c>
      <c r="B5455" s="11" t="s">
        <v>5433</v>
      </c>
      <c r="C5455" s="12">
        <v>21112.0</v>
      </c>
      <c r="D5455" s="11" t="str">
        <f t="shared" si="1"/>
        <v> </v>
      </c>
      <c r="E5455" s="11" t="str">
        <f t="shared" si="2"/>
        <v> </v>
      </c>
    </row>
    <row r="5456" ht="15.75" customHeight="1">
      <c r="A5456" s="11">
        <v>17392.0</v>
      </c>
      <c r="B5456" s="11" t="s">
        <v>5434</v>
      </c>
      <c r="C5456" s="12">
        <v>15475.0</v>
      </c>
      <c r="D5456" s="11" t="str">
        <f t="shared" si="1"/>
        <v> </v>
      </c>
      <c r="E5456" s="11" t="str">
        <f t="shared" si="2"/>
        <v>Repeat</v>
      </c>
    </row>
    <row r="5457" ht="15.75" customHeight="1">
      <c r="A5457" s="11">
        <v>15357.0</v>
      </c>
      <c r="B5457" s="11" t="s">
        <v>5435</v>
      </c>
      <c r="C5457" s="12">
        <v>24988.0</v>
      </c>
      <c r="D5457" s="11" t="str">
        <f t="shared" si="1"/>
        <v> </v>
      </c>
      <c r="E5457" s="11" t="str">
        <f t="shared" si="2"/>
        <v> </v>
      </c>
    </row>
    <row r="5458" ht="15.75" customHeight="1">
      <c r="A5458" s="11">
        <v>17394.0</v>
      </c>
      <c r="B5458" s="11" t="s">
        <v>5436</v>
      </c>
      <c r="C5458" s="12">
        <v>20350.0</v>
      </c>
      <c r="D5458" s="11" t="str">
        <f t="shared" si="1"/>
        <v> </v>
      </c>
      <c r="E5458" s="11" t="str">
        <f t="shared" si="2"/>
        <v> </v>
      </c>
    </row>
    <row r="5459" ht="15.75" customHeight="1">
      <c r="A5459" s="11">
        <v>17396.0</v>
      </c>
      <c r="B5459" s="11" t="s">
        <v>5437</v>
      </c>
      <c r="C5459" s="12">
        <v>18132.0</v>
      </c>
      <c r="D5459" s="11" t="str">
        <f t="shared" si="1"/>
        <v> </v>
      </c>
      <c r="E5459" s="11" t="str">
        <f t="shared" si="2"/>
        <v> </v>
      </c>
    </row>
    <row r="5460" ht="15.75" customHeight="1">
      <c r="A5460" s="11">
        <v>17397.0</v>
      </c>
      <c r="B5460" s="11" t="s">
        <v>5438</v>
      </c>
      <c r="C5460" s="12">
        <v>24358.0</v>
      </c>
      <c r="D5460" s="11" t="str">
        <f t="shared" si="1"/>
        <v> </v>
      </c>
      <c r="E5460" s="11" t="str">
        <f t="shared" si="2"/>
        <v> </v>
      </c>
    </row>
    <row r="5461" ht="15.75" customHeight="1">
      <c r="A5461" s="11">
        <v>17399.0</v>
      </c>
      <c r="B5461" s="11" t="s">
        <v>5439</v>
      </c>
      <c r="C5461" s="12">
        <v>19585.0</v>
      </c>
      <c r="D5461" s="11" t="str">
        <f t="shared" si="1"/>
        <v> </v>
      </c>
      <c r="E5461" s="11" t="str">
        <f t="shared" si="2"/>
        <v> </v>
      </c>
    </row>
    <row r="5462" ht="15.75" customHeight="1">
      <c r="A5462" s="11">
        <v>17400.0</v>
      </c>
      <c r="B5462" s="11" t="s">
        <v>5440</v>
      </c>
      <c r="C5462" s="12">
        <v>22359.0</v>
      </c>
      <c r="D5462" s="11" t="str">
        <f t="shared" si="1"/>
        <v> </v>
      </c>
      <c r="E5462" s="11" t="str">
        <f t="shared" si="2"/>
        <v> </v>
      </c>
    </row>
    <row r="5463" ht="15.75" customHeight="1">
      <c r="A5463" s="11">
        <v>17401.0</v>
      </c>
      <c r="B5463" s="11" t="s">
        <v>5441</v>
      </c>
      <c r="C5463" s="12">
        <v>19270.0</v>
      </c>
      <c r="D5463" s="11" t="str">
        <f t="shared" si="1"/>
        <v> </v>
      </c>
      <c r="E5463" s="11" t="str">
        <f t="shared" si="2"/>
        <v> </v>
      </c>
    </row>
    <row r="5464" ht="15.75" customHeight="1">
      <c r="A5464" s="11">
        <v>17402.0</v>
      </c>
      <c r="B5464" s="11" t="s">
        <v>5442</v>
      </c>
      <c r="C5464" s="12">
        <v>34747.0</v>
      </c>
      <c r="D5464" s="11" t="str">
        <f t="shared" si="1"/>
        <v> </v>
      </c>
      <c r="E5464" s="11" t="str">
        <f t="shared" si="2"/>
        <v> </v>
      </c>
    </row>
    <row r="5465" ht="15.75" customHeight="1">
      <c r="A5465" s="11">
        <v>17403.0</v>
      </c>
      <c r="B5465" s="11" t="s">
        <v>5443</v>
      </c>
      <c r="C5465" s="12">
        <v>26246.0</v>
      </c>
      <c r="D5465" s="11" t="str">
        <f t="shared" si="1"/>
        <v> </v>
      </c>
      <c r="E5465" s="11" t="str">
        <f t="shared" si="2"/>
        <v> </v>
      </c>
    </row>
    <row r="5466" ht="15.75" customHeight="1">
      <c r="A5466" s="11">
        <v>17405.0</v>
      </c>
      <c r="B5466" s="11" t="s">
        <v>5444</v>
      </c>
      <c r="C5466" s="12">
        <v>21578.0</v>
      </c>
      <c r="D5466" s="11" t="str">
        <f t="shared" si="1"/>
        <v> </v>
      </c>
      <c r="E5466" s="11" t="str">
        <f t="shared" si="2"/>
        <v> </v>
      </c>
    </row>
    <row r="5467" ht="15.75" customHeight="1">
      <c r="A5467" s="11">
        <v>17407.0</v>
      </c>
      <c r="B5467" s="11" t="s">
        <v>5445</v>
      </c>
      <c r="C5467" s="12">
        <v>37004.0</v>
      </c>
      <c r="D5467" s="11" t="str">
        <f t="shared" si="1"/>
        <v> </v>
      </c>
      <c r="E5467" s="11" t="str">
        <f t="shared" si="2"/>
        <v> </v>
      </c>
    </row>
    <row r="5468" ht="15.75" customHeight="1">
      <c r="A5468" s="11">
        <v>17408.0</v>
      </c>
      <c r="B5468" s="11" t="s">
        <v>5446</v>
      </c>
      <c r="C5468" s="12">
        <v>15793.0</v>
      </c>
      <c r="D5468" s="11" t="str">
        <f t="shared" si="1"/>
        <v> </v>
      </c>
      <c r="E5468" s="11" t="str">
        <f t="shared" si="2"/>
        <v> </v>
      </c>
    </row>
    <row r="5469" ht="15.75" customHeight="1">
      <c r="A5469" s="11">
        <v>17410.0</v>
      </c>
      <c r="B5469" s="11" t="s">
        <v>5447</v>
      </c>
      <c r="C5469" s="12">
        <v>21489.0</v>
      </c>
      <c r="D5469" s="11" t="str">
        <f t="shared" si="1"/>
        <v> </v>
      </c>
      <c r="E5469" s="11" t="str">
        <f t="shared" si="2"/>
        <v> </v>
      </c>
    </row>
    <row r="5470" ht="15.75" customHeight="1">
      <c r="A5470" s="11">
        <v>17413.0</v>
      </c>
      <c r="B5470" s="11" t="s">
        <v>5448</v>
      </c>
      <c r="C5470" s="12">
        <v>23082.0</v>
      </c>
      <c r="D5470" s="11" t="str">
        <f t="shared" si="1"/>
        <v> </v>
      </c>
      <c r="E5470" s="11" t="str">
        <f t="shared" si="2"/>
        <v> </v>
      </c>
    </row>
    <row r="5471" ht="15.75" customHeight="1">
      <c r="A5471" s="11">
        <v>17414.0</v>
      </c>
      <c r="B5471" s="11" t="s">
        <v>5449</v>
      </c>
      <c r="C5471" s="12">
        <v>18170.0</v>
      </c>
      <c r="D5471" s="11" t="str">
        <f t="shared" si="1"/>
        <v> </v>
      </c>
      <c r="E5471" s="11" t="str">
        <f t="shared" si="2"/>
        <v> </v>
      </c>
    </row>
    <row r="5472" ht="15.75" customHeight="1">
      <c r="A5472" s="11">
        <v>17415.0</v>
      </c>
      <c r="B5472" s="11" t="s">
        <v>5450</v>
      </c>
      <c r="C5472" s="12">
        <v>27400.0</v>
      </c>
      <c r="D5472" s="11" t="str">
        <f t="shared" si="1"/>
        <v> </v>
      </c>
      <c r="E5472" s="11" t="str">
        <f t="shared" si="2"/>
        <v> </v>
      </c>
    </row>
    <row r="5473" ht="15.75" customHeight="1">
      <c r="A5473" s="11">
        <v>17417.0</v>
      </c>
      <c r="B5473" s="11" t="s">
        <v>5451</v>
      </c>
      <c r="C5473" s="12">
        <v>18931.0</v>
      </c>
      <c r="D5473" s="11" t="str">
        <f t="shared" si="1"/>
        <v> </v>
      </c>
      <c r="E5473" s="11" t="str">
        <f t="shared" si="2"/>
        <v> </v>
      </c>
    </row>
    <row r="5474" ht="15.75" customHeight="1">
      <c r="A5474" s="11">
        <v>17418.0</v>
      </c>
      <c r="B5474" s="11" t="s">
        <v>5452</v>
      </c>
      <c r="C5474" s="12">
        <v>24776.0</v>
      </c>
      <c r="D5474" s="11" t="str">
        <f t="shared" si="1"/>
        <v> </v>
      </c>
      <c r="E5474" s="11" t="str">
        <f t="shared" si="2"/>
        <v> </v>
      </c>
    </row>
    <row r="5475" ht="15.75" customHeight="1">
      <c r="A5475" s="11">
        <v>17419.0</v>
      </c>
      <c r="B5475" s="11" t="s">
        <v>5453</v>
      </c>
      <c r="C5475" s="12">
        <v>22908.0</v>
      </c>
      <c r="D5475" s="11" t="str">
        <f t="shared" si="1"/>
        <v> </v>
      </c>
      <c r="E5475" s="11" t="str">
        <f t="shared" si="2"/>
        <v> </v>
      </c>
    </row>
    <row r="5476" ht="15.75" customHeight="1">
      <c r="A5476" s="11">
        <v>17420.0</v>
      </c>
      <c r="B5476" s="11" t="s">
        <v>5454</v>
      </c>
      <c r="C5476" s="12">
        <v>34414.0</v>
      </c>
      <c r="D5476" s="11" t="str">
        <f t="shared" si="1"/>
        <v> </v>
      </c>
      <c r="E5476" s="11" t="str">
        <f t="shared" si="2"/>
        <v> </v>
      </c>
    </row>
    <row r="5477" ht="15.75" customHeight="1">
      <c r="A5477" s="11">
        <v>17421.0</v>
      </c>
      <c r="B5477" s="11" t="s">
        <v>5455</v>
      </c>
      <c r="C5477" s="12">
        <v>22316.0</v>
      </c>
      <c r="D5477" s="11" t="str">
        <f t="shared" si="1"/>
        <v> </v>
      </c>
      <c r="E5477" s="11" t="str">
        <f t="shared" si="2"/>
        <v> </v>
      </c>
    </row>
    <row r="5478" ht="15.75" customHeight="1">
      <c r="A5478" s="11">
        <v>16094.0</v>
      </c>
      <c r="B5478" s="11" t="s">
        <v>5456</v>
      </c>
      <c r="C5478" s="12">
        <v>22960.0</v>
      </c>
      <c r="D5478" s="11" t="str">
        <f t="shared" si="1"/>
        <v> </v>
      </c>
      <c r="E5478" s="11" t="str">
        <f t="shared" si="2"/>
        <v>Repeat</v>
      </c>
    </row>
    <row r="5479" ht="15.75" customHeight="1">
      <c r="A5479" s="11">
        <v>17423.0</v>
      </c>
      <c r="B5479" s="11" t="s">
        <v>5457</v>
      </c>
      <c r="C5479" s="12">
        <v>25877.0</v>
      </c>
      <c r="D5479" s="11" t="str">
        <f t="shared" si="1"/>
        <v> </v>
      </c>
      <c r="E5479" s="11" t="str">
        <f t="shared" si="2"/>
        <v> </v>
      </c>
    </row>
    <row r="5480" ht="15.75" customHeight="1">
      <c r="A5480" s="11">
        <v>17424.0</v>
      </c>
      <c r="B5480" s="11" t="s">
        <v>5458</v>
      </c>
      <c r="C5480" s="12">
        <v>30127.0</v>
      </c>
      <c r="D5480" s="11" t="str">
        <f t="shared" si="1"/>
        <v> </v>
      </c>
      <c r="E5480" s="11" t="str">
        <f t="shared" si="2"/>
        <v> </v>
      </c>
    </row>
    <row r="5481" ht="15.75" customHeight="1">
      <c r="A5481" s="11">
        <v>17425.0</v>
      </c>
      <c r="B5481" s="11" t="s">
        <v>5459</v>
      </c>
      <c r="C5481" s="12">
        <v>22145.0</v>
      </c>
      <c r="D5481" s="11" t="str">
        <f t="shared" si="1"/>
        <v> </v>
      </c>
      <c r="E5481" s="11" t="str">
        <f t="shared" si="2"/>
        <v> </v>
      </c>
    </row>
    <row r="5482" ht="15.75" customHeight="1">
      <c r="A5482" s="11">
        <v>17427.0</v>
      </c>
      <c r="B5482" s="11" t="s">
        <v>5460</v>
      </c>
      <c r="C5482" s="12">
        <v>19807.0</v>
      </c>
      <c r="D5482" s="11" t="str">
        <f t="shared" si="1"/>
        <v> </v>
      </c>
      <c r="E5482" s="11" t="str">
        <f t="shared" si="2"/>
        <v> </v>
      </c>
    </row>
    <row r="5483" ht="15.75" customHeight="1">
      <c r="A5483" s="11">
        <v>17428.0</v>
      </c>
      <c r="B5483" s="11" t="s">
        <v>5461</v>
      </c>
      <c r="C5483" s="12">
        <v>19307.0</v>
      </c>
      <c r="D5483" s="11" t="str">
        <f t="shared" si="1"/>
        <v> </v>
      </c>
      <c r="E5483" s="11" t="str">
        <f t="shared" si="2"/>
        <v> </v>
      </c>
    </row>
    <row r="5484" ht="15.75" customHeight="1">
      <c r="A5484" s="11">
        <v>17429.0</v>
      </c>
      <c r="B5484" s="11" t="s">
        <v>1798</v>
      </c>
      <c r="C5484" s="12">
        <v>22303.0</v>
      </c>
      <c r="D5484" s="11" t="str">
        <f t="shared" si="1"/>
        <v>Repeat</v>
      </c>
      <c r="E5484" s="11" t="str">
        <f t="shared" si="2"/>
        <v> </v>
      </c>
    </row>
    <row r="5485" ht="15.75" customHeight="1">
      <c r="A5485" s="11">
        <v>17430.0</v>
      </c>
      <c r="B5485" s="11" t="s">
        <v>5462</v>
      </c>
      <c r="C5485" s="12">
        <v>22361.0</v>
      </c>
      <c r="D5485" s="11" t="str">
        <f t="shared" si="1"/>
        <v> </v>
      </c>
      <c r="E5485" s="11" t="str">
        <f t="shared" si="2"/>
        <v> </v>
      </c>
    </row>
    <row r="5486" ht="15.75" customHeight="1">
      <c r="A5486" s="11">
        <v>17431.0</v>
      </c>
      <c r="B5486" s="11" t="s">
        <v>5463</v>
      </c>
      <c r="C5486" s="12">
        <v>30474.0</v>
      </c>
      <c r="D5486" s="11" t="str">
        <f t="shared" si="1"/>
        <v> </v>
      </c>
      <c r="E5486" s="11" t="str">
        <f t="shared" si="2"/>
        <v> </v>
      </c>
    </row>
    <row r="5487" ht="15.75" customHeight="1">
      <c r="A5487" s="11">
        <v>17432.0</v>
      </c>
      <c r="B5487" s="11" t="s">
        <v>5464</v>
      </c>
      <c r="C5487" s="12">
        <v>28960.0</v>
      </c>
      <c r="D5487" s="11" t="str">
        <f t="shared" si="1"/>
        <v> </v>
      </c>
      <c r="E5487" s="11" t="str">
        <f t="shared" si="2"/>
        <v>Repeat</v>
      </c>
    </row>
    <row r="5488" ht="15.75" customHeight="1">
      <c r="A5488" s="11">
        <v>17433.0</v>
      </c>
      <c r="B5488" s="11" t="s">
        <v>5465</v>
      </c>
      <c r="C5488" s="12">
        <v>17676.0</v>
      </c>
      <c r="D5488" s="11" t="str">
        <f t="shared" si="1"/>
        <v> </v>
      </c>
      <c r="E5488" s="11" t="str">
        <f t="shared" si="2"/>
        <v> </v>
      </c>
    </row>
    <row r="5489" ht="15.75" customHeight="1">
      <c r="A5489" s="11">
        <v>17434.0</v>
      </c>
      <c r="B5489" s="11" t="s">
        <v>5466</v>
      </c>
      <c r="C5489" s="12">
        <v>23737.0</v>
      </c>
      <c r="D5489" s="11" t="str">
        <f t="shared" si="1"/>
        <v> </v>
      </c>
      <c r="E5489" s="11" t="str">
        <f t="shared" si="2"/>
        <v> </v>
      </c>
    </row>
    <row r="5490" ht="15.75" customHeight="1">
      <c r="A5490" s="11">
        <v>17436.0</v>
      </c>
      <c r="B5490" s="11" t="s">
        <v>5467</v>
      </c>
      <c r="C5490" s="12">
        <v>20046.0</v>
      </c>
      <c r="D5490" s="11" t="str">
        <f t="shared" si="1"/>
        <v> </v>
      </c>
      <c r="E5490" s="11" t="str">
        <f t="shared" si="2"/>
        <v> </v>
      </c>
    </row>
    <row r="5491" ht="15.75" customHeight="1">
      <c r="A5491" s="11">
        <v>17437.0</v>
      </c>
      <c r="B5491" s="11" t="s">
        <v>5468</v>
      </c>
      <c r="C5491" s="12">
        <v>21770.0</v>
      </c>
      <c r="D5491" s="11" t="str">
        <f t="shared" si="1"/>
        <v> </v>
      </c>
      <c r="E5491" s="11" t="str">
        <f t="shared" si="2"/>
        <v> </v>
      </c>
    </row>
    <row r="5492" ht="15.75" customHeight="1">
      <c r="A5492" s="11">
        <v>17438.0</v>
      </c>
      <c r="B5492" s="11" t="s">
        <v>5469</v>
      </c>
      <c r="C5492" s="12">
        <v>30556.0</v>
      </c>
      <c r="D5492" s="11" t="str">
        <f t="shared" si="1"/>
        <v>Repeat</v>
      </c>
      <c r="E5492" s="11" t="str">
        <f t="shared" si="2"/>
        <v> </v>
      </c>
    </row>
    <row r="5493" ht="15.75" customHeight="1">
      <c r="A5493" s="11">
        <v>17439.0</v>
      </c>
      <c r="B5493" s="11" t="s">
        <v>5470</v>
      </c>
      <c r="C5493" s="12">
        <v>21513.0</v>
      </c>
      <c r="D5493" s="11" t="str">
        <f t="shared" si="1"/>
        <v> </v>
      </c>
      <c r="E5493" s="11" t="str">
        <f t="shared" si="2"/>
        <v> </v>
      </c>
    </row>
    <row r="5494" ht="15.75" customHeight="1">
      <c r="A5494" s="11">
        <v>17441.0</v>
      </c>
      <c r="B5494" s="11" t="s">
        <v>5471</v>
      </c>
      <c r="C5494" s="12">
        <v>36427.0</v>
      </c>
      <c r="D5494" s="11" t="str">
        <f t="shared" si="1"/>
        <v> </v>
      </c>
      <c r="E5494" s="11" t="str">
        <f t="shared" si="2"/>
        <v> </v>
      </c>
    </row>
    <row r="5495" ht="15.75" customHeight="1">
      <c r="A5495" s="11">
        <v>17442.0</v>
      </c>
      <c r="B5495" s="11" t="s">
        <v>5472</v>
      </c>
      <c r="C5495" s="12">
        <v>23797.0</v>
      </c>
      <c r="D5495" s="11" t="str">
        <f t="shared" si="1"/>
        <v> </v>
      </c>
      <c r="E5495" s="11" t="str">
        <f t="shared" si="2"/>
        <v> </v>
      </c>
    </row>
    <row r="5496" ht="15.75" customHeight="1">
      <c r="A5496" s="11">
        <v>17445.0</v>
      </c>
      <c r="B5496" s="11" t="s">
        <v>5473</v>
      </c>
      <c r="C5496" s="12">
        <v>30569.0</v>
      </c>
      <c r="D5496" s="11" t="str">
        <f t="shared" si="1"/>
        <v> </v>
      </c>
      <c r="E5496" s="11" t="str">
        <f t="shared" si="2"/>
        <v> </v>
      </c>
    </row>
    <row r="5497" ht="15.75" customHeight="1">
      <c r="A5497" s="11">
        <v>17446.0</v>
      </c>
      <c r="B5497" s="11" t="s">
        <v>5474</v>
      </c>
      <c r="C5497" s="12">
        <v>20491.0</v>
      </c>
      <c r="D5497" s="11" t="str">
        <f t="shared" si="1"/>
        <v> </v>
      </c>
      <c r="E5497" s="11" t="str">
        <f t="shared" si="2"/>
        <v> </v>
      </c>
    </row>
    <row r="5498" ht="15.75" customHeight="1">
      <c r="A5498" s="11">
        <v>17448.0</v>
      </c>
      <c r="B5498" s="11" t="s">
        <v>5475</v>
      </c>
      <c r="C5498" s="12">
        <v>17192.0</v>
      </c>
      <c r="D5498" s="11" t="str">
        <f t="shared" si="1"/>
        <v> </v>
      </c>
      <c r="E5498" s="11" t="str">
        <f t="shared" si="2"/>
        <v> </v>
      </c>
    </row>
    <row r="5499" ht="15.75" customHeight="1">
      <c r="A5499" s="11">
        <v>17449.0</v>
      </c>
      <c r="B5499" s="11" t="s">
        <v>5476</v>
      </c>
      <c r="C5499" s="12">
        <v>24002.0</v>
      </c>
      <c r="D5499" s="11" t="str">
        <f t="shared" si="1"/>
        <v> </v>
      </c>
      <c r="E5499" s="11" t="str">
        <f t="shared" si="2"/>
        <v> </v>
      </c>
    </row>
    <row r="5500" ht="15.75" customHeight="1">
      <c r="A5500" s="11">
        <v>17450.0</v>
      </c>
      <c r="B5500" s="11" t="s">
        <v>5477</v>
      </c>
      <c r="C5500" s="12">
        <v>28887.0</v>
      </c>
      <c r="D5500" s="11" t="str">
        <f t="shared" si="1"/>
        <v> </v>
      </c>
      <c r="E5500" s="11" t="str">
        <f t="shared" si="2"/>
        <v> </v>
      </c>
    </row>
    <row r="5501" ht="15.75" customHeight="1">
      <c r="A5501" s="11">
        <v>17451.0</v>
      </c>
      <c r="B5501" s="11" t="s">
        <v>5478</v>
      </c>
      <c r="C5501" s="12">
        <v>16017.0</v>
      </c>
      <c r="D5501" s="11" t="str">
        <f t="shared" si="1"/>
        <v> </v>
      </c>
      <c r="E5501" s="11" t="str">
        <f t="shared" si="2"/>
        <v> </v>
      </c>
    </row>
    <row r="5502" ht="15.75" customHeight="1">
      <c r="A5502" s="11">
        <v>17453.0</v>
      </c>
      <c r="B5502" s="11" t="s">
        <v>5479</v>
      </c>
      <c r="C5502" s="12">
        <v>28969.0</v>
      </c>
      <c r="D5502" s="11" t="str">
        <f t="shared" si="1"/>
        <v> </v>
      </c>
      <c r="E5502" s="11" t="str">
        <f t="shared" si="2"/>
        <v> </v>
      </c>
    </row>
    <row r="5503" ht="15.75" customHeight="1">
      <c r="A5503" s="11">
        <v>17454.0</v>
      </c>
      <c r="B5503" s="11" t="s">
        <v>5480</v>
      </c>
      <c r="C5503" s="12">
        <v>14356.0</v>
      </c>
      <c r="D5503" s="11" t="str">
        <f t="shared" si="1"/>
        <v> </v>
      </c>
      <c r="E5503" s="11" t="str">
        <f t="shared" si="2"/>
        <v> </v>
      </c>
    </row>
    <row r="5504" ht="15.75" customHeight="1">
      <c r="A5504" s="11">
        <v>17455.0</v>
      </c>
      <c r="B5504" s="11" t="s">
        <v>5481</v>
      </c>
      <c r="C5504" s="12">
        <v>16904.0</v>
      </c>
      <c r="D5504" s="11" t="str">
        <f t="shared" si="1"/>
        <v> </v>
      </c>
      <c r="E5504" s="11" t="str">
        <f t="shared" si="2"/>
        <v> </v>
      </c>
    </row>
    <row r="5505" ht="15.75" customHeight="1">
      <c r="A5505" s="11">
        <v>17456.0</v>
      </c>
      <c r="B5505" s="11" t="s">
        <v>5482</v>
      </c>
      <c r="C5505" s="12">
        <v>30232.0</v>
      </c>
      <c r="D5505" s="11" t="str">
        <f t="shared" si="1"/>
        <v> </v>
      </c>
      <c r="E5505" s="11" t="str">
        <f t="shared" si="2"/>
        <v> </v>
      </c>
    </row>
    <row r="5506" ht="15.75" customHeight="1">
      <c r="A5506" s="11">
        <v>17457.0</v>
      </c>
      <c r="B5506" s="11" t="s">
        <v>5483</v>
      </c>
      <c r="C5506" s="12">
        <v>13539.0</v>
      </c>
      <c r="D5506" s="11" t="str">
        <f t="shared" si="1"/>
        <v> </v>
      </c>
      <c r="E5506" s="11" t="str">
        <f t="shared" si="2"/>
        <v> </v>
      </c>
    </row>
    <row r="5507" ht="15.75" customHeight="1">
      <c r="A5507" s="11">
        <v>17458.0</v>
      </c>
      <c r="B5507" s="11" t="s">
        <v>5484</v>
      </c>
      <c r="C5507" s="12">
        <v>14496.0</v>
      </c>
      <c r="D5507" s="11" t="str">
        <f t="shared" si="1"/>
        <v> </v>
      </c>
      <c r="E5507" s="11" t="str">
        <f t="shared" si="2"/>
        <v> </v>
      </c>
    </row>
    <row r="5508" ht="15.75" customHeight="1">
      <c r="A5508" s="11">
        <v>17459.0</v>
      </c>
      <c r="B5508" s="11" t="s">
        <v>5485</v>
      </c>
      <c r="C5508" s="12">
        <v>16684.0</v>
      </c>
      <c r="D5508" s="11" t="str">
        <f t="shared" si="1"/>
        <v> </v>
      </c>
      <c r="E5508" s="11" t="str">
        <f t="shared" si="2"/>
        <v> </v>
      </c>
    </row>
    <row r="5509" ht="15.75" customHeight="1">
      <c r="A5509" s="11">
        <v>17460.0</v>
      </c>
      <c r="B5509" s="11" t="s">
        <v>5486</v>
      </c>
      <c r="C5509" s="12">
        <v>17269.0</v>
      </c>
      <c r="D5509" s="11" t="str">
        <f t="shared" si="1"/>
        <v> </v>
      </c>
      <c r="E5509" s="11" t="str">
        <f t="shared" si="2"/>
        <v> </v>
      </c>
    </row>
    <row r="5510" ht="15.75" customHeight="1">
      <c r="A5510" s="11">
        <v>17461.0</v>
      </c>
      <c r="B5510" s="11" t="s">
        <v>5487</v>
      </c>
      <c r="C5510" s="12">
        <v>27036.0</v>
      </c>
      <c r="D5510" s="11" t="str">
        <f t="shared" si="1"/>
        <v> </v>
      </c>
      <c r="E5510" s="11" t="str">
        <f t="shared" si="2"/>
        <v>Repeat</v>
      </c>
    </row>
    <row r="5511" ht="15.75" customHeight="1">
      <c r="A5511" s="11">
        <v>17462.0</v>
      </c>
      <c r="B5511" s="11" t="s">
        <v>5488</v>
      </c>
      <c r="C5511" s="12">
        <v>25331.0</v>
      </c>
      <c r="D5511" s="11" t="str">
        <f t="shared" si="1"/>
        <v> </v>
      </c>
      <c r="E5511" s="11" t="str">
        <f t="shared" si="2"/>
        <v> </v>
      </c>
    </row>
    <row r="5512" ht="15.75" customHeight="1">
      <c r="A5512" s="11">
        <v>17463.0</v>
      </c>
      <c r="B5512" s="11" t="s">
        <v>5489</v>
      </c>
      <c r="C5512" s="12">
        <v>20156.0</v>
      </c>
      <c r="D5512" s="11" t="str">
        <f t="shared" si="1"/>
        <v> </v>
      </c>
      <c r="E5512" s="11" t="str">
        <f t="shared" si="2"/>
        <v> </v>
      </c>
    </row>
    <row r="5513" ht="15.75" customHeight="1">
      <c r="A5513" s="11">
        <v>17465.0</v>
      </c>
      <c r="B5513" s="11" t="s">
        <v>5490</v>
      </c>
      <c r="C5513" s="12">
        <v>28970.0</v>
      </c>
      <c r="D5513" s="11" t="str">
        <f t="shared" si="1"/>
        <v> </v>
      </c>
      <c r="E5513" s="11" t="str">
        <f t="shared" si="2"/>
        <v> </v>
      </c>
    </row>
    <row r="5514" ht="15.75" customHeight="1">
      <c r="A5514" s="11">
        <v>17466.0</v>
      </c>
      <c r="B5514" s="11" t="s">
        <v>5491</v>
      </c>
      <c r="C5514" s="12">
        <v>18881.0</v>
      </c>
      <c r="D5514" s="11" t="str">
        <f t="shared" si="1"/>
        <v> </v>
      </c>
      <c r="E5514" s="11" t="str">
        <f t="shared" si="2"/>
        <v> </v>
      </c>
    </row>
    <row r="5515" ht="15.75" customHeight="1">
      <c r="A5515" s="11">
        <v>17467.0</v>
      </c>
      <c r="B5515" s="11" t="s">
        <v>5492</v>
      </c>
      <c r="C5515" s="12">
        <v>13952.0</v>
      </c>
      <c r="D5515" s="11" t="str">
        <f t="shared" si="1"/>
        <v> </v>
      </c>
      <c r="E5515" s="11" t="str">
        <f t="shared" si="2"/>
        <v> </v>
      </c>
    </row>
    <row r="5516" ht="15.75" customHeight="1">
      <c r="A5516" s="11">
        <v>17468.0</v>
      </c>
      <c r="B5516" s="11" t="s">
        <v>5493</v>
      </c>
      <c r="C5516" s="12">
        <v>24099.0</v>
      </c>
      <c r="D5516" s="11" t="str">
        <f t="shared" si="1"/>
        <v> </v>
      </c>
      <c r="E5516" s="11" t="str">
        <f t="shared" si="2"/>
        <v> </v>
      </c>
    </row>
    <row r="5517" ht="15.75" customHeight="1">
      <c r="A5517" s="11">
        <v>17469.0</v>
      </c>
      <c r="B5517" s="11" t="s">
        <v>5494</v>
      </c>
      <c r="C5517" s="12">
        <v>24017.0</v>
      </c>
      <c r="D5517" s="11" t="str">
        <f t="shared" si="1"/>
        <v> </v>
      </c>
      <c r="E5517" s="11" t="str">
        <f t="shared" si="2"/>
        <v>Repeat</v>
      </c>
    </row>
    <row r="5518" ht="15.75" customHeight="1">
      <c r="A5518" s="11">
        <v>17470.0</v>
      </c>
      <c r="B5518" s="11" t="s">
        <v>5495</v>
      </c>
      <c r="C5518" s="12">
        <v>34674.0</v>
      </c>
      <c r="D5518" s="11" t="str">
        <f t="shared" si="1"/>
        <v> </v>
      </c>
      <c r="E5518" s="11" t="str">
        <f t="shared" si="2"/>
        <v> </v>
      </c>
    </row>
    <row r="5519" ht="15.75" customHeight="1">
      <c r="A5519" s="11">
        <v>17471.0</v>
      </c>
      <c r="B5519" s="11" t="s">
        <v>5496</v>
      </c>
      <c r="C5519" s="12">
        <v>19775.0</v>
      </c>
      <c r="D5519" s="11" t="str">
        <f t="shared" si="1"/>
        <v> </v>
      </c>
      <c r="E5519" s="11" t="str">
        <f t="shared" si="2"/>
        <v> </v>
      </c>
    </row>
    <row r="5520" ht="15.75" customHeight="1">
      <c r="A5520" s="11">
        <v>17472.0</v>
      </c>
      <c r="B5520" s="11" t="s">
        <v>5497</v>
      </c>
      <c r="C5520" s="12">
        <v>23857.0</v>
      </c>
      <c r="D5520" s="11" t="str">
        <f t="shared" si="1"/>
        <v> </v>
      </c>
      <c r="E5520" s="11" t="str">
        <f t="shared" si="2"/>
        <v>Repeat</v>
      </c>
    </row>
    <row r="5521" ht="15.75" customHeight="1">
      <c r="A5521" s="11">
        <v>17473.0</v>
      </c>
      <c r="B5521" s="11" t="s">
        <v>5498</v>
      </c>
      <c r="C5521" s="12">
        <v>16243.0</v>
      </c>
      <c r="D5521" s="11" t="str">
        <f t="shared" si="1"/>
        <v> </v>
      </c>
      <c r="E5521" s="11" t="str">
        <f t="shared" si="2"/>
        <v> </v>
      </c>
    </row>
    <row r="5522" ht="15.75" customHeight="1">
      <c r="A5522" s="11">
        <v>17474.0</v>
      </c>
      <c r="B5522" s="11" t="s">
        <v>5499</v>
      </c>
      <c r="C5522" s="12">
        <v>31388.0</v>
      </c>
      <c r="D5522" s="11" t="str">
        <f t="shared" si="1"/>
        <v> </v>
      </c>
      <c r="E5522" s="11" t="str">
        <f t="shared" si="2"/>
        <v> </v>
      </c>
    </row>
    <row r="5523" ht="15.75" customHeight="1">
      <c r="A5523" s="11">
        <v>17475.0</v>
      </c>
      <c r="B5523" s="11" t="s">
        <v>5500</v>
      </c>
      <c r="C5523" s="12">
        <v>29600.0</v>
      </c>
      <c r="D5523" s="11" t="str">
        <f t="shared" si="1"/>
        <v> </v>
      </c>
      <c r="E5523" s="11" t="str">
        <f t="shared" si="2"/>
        <v> </v>
      </c>
    </row>
    <row r="5524" ht="15.75" customHeight="1">
      <c r="A5524" s="11">
        <v>17476.0</v>
      </c>
      <c r="B5524" s="11" t="s">
        <v>5501</v>
      </c>
      <c r="C5524" s="12">
        <v>18351.0</v>
      </c>
      <c r="D5524" s="11" t="str">
        <f t="shared" si="1"/>
        <v> </v>
      </c>
      <c r="E5524" s="11" t="str">
        <f t="shared" si="2"/>
        <v> </v>
      </c>
    </row>
    <row r="5525" ht="15.75" customHeight="1">
      <c r="A5525" s="11">
        <v>17477.0</v>
      </c>
      <c r="B5525" s="11" t="s">
        <v>5502</v>
      </c>
      <c r="C5525" s="12">
        <v>17264.0</v>
      </c>
      <c r="D5525" s="11" t="str">
        <f t="shared" si="1"/>
        <v> </v>
      </c>
      <c r="E5525" s="11" t="str">
        <f t="shared" si="2"/>
        <v> </v>
      </c>
    </row>
    <row r="5526" ht="15.75" customHeight="1">
      <c r="A5526" s="11">
        <v>17478.0</v>
      </c>
      <c r="B5526" s="11" t="s">
        <v>5503</v>
      </c>
      <c r="C5526" s="12">
        <v>17962.0</v>
      </c>
      <c r="D5526" s="11" t="str">
        <f t="shared" si="1"/>
        <v> </v>
      </c>
      <c r="E5526" s="11" t="str">
        <f t="shared" si="2"/>
        <v> </v>
      </c>
    </row>
    <row r="5527" ht="15.75" customHeight="1">
      <c r="A5527" s="11">
        <v>17481.0</v>
      </c>
      <c r="B5527" s="11" t="s">
        <v>5504</v>
      </c>
      <c r="C5527" s="12">
        <v>22479.0</v>
      </c>
      <c r="D5527" s="11" t="str">
        <f t="shared" si="1"/>
        <v> </v>
      </c>
      <c r="E5527" s="11" t="str">
        <f t="shared" si="2"/>
        <v> </v>
      </c>
    </row>
    <row r="5528" ht="15.75" customHeight="1">
      <c r="A5528" s="11">
        <v>17482.0</v>
      </c>
      <c r="B5528" s="11" t="s">
        <v>5505</v>
      </c>
      <c r="C5528" s="12">
        <v>23647.0</v>
      </c>
      <c r="D5528" s="11" t="str">
        <f t="shared" si="1"/>
        <v> </v>
      </c>
      <c r="E5528" s="11" t="str">
        <f t="shared" si="2"/>
        <v> </v>
      </c>
    </row>
    <row r="5529" ht="15.75" customHeight="1">
      <c r="A5529" s="11">
        <v>17484.0</v>
      </c>
      <c r="B5529" s="11" t="s">
        <v>5506</v>
      </c>
      <c r="C5529" s="12">
        <v>24593.0</v>
      </c>
      <c r="D5529" s="11" t="str">
        <f t="shared" si="1"/>
        <v> </v>
      </c>
      <c r="E5529" s="11" t="str">
        <f t="shared" si="2"/>
        <v> </v>
      </c>
    </row>
    <row r="5530" ht="15.75" customHeight="1">
      <c r="A5530" s="11">
        <v>17485.0</v>
      </c>
      <c r="B5530" s="11" t="s">
        <v>5507</v>
      </c>
      <c r="C5530" s="12">
        <v>24152.0</v>
      </c>
      <c r="D5530" s="11" t="str">
        <f t="shared" si="1"/>
        <v> </v>
      </c>
      <c r="E5530" s="11" t="str">
        <f t="shared" si="2"/>
        <v> </v>
      </c>
    </row>
    <row r="5531" ht="15.75" customHeight="1">
      <c r="A5531" s="11">
        <v>17486.0</v>
      </c>
      <c r="B5531" s="11" t="s">
        <v>5508</v>
      </c>
      <c r="C5531" s="12">
        <v>31922.0</v>
      </c>
      <c r="D5531" s="11" t="str">
        <f t="shared" si="1"/>
        <v> </v>
      </c>
      <c r="E5531" s="11" t="str">
        <f t="shared" si="2"/>
        <v> </v>
      </c>
    </row>
    <row r="5532" ht="15.75" customHeight="1">
      <c r="A5532" s="11">
        <v>17489.0</v>
      </c>
      <c r="B5532" s="11" t="s">
        <v>267</v>
      </c>
      <c r="C5532" s="12">
        <v>18257.0</v>
      </c>
      <c r="D5532" s="11" t="str">
        <f t="shared" si="1"/>
        <v>Repeat</v>
      </c>
      <c r="E5532" s="11" t="str">
        <f t="shared" si="2"/>
        <v>Repeat</v>
      </c>
    </row>
    <row r="5533" ht="15.75" customHeight="1">
      <c r="A5533" s="11">
        <v>17492.0</v>
      </c>
      <c r="B5533" s="11" t="s">
        <v>5509</v>
      </c>
      <c r="C5533" s="12">
        <v>14490.0</v>
      </c>
      <c r="D5533" s="11" t="str">
        <f t="shared" si="1"/>
        <v> </v>
      </c>
      <c r="E5533" s="11" t="str">
        <f t="shared" si="2"/>
        <v> </v>
      </c>
    </row>
    <row r="5534" ht="15.75" customHeight="1">
      <c r="A5534" s="11">
        <v>17493.0</v>
      </c>
      <c r="B5534" s="11" t="s">
        <v>5510</v>
      </c>
      <c r="C5534" s="12">
        <v>21631.0</v>
      </c>
      <c r="D5534" s="11" t="str">
        <f t="shared" si="1"/>
        <v> </v>
      </c>
      <c r="E5534" s="11" t="str">
        <f t="shared" si="2"/>
        <v> </v>
      </c>
    </row>
    <row r="5535" ht="15.75" customHeight="1">
      <c r="A5535" s="11">
        <v>17494.0</v>
      </c>
      <c r="B5535" s="11" t="s">
        <v>5511</v>
      </c>
      <c r="C5535" s="12">
        <v>11262.0</v>
      </c>
      <c r="D5535" s="11" t="str">
        <f t="shared" si="1"/>
        <v> </v>
      </c>
      <c r="E5535" s="11" t="str">
        <f t="shared" si="2"/>
        <v> </v>
      </c>
    </row>
    <row r="5536" ht="15.75" customHeight="1">
      <c r="A5536" s="11">
        <v>17496.0</v>
      </c>
      <c r="B5536" s="11" t="s">
        <v>5512</v>
      </c>
      <c r="C5536" s="12">
        <v>19976.0</v>
      </c>
      <c r="D5536" s="11" t="str">
        <f t="shared" si="1"/>
        <v> </v>
      </c>
      <c r="E5536" s="11" t="str">
        <f t="shared" si="2"/>
        <v> </v>
      </c>
    </row>
    <row r="5537" ht="15.75" customHeight="1">
      <c r="A5537" s="11">
        <v>17497.0</v>
      </c>
      <c r="B5537" s="11" t="s">
        <v>5513</v>
      </c>
      <c r="C5537" s="12">
        <v>23612.0</v>
      </c>
      <c r="D5537" s="11" t="str">
        <f t="shared" si="1"/>
        <v> </v>
      </c>
      <c r="E5537" s="11" t="str">
        <f t="shared" si="2"/>
        <v> </v>
      </c>
    </row>
    <row r="5538" ht="15.75" customHeight="1">
      <c r="A5538" s="11">
        <v>17498.0</v>
      </c>
      <c r="B5538" s="11" t="s">
        <v>5514</v>
      </c>
      <c r="C5538" s="12">
        <v>18565.0</v>
      </c>
      <c r="D5538" s="11" t="str">
        <f t="shared" si="1"/>
        <v> </v>
      </c>
      <c r="E5538" s="11" t="str">
        <f t="shared" si="2"/>
        <v> </v>
      </c>
    </row>
    <row r="5539" ht="15.75" customHeight="1">
      <c r="A5539" s="11">
        <v>17499.0</v>
      </c>
      <c r="B5539" s="11" t="s">
        <v>5515</v>
      </c>
      <c r="C5539" s="12">
        <v>29169.0</v>
      </c>
      <c r="D5539" s="11" t="str">
        <f t="shared" si="1"/>
        <v> </v>
      </c>
      <c r="E5539" s="11" t="str">
        <f t="shared" si="2"/>
        <v> </v>
      </c>
    </row>
    <row r="5540" ht="15.75" customHeight="1">
      <c r="A5540" s="11">
        <v>17500.0</v>
      </c>
      <c r="B5540" s="11" t="s">
        <v>5516</v>
      </c>
      <c r="C5540" s="12">
        <v>30285.0</v>
      </c>
      <c r="D5540" s="11" t="str">
        <f t="shared" si="1"/>
        <v> </v>
      </c>
      <c r="E5540" s="11" t="str">
        <f t="shared" si="2"/>
        <v> </v>
      </c>
    </row>
    <row r="5541" ht="15.75" customHeight="1">
      <c r="A5541" s="11">
        <v>17502.0</v>
      </c>
      <c r="B5541" s="11" t="s">
        <v>5517</v>
      </c>
      <c r="C5541" s="12">
        <v>32760.0</v>
      </c>
      <c r="D5541" s="11" t="str">
        <f t="shared" si="1"/>
        <v> </v>
      </c>
      <c r="E5541" s="11" t="str">
        <f t="shared" si="2"/>
        <v> </v>
      </c>
    </row>
    <row r="5542" ht="15.75" customHeight="1">
      <c r="A5542" s="11">
        <v>17503.0</v>
      </c>
      <c r="B5542" s="11" t="s">
        <v>5518</v>
      </c>
      <c r="C5542" s="12">
        <v>17078.0</v>
      </c>
      <c r="D5542" s="11" t="str">
        <f t="shared" si="1"/>
        <v> </v>
      </c>
      <c r="E5542" s="11" t="str">
        <f t="shared" si="2"/>
        <v> </v>
      </c>
    </row>
    <row r="5543" ht="15.75" customHeight="1">
      <c r="A5543" s="11">
        <v>17504.0</v>
      </c>
      <c r="B5543" s="11" t="s">
        <v>5519</v>
      </c>
      <c r="C5543" s="12">
        <v>23663.0</v>
      </c>
      <c r="D5543" s="11" t="str">
        <f t="shared" si="1"/>
        <v> </v>
      </c>
      <c r="E5543" s="11" t="str">
        <f t="shared" si="2"/>
        <v>Repeat</v>
      </c>
    </row>
    <row r="5544" ht="15.75" customHeight="1">
      <c r="A5544" s="11">
        <v>17506.0</v>
      </c>
      <c r="B5544" s="11" t="s">
        <v>5520</v>
      </c>
      <c r="C5544" s="12">
        <v>20709.0</v>
      </c>
      <c r="D5544" s="11" t="str">
        <f t="shared" si="1"/>
        <v> </v>
      </c>
      <c r="E5544" s="11" t="str">
        <f t="shared" si="2"/>
        <v> </v>
      </c>
    </row>
    <row r="5545" ht="15.75" customHeight="1">
      <c r="A5545" s="11">
        <v>17510.0</v>
      </c>
      <c r="B5545" s="11" t="s">
        <v>5521</v>
      </c>
      <c r="C5545" s="12">
        <v>19005.0</v>
      </c>
      <c r="D5545" s="11" t="str">
        <f t="shared" si="1"/>
        <v> </v>
      </c>
      <c r="E5545" s="11" t="str">
        <f t="shared" si="2"/>
        <v> </v>
      </c>
    </row>
    <row r="5546" ht="15.75" customHeight="1">
      <c r="A5546" s="11">
        <v>17513.0</v>
      </c>
      <c r="B5546" s="11" t="s">
        <v>5522</v>
      </c>
      <c r="C5546" s="12">
        <v>13668.0</v>
      </c>
      <c r="D5546" s="11" t="str">
        <f t="shared" si="1"/>
        <v> </v>
      </c>
      <c r="E5546" s="11" t="str">
        <f t="shared" si="2"/>
        <v> </v>
      </c>
    </row>
    <row r="5547" ht="15.75" customHeight="1">
      <c r="A5547" s="11">
        <v>17515.0</v>
      </c>
      <c r="B5547" s="11" t="s">
        <v>5523</v>
      </c>
      <c r="C5547" s="12">
        <v>26361.0</v>
      </c>
      <c r="D5547" s="11" t="str">
        <f t="shared" si="1"/>
        <v> </v>
      </c>
      <c r="E5547" s="11" t="str">
        <f t="shared" si="2"/>
        <v> </v>
      </c>
    </row>
    <row r="5548" ht="15.75" customHeight="1">
      <c r="A5548" s="11">
        <v>17516.0</v>
      </c>
      <c r="B5548" s="11" t="s">
        <v>5524</v>
      </c>
      <c r="C5548" s="12">
        <v>31876.0</v>
      </c>
      <c r="D5548" s="11" t="str">
        <f t="shared" si="1"/>
        <v> </v>
      </c>
      <c r="E5548" s="11" t="str">
        <f t="shared" si="2"/>
        <v> </v>
      </c>
    </row>
    <row r="5549" ht="15.75" customHeight="1">
      <c r="A5549" s="11">
        <v>17517.0</v>
      </c>
      <c r="B5549" s="11" t="s">
        <v>5525</v>
      </c>
      <c r="C5549" s="12">
        <v>28710.0</v>
      </c>
      <c r="D5549" s="11" t="str">
        <f t="shared" si="1"/>
        <v> </v>
      </c>
      <c r="E5549" s="11" t="str">
        <f t="shared" si="2"/>
        <v> </v>
      </c>
    </row>
    <row r="5550" ht="15.75" customHeight="1">
      <c r="A5550" s="11">
        <v>17518.0</v>
      </c>
      <c r="B5550" s="11" t="s">
        <v>5526</v>
      </c>
      <c r="C5550" s="12">
        <v>16752.0</v>
      </c>
      <c r="D5550" s="11" t="str">
        <f t="shared" si="1"/>
        <v> </v>
      </c>
      <c r="E5550" s="11" t="str">
        <f t="shared" si="2"/>
        <v>Repeat</v>
      </c>
    </row>
    <row r="5551" ht="15.75" customHeight="1">
      <c r="A5551" s="11">
        <v>17519.0</v>
      </c>
      <c r="B5551" s="11" t="s">
        <v>5527</v>
      </c>
      <c r="C5551" s="12">
        <v>23509.0</v>
      </c>
      <c r="D5551" s="11" t="str">
        <f t="shared" si="1"/>
        <v> </v>
      </c>
      <c r="E5551" s="11" t="str">
        <f t="shared" si="2"/>
        <v> </v>
      </c>
    </row>
    <row r="5552" ht="15.75" customHeight="1">
      <c r="A5552" s="11">
        <v>17521.0</v>
      </c>
      <c r="B5552" s="11" t="s">
        <v>5528</v>
      </c>
      <c r="C5552" s="12">
        <v>20941.0</v>
      </c>
      <c r="D5552" s="11" t="str">
        <f t="shared" si="1"/>
        <v> </v>
      </c>
      <c r="E5552" s="11" t="str">
        <f t="shared" si="2"/>
        <v>Repeat</v>
      </c>
    </row>
    <row r="5553" ht="15.75" customHeight="1">
      <c r="A5553" s="11">
        <v>17522.0</v>
      </c>
      <c r="B5553" s="11" t="s">
        <v>5529</v>
      </c>
      <c r="C5553" s="12">
        <v>18023.0</v>
      </c>
      <c r="D5553" s="11" t="str">
        <f t="shared" si="1"/>
        <v> </v>
      </c>
      <c r="E5553" s="11" t="str">
        <f t="shared" si="2"/>
        <v> </v>
      </c>
    </row>
    <row r="5554" ht="15.75" customHeight="1">
      <c r="A5554" s="11">
        <v>17523.0</v>
      </c>
      <c r="B5554" s="11" t="s">
        <v>5530</v>
      </c>
      <c r="C5554" s="12">
        <v>15636.0</v>
      </c>
      <c r="D5554" s="11" t="str">
        <f t="shared" si="1"/>
        <v> </v>
      </c>
      <c r="E5554" s="11" t="str">
        <f t="shared" si="2"/>
        <v> </v>
      </c>
    </row>
    <row r="5555" ht="15.75" customHeight="1">
      <c r="A5555" s="11">
        <v>17524.0</v>
      </c>
      <c r="B5555" s="11" t="s">
        <v>5531</v>
      </c>
      <c r="C5555" s="12">
        <v>20396.0</v>
      </c>
      <c r="D5555" s="11" t="str">
        <f t="shared" si="1"/>
        <v> </v>
      </c>
      <c r="E5555" s="11" t="str">
        <f t="shared" si="2"/>
        <v> </v>
      </c>
    </row>
    <row r="5556" ht="15.75" customHeight="1">
      <c r="A5556" s="11">
        <v>17528.0</v>
      </c>
      <c r="B5556" s="11" t="s">
        <v>5532</v>
      </c>
      <c r="C5556" s="12">
        <v>26421.0</v>
      </c>
      <c r="D5556" s="11" t="str">
        <f t="shared" si="1"/>
        <v> </v>
      </c>
      <c r="E5556" s="11" t="str">
        <f t="shared" si="2"/>
        <v> </v>
      </c>
    </row>
    <row r="5557" ht="15.75" customHeight="1">
      <c r="A5557" s="11">
        <v>17529.0</v>
      </c>
      <c r="B5557" s="11" t="s">
        <v>5533</v>
      </c>
      <c r="C5557" s="12">
        <v>23205.0</v>
      </c>
      <c r="D5557" s="11" t="str">
        <f t="shared" si="1"/>
        <v> </v>
      </c>
      <c r="E5557" s="11" t="str">
        <f t="shared" si="2"/>
        <v> </v>
      </c>
    </row>
    <row r="5558" ht="15.75" customHeight="1">
      <c r="A5558" s="11">
        <v>17530.0</v>
      </c>
      <c r="B5558" s="11" t="s">
        <v>5534</v>
      </c>
      <c r="C5558" s="12">
        <v>21720.0</v>
      </c>
      <c r="D5558" s="11" t="str">
        <f t="shared" si="1"/>
        <v> </v>
      </c>
      <c r="E5558" s="11" t="str">
        <f t="shared" si="2"/>
        <v> </v>
      </c>
    </row>
    <row r="5559" ht="15.75" customHeight="1">
      <c r="A5559" s="11">
        <v>17531.0</v>
      </c>
      <c r="B5559" s="11" t="s">
        <v>5535</v>
      </c>
      <c r="C5559" s="12">
        <v>22539.0</v>
      </c>
      <c r="D5559" s="11" t="str">
        <f t="shared" si="1"/>
        <v> </v>
      </c>
      <c r="E5559" s="11" t="str">
        <f t="shared" si="2"/>
        <v> </v>
      </c>
    </row>
    <row r="5560" ht="15.75" customHeight="1">
      <c r="A5560" s="11">
        <v>17532.0</v>
      </c>
      <c r="B5560" s="11" t="s">
        <v>5536</v>
      </c>
      <c r="C5560" s="12">
        <v>12172.0</v>
      </c>
      <c r="D5560" s="11" t="str">
        <f t="shared" si="1"/>
        <v> </v>
      </c>
      <c r="E5560" s="11" t="str">
        <f t="shared" si="2"/>
        <v> </v>
      </c>
    </row>
    <row r="5561" ht="15.75" customHeight="1">
      <c r="A5561" s="11">
        <v>17533.0</v>
      </c>
      <c r="B5561" s="11" t="s">
        <v>5537</v>
      </c>
      <c r="C5561" s="12">
        <v>24130.0</v>
      </c>
      <c r="D5561" s="11" t="str">
        <f t="shared" si="1"/>
        <v> </v>
      </c>
      <c r="E5561" s="11" t="str">
        <f t="shared" si="2"/>
        <v> </v>
      </c>
    </row>
    <row r="5562" ht="15.75" customHeight="1">
      <c r="A5562" s="11">
        <v>17534.0</v>
      </c>
      <c r="B5562" s="11" t="s">
        <v>5538</v>
      </c>
      <c r="C5562" s="12">
        <v>21457.0</v>
      </c>
      <c r="D5562" s="11" t="str">
        <f t="shared" si="1"/>
        <v> </v>
      </c>
      <c r="E5562" s="11" t="str">
        <f t="shared" si="2"/>
        <v> </v>
      </c>
    </row>
    <row r="5563" ht="15.75" customHeight="1">
      <c r="A5563" s="11">
        <v>17536.0</v>
      </c>
      <c r="B5563" s="11" t="s">
        <v>5539</v>
      </c>
      <c r="C5563" s="12">
        <v>26216.0</v>
      </c>
      <c r="D5563" s="11" t="str">
        <f t="shared" si="1"/>
        <v> </v>
      </c>
      <c r="E5563" s="11" t="str">
        <f t="shared" si="2"/>
        <v> </v>
      </c>
    </row>
    <row r="5564" ht="15.75" customHeight="1">
      <c r="A5564" s="11">
        <v>17538.0</v>
      </c>
      <c r="B5564" s="11" t="s">
        <v>5540</v>
      </c>
      <c r="C5564" s="12">
        <v>18030.0</v>
      </c>
      <c r="D5564" s="11" t="str">
        <f t="shared" si="1"/>
        <v> </v>
      </c>
      <c r="E5564" s="11" t="str">
        <f t="shared" si="2"/>
        <v> </v>
      </c>
    </row>
    <row r="5565" ht="15.75" customHeight="1">
      <c r="A5565" s="11">
        <v>17539.0</v>
      </c>
      <c r="B5565" s="11" t="s">
        <v>5541</v>
      </c>
      <c r="C5565" s="12">
        <v>29640.0</v>
      </c>
      <c r="D5565" s="11" t="str">
        <f t="shared" si="1"/>
        <v> </v>
      </c>
      <c r="E5565" s="11" t="str">
        <f t="shared" si="2"/>
        <v> </v>
      </c>
    </row>
    <row r="5566" ht="15.75" customHeight="1">
      <c r="A5566" s="11">
        <v>17540.0</v>
      </c>
      <c r="B5566" s="11" t="s">
        <v>5542</v>
      </c>
      <c r="C5566" s="12">
        <v>15648.0</v>
      </c>
      <c r="D5566" s="11" t="str">
        <f t="shared" si="1"/>
        <v> </v>
      </c>
      <c r="E5566" s="11" t="str">
        <f t="shared" si="2"/>
        <v> </v>
      </c>
    </row>
    <row r="5567" ht="15.75" customHeight="1">
      <c r="A5567" s="11">
        <v>17541.0</v>
      </c>
      <c r="B5567" s="11" t="s">
        <v>5543</v>
      </c>
      <c r="C5567" s="12">
        <v>29868.0</v>
      </c>
      <c r="D5567" s="11" t="str">
        <f t="shared" si="1"/>
        <v> </v>
      </c>
      <c r="E5567" s="11" t="str">
        <f t="shared" si="2"/>
        <v> </v>
      </c>
    </row>
    <row r="5568" ht="15.75" customHeight="1">
      <c r="A5568" s="11">
        <v>17542.0</v>
      </c>
      <c r="B5568" s="11" t="s">
        <v>5544</v>
      </c>
      <c r="C5568" s="12">
        <v>20417.0</v>
      </c>
      <c r="D5568" s="11" t="str">
        <f t="shared" si="1"/>
        <v> </v>
      </c>
      <c r="E5568" s="11" t="str">
        <f t="shared" si="2"/>
        <v> </v>
      </c>
    </row>
    <row r="5569" ht="15.75" customHeight="1">
      <c r="A5569" s="11">
        <v>17544.0</v>
      </c>
      <c r="B5569" s="11" t="s">
        <v>5545</v>
      </c>
      <c r="C5569" s="12">
        <v>23721.0</v>
      </c>
      <c r="D5569" s="11" t="str">
        <f t="shared" si="1"/>
        <v> </v>
      </c>
      <c r="E5569" s="11" t="str">
        <f t="shared" si="2"/>
        <v> </v>
      </c>
    </row>
    <row r="5570" ht="15.75" customHeight="1">
      <c r="A5570" s="11">
        <v>17546.0</v>
      </c>
      <c r="B5570" s="11" t="s">
        <v>5546</v>
      </c>
      <c r="C5570" s="12">
        <v>23240.0</v>
      </c>
      <c r="D5570" s="11" t="str">
        <f t="shared" si="1"/>
        <v> </v>
      </c>
      <c r="E5570" s="11" t="str">
        <f t="shared" si="2"/>
        <v> </v>
      </c>
    </row>
    <row r="5571" ht="15.75" customHeight="1">
      <c r="A5571" s="11">
        <v>17547.0</v>
      </c>
      <c r="B5571" s="11" t="s">
        <v>5547</v>
      </c>
      <c r="C5571" s="12">
        <v>20086.0</v>
      </c>
      <c r="D5571" s="11" t="str">
        <f t="shared" si="1"/>
        <v> </v>
      </c>
      <c r="E5571" s="11" t="str">
        <f t="shared" si="2"/>
        <v> </v>
      </c>
    </row>
    <row r="5572" ht="15.75" customHeight="1">
      <c r="A5572" s="11">
        <v>17549.0</v>
      </c>
      <c r="B5572" s="11" t="s">
        <v>5548</v>
      </c>
      <c r="C5572" s="12">
        <v>18957.0</v>
      </c>
      <c r="D5572" s="11" t="str">
        <f t="shared" si="1"/>
        <v> </v>
      </c>
      <c r="E5572" s="11" t="str">
        <f t="shared" si="2"/>
        <v> </v>
      </c>
    </row>
    <row r="5573" ht="15.75" customHeight="1">
      <c r="A5573" s="11">
        <v>17550.0</v>
      </c>
      <c r="B5573" s="11" t="s">
        <v>5549</v>
      </c>
      <c r="C5573" s="12">
        <v>21743.0</v>
      </c>
      <c r="D5573" s="11" t="str">
        <f t="shared" si="1"/>
        <v> </v>
      </c>
      <c r="E5573" s="11" t="str">
        <f t="shared" si="2"/>
        <v> </v>
      </c>
    </row>
    <row r="5574" ht="15.75" customHeight="1">
      <c r="A5574" s="11">
        <v>17551.0</v>
      </c>
      <c r="B5574" s="11" t="s">
        <v>5550</v>
      </c>
      <c r="C5574" s="12">
        <v>32702.0</v>
      </c>
      <c r="D5574" s="11" t="str">
        <f t="shared" si="1"/>
        <v> </v>
      </c>
      <c r="E5574" s="11" t="str">
        <f t="shared" si="2"/>
        <v> </v>
      </c>
    </row>
    <row r="5575" ht="15.75" customHeight="1">
      <c r="A5575" s="11">
        <v>17552.0</v>
      </c>
      <c r="B5575" s="11" t="s">
        <v>5551</v>
      </c>
      <c r="C5575" s="12">
        <v>29202.0</v>
      </c>
      <c r="D5575" s="11" t="str">
        <f t="shared" si="1"/>
        <v> </v>
      </c>
      <c r="E5575" s="11" t="str">
        <f t="shared" si="2"/>
        <v> </v>
      </c>
    </row>
    <row r="5576" ht="15.75" customHeight="1">
      <c r="A5576" s="11">
        <v>17553.0</v>
      </c>
      <c r="B5576" s="11" t="s">
        <v>5552</v>
      </c>
      <c r="C5576" s="12">
        <v>30002.0</v>
      </c>
      <c r="D5576" s="11" t="str">
        <f t="shared" si="1"/>
        <v> </v>
      </c>
      <c r="E5576" s="11" t="str">
        <f t="shared" si="2"/>
        <v> </v>
      </c>
    </row>
    <row r="5577" ht="15.75" customHeight="1">
      <c r="A5577" s="11">
        <v>17554.0</v>
      </c>
      <c r="B5577" s="11" t="s">
        <v>5553</v>
      </c>
      <c r="C5577" s="12">
        <v>27802.0</v>
      </c>
      <c r="D5577" s="11" t="str">
        <f t="shared" si="1"/>
        <v> </v>
      </c>
      <c r="E5577" s="11" t="str">
        <f t="shared" si="2"/>
        <v> </v>
      </c>
    </row>
    <row r="5578" ht="15.75" customHeight="1">
      <c r="A5578" s="11">
        <v>17555.0</v>
      </c>
      <c r="B5578" s="11" t="s">
        <v>5554</v>
      </c>
      <c r="C5578" s="12">
        <v>19669.0</v>
      </c>
      <c r="D5578" s="11" t="str">
        <f t="shared" si="1"/>
        <v> </v>
      </c>
      <c r="E5578" s="11" t="str">
        <f t="shared" si="2"/>
        <v>Repeat</v>
      </c>
    </row>
    <row r="5579" ht="15.75" customHeight="1">
      <c r="A5579" s="11">
        <v>17556.0</v>
      </c>
      <c r="B5579" s="11" t="s">
        <v>5555</v>
      </c>
      <c r="C5579" s="12">
        <v>37099.0</v>
      </c>
      <c r="D5579" s="11" t="str">
        <f t="shared" si="1"/>
        <v> </v>
      </c>
      <c r="E5579" s="11" t="str">
        <f t="shared" si="2"/>
        <v> </v>
      </c>
    </row>
    <row r="5580" ht="15.75" customHeight="1">
      <c r="A5580" s="11">
        <v>17558.0</v>
      </c>
      <c r="B5580" s="11" t="s">
        <v>5556</v>
      </c>
      <c r="C5580" s="12">
        <v>19754.0</v>
      </c>
      <c r="D5580" s="11" t="str">
        <f t="shared" si="1"/>
        <v> </v>
      </c>
      <c r="E5580" s="11" t="str">
        <f t="shared" si="2"/>
        <v> </v>
      </c>
    </row>
    <row r="5581" ht="15.75" customHeight="1">
      <c r="A5581" s="11">
        <v>17559.0</v>
      </c>
      <c r="B5581" s="11" t="s">
        <v>5557</v>
      </c>
      <c r="C5581" s="12">
        <v>19216.0</v>
      </c>
      <c r="D5581" s="11" t="str">
        <f t="shared" si="1"/>
        <v> </v>
      </c>
      <c r="E5581" s="11" t="str">
        <f t="shared" si="2"/>
        <v> </v>
      </c>
    </row>
    <row r="5582" ht="15.75" customHeight="1">
      <c r="A5582" s="11">
        <v>16688.0</v>
      </c>
      <c r="B5582" s="11" t="s">
        <v>5558</v>
      </c>
      <c r="C5582" s="12">
        <v>22083.0</v>
      </c>
      <c r="D5582" s="11" t="str">
        <f t="shared" si="1"/>
        <v> </v>
      </c>
      <c r="E5582" s="11" t="str">
        <f t="shared" si="2"/>
        <v> </v>
      </c>
    </row>
    <row r="5583" ht="15.75" customHeight="1">
      <c r="A5583" s="11">
        <v>17562.0</v>
      </c>
      <c r="B5583" s="11" t="s">
        <v>5559</v>
      </c>
      <c r="C5583" s="12">
        <v>14131.0</v>
      </c>
      <c r="D5583" s="11" t="str">
        <f t="shared" si="1"/>
        <v> </v>
      </c>
      <c r="E5583" s="11" t="str">
        <f t="shared" si="2"/>
        <v>Repeat</v>
      </c>
    </row>
    <row r="5584" ht="15.75" customHeight="1">
      <c r="A5584" s="11">
        <v>17563.0</v>
      </c>
      <c r="B5584" s="11" t="s">
        <v>5469</v>
      </c>
      <c r="C5584" s="12">
        <v>19344.0</v>
      </c>
      <c r="D5584" s="11" t="str">
        <f t="shared" si="1"/>
        <v>Repeat</v>
      </c>
      <c r="E5584" s="11" t="str">
        <f t="shared" si="2"/>
        <v> </v>
      </c>
    </row>
    <row r="5585" ht="15.75" customHeight="1">
      <c r="A5585" s="11">
        <v>17564.0</v>
      </c>
      <c r="B5585" s="11" t="s">
        <v>5560</v>
      </c>
      <c r="C5585" s="12">
        <v>29667.0</v>
      </c>
      <c r="D5585" s="11" t="str">
        <f t="shared" si="1"/>
        <v> </v>
      </c>
      <c r="E5585" s="11" t="str">
        <f t="shared" si="2"/>
        <v> </v>
      </c>
    </row>
    <row r="5586" ht="15.75" customHeight="1">
      <c r="A5586" s="11">
        <v>17565.0</v>
      </c>
      <c r="B5586" s="11" t="s">
        <v>5561</v>
      </c>
      <c r="C5586" s="12">
        <v>28296.0</v>
      </c>
      <c r="D5586" s="11" t="str">
        <f t="shared" si="1"/>
        <v> </v>
      </c>
      <c r="E5586" s="11" t="str">
        <f t="shared" si="2"/>
        <v> </v>
      </c>
    </row>
    <row r="5587" ht="15.75" customHeight="1">
      <c r="A5587" s="11">
        <v>17566.0</v>
      </c>
      <c r="B5587" s="11" t="s">
        <v>5562</v>
      </c>
      <c r="C5587" s="12">
        <v>22520.0</v>
      </c>
      <c r="D5587" s="11" t="str">
        <f t="shared" si="1"/>
        <v> </v>
      </c>
      <c r="E5587" s="11" t="str">
        <f t="shared" si="2"/>
        <v>Repeat</v>
      </c>
    </row>
    <row r="5588" ht="15.75" customHeight="1">
      <c r="A5588" s="11">
        <v>17567.0</v>
      </c>
      <c r="B5588" s="11" t="s">
        <v>5563</v>
      </c>
      <c r="C5588" s="12">
        <v>19428.0</v>
      </c>
      <c r="D5588" s="11" t="str">
        <f t="shared" si="1"/>
        <v> </v>
      </c>
      <c r="E5588" s="11" t="str">
        <f t="shared" si="2"/>
        <v> </v>
      </c>
    </row>
    <row r="5589" ht="15.75" customHeight="1">
      <c r="A5589" s="11">
        <v>17568.0</v>
      </c>
      <c r="B5589" s="11" t="s">
        <v>5564</v>
      </c>
      <c r="C5589" s="12">
        <v>22600.0</v>
      </c>
      <c r="D5589" s="11" t="str">
        <f t="shared" si="1"/>
        <v>Repeat</v>
      </c>
      <c r="E5589" s="11" t="str">
        <f t="shared" si="2"/>
        <v> </v>
      </c>
    </row>
    <row r="5590" ht="15.75" customHeight="1">
      <c r="A5590" s="11">
        <v>17569.0</v>
      </c>
      <c r="B5590" s="11" t="s">
        <v>5565</v>
      </c>
      <c r="C5590" s="12">
        <v>24274.0</v>
      </c>
      <c r="D5590" s="11" t="str">
        <f t="shared" si="1"/>
        <v> </v>
      </c>
      <c r="E5590" s="11" t="str">
        <f t="shared" si="2"/>
        <v> </v>
      </c>
    </row>
    <row r="5591" ht="15.75" customHeight="1">
      <c r="A5591" s="11">
        <v>17571.0</v>
      </c>
      <c r="B5591" s="11" t="s">
        <v>5566</v>
      </c>
      <c r="C5591" s="12">
        <v>26372.0</v>
      </c>
      <c r="D5591" s="11" t="str">
        <f t="shared" si="1"/>
        <v> </v>
      </c>
      <c r="E5591" s="11" t="str">
        <f t="shared" si="2"/>
        <v> </v>
      </c>
    </row>
    <row r="5592" ht="15.75" customHeight="1">
      <c r="A5592" s="11">
        <v>17573.0</v>
      </c>
      <c r="B5592" s="11" t="s">
        <v>5567</v>
      </c>
      <c r="C5592" s="12">
        <v>18767.0</v>
      </c>
      <c r="D5592" s="11" t="str">
        <f t="shared" si="1"/>
        <v> </v>
      </c>
      <c r="E5592" s="11" t="str">
        <f t="shared" si="2"/>
        <v> </v>
      </c>
    </row>
    <row r="5593" ht="15.75" customHeight="1">
      <c r="A5593" s="11">
        <v>17576.0</v>
      </c>
      <c r="B5593" s="11" t="s">
        <v>5568</v>
      </c>
      <c r="C5593" s="12">
        <v>20370.0</v>
      </c>
      <c r="D5593" s="11" t="str">
        <f t="shared" si="1"/>
        <v> </v>
      </c>
      <c r="E5593" s="11" t="str">
        <f t="shared" si="2"/>
        <v> </v>
      </c>
    </row>
    <row r="5594" ht="15.75" customHeight="1">
      <c r="A5594" s="11">
        <v>17577.0</v>
      </c>
      <c r="B5594" s="11" t="s">
        <v>5569</v>
      </c>
      <c r="C5594" s="12">
        <v>23885.0</v>
      </c>
      <c r="D5594" s="11" t="str">
        <f t="shared" si="1"/>
        <v> </v>
      </c>
      <c r="E5594" s="11" t="str">
        <f t="shared" si="2"/>
        <v> </v>
      </c>
    </row>
    <row r="5595" ht="15.75" customHeight="1">
      <c r="A5595" s="11">
        <v>17580.0</v>
      </c>
      <c r="B5595" s="11" t="s">
        <v>5570</v>
      </c>
      <c r="C5595" s="12">
        <v>23076.0</v>
      </c>
      <c r="D5595" s="11" t="str">
        <f t="shared" si="1"/>
        <v> </v>
      </c>
      <c r="E5595" s="11" t="str">
        <f t="shared" si="2"/>
        <v> </v>
      </c>
    </row>
    <row r="5596" ht="15.75" customHeight="1">
      <c r="A5596" s="11">
        <v>17581.0</v>
      </c>
      <c r="B5596" s="11" t="s">
        <v>5571</v>
      </c>
      <c r="C5596" s="12">
        <v>29340.0</v>
      </c>
      <c r="D5596" s="11" t="str">
        <f t="shared" si="1"/>
        <v> </v>
      </c>
      <c r="E5596" s="11" t="str">
        <f t="shared" si="2"/>
        <v>Repeat</v>
      </c>
    </row>
    <row r="5597" ht="15.75" customHeight="1">
      <c r="A5597" s="11">
        <v>17582.0</v>
      </c>
      <c r="B5597" s="11" t="s">
        <v>5572</v>
      </c>
      <c r="C5597" s="12">
        <v>16032.0</v>
      </c>
      <c r="D5597" s="11" t="str">
        <f t="shared" si="1"/>
        <v> </v>
      </c>
      <c r="E5597" s="11" t="str">
        <f t="shared" si="2"/>
        <v> </v>
      </c>
    </row>
    <row r="5598" ht="15.75" customHeight="1">
      <c r="A5598" s="11">
        <v>17587.0</v>
      </c>
      <c r="B5598" s="11" t="s">
        <v>5573</v>
      </c>
      <c r="C5598" s="12">
        <v>25234.0</v>
      </c>
      <c r="D5598" s="11" t="str">
        <f t="shared" si="1"/>
        <v> </v>
      </c>
      <c r="E5598" s="11" t="str">
        <f t="shared" si="2"/>
        <v> </v>
      </c>
    </row>
    <row r="5599" ht="15.75" customHeight="1">
      <c r="A5599" s="11">
        <v>17588.0</v>
      </c>
      <c r="B5599" s="11" t="s">
        <v>5574</v>
      </c>
      <c r="C5599" s="12">
        <v>20083.0</v>
      </c>
      <c r="D5599" s="11" t="str">
        <f t="shared" si="1"/>
        <v> </v>
      </c>
      <c r="E5599" s="11" t="str">
        <f t="shared" si="2"/>
        <v> </v>
      </c>
    </row>
    <row r="5600" ht="15.75" customHeight="1">
      <c r="A5600" s="11">
        <v>17589.0</v>
      </c>
      <c r="B5600" s="11" t="s">
        <v>5575</v>
      </c>
      <c r="C5600" s="12">
        <v>24271.0</v>
      </c>
      <c r="D5600" s="11" t="str">
        <f t="shared" si="1"/>
        <v> </v>
      </c>
      <c r="E5600" s="11" t="str">
        <f t="shared" si="2"/>
        <v> </v>
      </c>
    </row>
    <row r="5601" ht="15.75" customHeight="1">
      <c r="A5601" s="11">
        <v>17590.0</v>
      </c>
      <c r="B5601" s="11" t="s">
        <v>5576</v>
      </c>
      <c r="C5601" s="12">
        <v>26837.0</v>
      </c>
      <c r="D5601" s="11" t="str">
        <f t="shared" si="1"/>
        <v> </v>
      </c>
      <c r="E5601" s="11" t="str">
        <f t="shared" si="2"/>
        <v> </v>
      </c>
    </row>
    <row r="5602" ht="15.75" customHeight="1">
      <c r="A5602" s="11">
        <v>17591.0</v>
      </c>
      <c r="B5602" s="11" t="s">
        <v>5577</v>
      </c>
      <c r="C5602" s="12">
        <v>17332.0</v>
      </c>
      <c r="D5602" s="11" t="str">
        <f t="shared" si="1"/>
        <v> </v>
      </c>
      <c r="E5602" s="11" t="str">
        <f t="shared" si="2"/>
        <v> </v>
      </c>
    </row>
    <row r="5603" ht="15.75" customHeight="1">
      <c r="A5603" s="11">
        <v>17592.0</v>
      </c>
      <c r="B5603" s="11" t="s">
        <v>5578</v>
      </c>
      <c r="C5603" s="12">
        <v>20500.0</v>
      </c>
      <c r="D5603" s="11" t="str">
        <f t="shared" si="1"/>
        <v> </v>
      </c>
      <c r="E5603" s="11" t="str">
        <f t="shared" si="2"/>
        <v> </v>
      </c>
    </row>
    <row r="5604" ht="15.75" customHeight="1">
      <c r="A5604" s="11">
        <v>17593.0</v>
      </c>
      <c r="B5604" s="11" t="s">
        <v>5579</v>
      </c>
      <c r="C5604" s="12">
        <v>22097.0</v>
      </c>
      <c r="D5604" s="11" t="str">
        <f t="shared" si="1"/>
        <v> </v>
      </c>
      <c r="E5604" s="11" t="str">
        <f t="shared" si="2"/>
        <v> </v>
      </c>
    </row>
    <row r="5605" ht="15.75" customHeight="1">
      <c r="A5605" s="11">
        <v>17598.0</v>
      </c>
      <c r="B5605" s="11" t="s">
        <v>5580</v>
      </c>
      <c r="C5605" s="12">
        <v>32870.0</v>
      </c>
      <c r="D5605" s="11" t="str">
        <f t="shared" si="1"/>
        <v> </v>
      </c>
      <c r="E5605" s="11" t="str">
        <f t="shared" si="2"/>
        <v> </v>
      </c>
    </row>
    <row r="5606" ht="15.75" customHeight="1">
      <c r="A5606" s="11">
        <v>17600.0</v>
      </c>
      <c r="B5606" s="11" t="s">
        <v>5581</v>
      </c>
      <c r="C5606" s="12">
        <v>28310.0</v>
      </c>
      <c r="D5606" s="11" t="str">
        <f t="shared" si="1"/>
        <v> </v>
      </c>
      <c r="E5606" s="11" t="str">
        <f t="shared" si="2"/>
        <v> </v>
      </c>
    </row>
    <row r="5607" ht="15.75" customHeight="1">
      <c r="A5607" s="11">
        <v>17607.0</v>
      </c>
      <c r="B5607" s="11" t="s">
        <v>5582</v>
      </c>
      <c r="C5607" s="12">
        <v>17277.0</v>
      </c>
      <c r="D5607" s="11" t="str">
        <f t="shared" si="1"/>
        <v> </v>
      </c>
      <c r="E5607" s="11" t="str">
        <f t="shared" si="2"/>
        <v> </v>
      </c>
    </row>
    <row r="5608" ht="15.75" customHeight="1">
      <c r="A5608" s="11">
        <v>17609.0</v>
      </c>
      <c r="B5608" s="11" t="s">
        <v>5583</v>
      </c>
      <c r="C5608" s="12">
        <v>14571.0</v>
      </c>
      <c r="D5608" s="11" t="str">
        <f t="shared" si="1"/>
        <v> </v>
      </c>
      <c r="E5608" s="11" t="str">
        <f t="shared" si="2"/>
        <v> </v>
      </c>
    </row>
    <row r="5609" ht="15.75" customHeight="1">
      <c r="A5609" s="11">
        <v>17611.0</v>
      </c>
      <c r="B5609" s="11" t="s">
        <v>5584</v>
      </c>
      <c r="C5609" s="12">
        <v>18385.0</v>
      </c>
      <c r="D5609" s="11" t="str">
        <f t="shared" si="1"/>
        <v> </v>
      </c>
      <c r="E5609" s="11" t="str">
        <f t="shared" si="2"/>
        <v> </v>
      </c>
    </row>
    <row r="5610" ht="15.75" customHeight="1">
      <c r="A5610" s="11">
        <v>17613.0</v>
      </c>
      <c r="B5610" s="11" t="s">
        <v>5585</v>
      </c>
      <c r="C5610" s="12">
        <v>23779.0</v>
      </c>
      <c r="D5610" s="11" t="str">
        <f t="shared" si="1"/>
        <v> </v>
      </c>
      <c r="E5610" s="11" t="str">
        <f t="shared" si="2"/>
        <v>Repeat</v>
      </c>
    </row>
    <row r="5611" ht="15.75" customHeight="1">
      <c r="A5611" s="11">
        <v>17615.0</v>
      </c>
      <c r="B5611" s="11" t="s">
        <v>5586</v>
      </c>
      <c r="C5611" s="12">
        <v>16202.0</v>
      </c>
      <c r="D5611" s="11" t="str">
        <f t="shared" si="1"/>
        <v> </v>
      </c>
      <c r="E5611" s="11" t="str">
        <f t="shared" si="2"/>
        <v> </v>
      </c>
    </row>
    <row r="5612" ht="15.75" customHeight="1">
      <c r="A5612" s="11">
        <v>17616.0</v>
      </c>
      <c r="B5612" s="11" t="s">
        <v>5587</v>
      </c>
      <c r="C5612" s="12">
        <v>32824.0</v>
      </c>
      <c r="D5612" s="11" t="str">
        <f t="shared" si="1"/>
        <v> </v>
      </c>
      <c r="E5612" s="11" t="str">
        <f t="shared" si="2"/>
        <v> </v>
      </c>
    </row>
    <row r="5613" ht="15.75" customHeight="1">
      <c r="A5613" s="11">
        <v>16842.0</v>
      </c>
      <c r="B5613" s="11" t="s">
        <v>5588</v>
      </c>
      <c r="C5613" s="12">
        <v>21658.0</v>
      </c>
      <c r="D5613" s="11" t="str">
        <f t="shared" si="1"/>
        <v> </v>
      </c>
      <c r="E5613" s="11" t="str">
        <f t="shared" si="2"/>
        <v> </v>
      </c>
    </row>
    <row r="5614" ht="15.75" customHeight="1">
      <c r="A5614" s="11">
        <v>17622.0</v>
      </c>
      <c r="B5614" s="11" t="s">
        <v>5589</v>
      </c>
      <c r="C5614" s="12">
        <v>25553.0</v>
      </c>
      <c r="D5614" s="11" t="str">
        <f t="shared" si="1"/>
        <v>Repeat</v>
      </c>
      <c r="E5614" s="11" t="str">
        <f t="shared" si="2"/>
        <v>Repeat</v>
      </c>
    </row>
    <row r="5615" ht="15.75" customHeight="1">
      <c r="A5615" s="11">
        <v>17628.0</v>
      </c>
      <c r="B5615" s="11" t="s">
        <v>5590</v>
      </c>
      <c r="C5615" s="12">
        <v>21258.0</v>
      </c>
      <c r="D5615" s="11" t="str">
        <f t="shared" si="1"/>
        <v> </v>
      </c>
      <c r="E5615" s="11" t="str">
        <f t="shared" si="2"/>
        <v> </v>
      </c>
    </row>
    <row r="5616" ht="15.75" customHeight="1">
      <c r="A5616" s="11">
        <v>17630.0</v>
      </c>
      <c r="B5616" s="11" t="s">
        <v>5591</v>
      </c>
      <c r="C5616" s="12">
        <v>16735.0</v>
      </c>
      <c r="D5616" s="11" t="str">
        <f t="shared" si="1"/>
        <v> </v>
      </c>
      <c r="E5616" s="11" t="str">
        <f t="shared" si="2"/>
        <v> </v>
      </c>
    </row>
    <row r="5617" ht="15.75" customHeight="1">
      <c r="A5617" s="11">
        <v>17636.0</v>
      </c>
      <c r="B5617" s="11" t="s">
        <v>5592</v>
      </c>
      <c r="C5617" s="12">
        <v>28769.0</v>
      </c>
      <c r="D5617" s="11" t="str">
        <f t="shared" si="1"/>
        <v> </v>
      </c>
      <c r="E5617" s="11" t="str">
        <f t="shared" si="2"/>
        <v> </v>
      </c>
    </row>
    <row r="5618" ht="15.75" customHeight="1">
      <c r="A5618" s="11">
        <v>17638.0</v>
      </c>
      <c r="B5618" s="11" t="s">
        <v>5593</v>
      </c>
      <c r="C5618" s="12">
        <v>24544.0</v>
      </c>
      <c r="D5618" s="11" t="str">
        <f t="shared" si="1"/>
        <v> </v>
      </c>
      <c r="E5618" s="11" t="str">
        <f t="shared" si="2"/>
        <v> </v>
      </c>
    </row>
    <row r="5619" ht="15.75" customHeight="1">
      <c r="A5619" s="11">
        <v>17642.0</v>
      </c>
      <c r="B5619" s="11" t="s">
        <v>5594</v>
      </c>
      <c r="C5619" s="12">
        <v>10492.0</v>
      </c>
      <c r="D5619" s="11" t="str">
        <f t="shared" si="1"/>
        <v> </v>
      </c>
      <c r="E5619" s="11" t="str">
        <f t="shared" si="2"/>
        <v>Repeat</v>
      </c>
    </row>
    <row r="5620" ht="15.75" customHeight="1">
      <c r="A5620" s="11">
        <v>17644.0</v>
      </c>
      <c r="B5620" s="11" t="s">
        <v>5595</v>
      </c>
      <c r="C5620" s="12">
        <v>17953.0</v>
      </c>
      <c r="D5620" s="11" t="str">
        <f t="shared" si="1"/>
        <v> </v>
      </c>
      <c r="E5620" s="11" t="str">
        <f t="shared" si="2"/>
        <v> </v>
      </c>
    </row>
    <row r="5621" ht="15.75" customHeight="1">
      <c r="A5621" s="11">
        <v>17645.0</v>
      </c>
      <c r="B5621" s="11" t="s">
        <v>5596</v>
      </c>
      <c r="C5621" s="12">
        <v>28342.0</v>
      </c>
      <c r="D5621" s="11" t="str">
        <f t="shared" si="1"/>
        <v> </v>
      </c>
      <c r="E5621" s="11" t="str">
        <f t="shared" si="2"/>
        <v> </v>
      </c>
    </row>
    <row r="5622" ht="15.75" customHeight="1">
      <c r="A5622" s="11">
        <v>17646.0</v>
      </c>
      <c r="B5622" s="11" t="s">
        <v>5597</v>
      </c>
      <c r="C5622" s="12">
        <v>22520.0</v>
      </c>
      <c r="D5622" s="11" t="str">
        <f t="shared" si="1"/>
        <v> </v>
      </c>
      <c r="E5622" s="11" t="str">
        <f t="shared" si="2"/>
        <v> </v>
      </c>
    </row>
    <row r="5623" ht="15.75" customHeight="1">
      <c r="A5623" s="11">
        <v>17650.0</v>
      </c>
      <c r="B5623" s="11" t="s">
        <v>5598</v>
      </c>
      <c r="C5623" s="12">
        <v>20700.0</v>
      </c>
      <c r="D5623" s="11" t="str">
        <f t="shared" si="1"/>
        <v> </v>
      </c>
      <c r="E5623" s="11" t="str">
        <f t="shared" si="2"/>
        <v> </v>
      </c>
    </row>
    <row r="5624" ht="15.75" customHeight="1">
      <c r="A5624" s="11">
        <v>17585.0</v>
      </c>
      <c r="B5624" s="11" t="s">
        <v>5599</v>
      </c>
      <c r="C5624" s="12">
        <v>22072.0</v>
      </c>
      <c r="D5624" s="11" t="str">
        <f t="shared" si="1"/>
        <v> </v>
      </c>
      <c r="E5624" s="11" t="str">
        <f t="shared" si="2"/>
        <v> </v>
      </c>
    </row>
    <row r="5625" ht="15.75" customHeight="1">
      <c r="A5625" s="11">
        <v>17653.0</v>
      </c>
      <c r="B5625" s="11" t="s">
        <v>5600</v>
      </c>
      <c r="C5625" s="12">
        <v>33117.0</v>
      </c>
      <c r="D5625" s="11" t="str">
        <f t="shared" si="1"/>
        <v> </v>
      </c>
      <c r="E5625" s="11" t="str">
        <f t="shared" si="2"/>
        <v> </v>
      </c>
    </row>
    <row r="5626" ht="15.75" customHeight="1">
      <c r="A5626" s="11">
        <v>17654.0</v>
      </c>
      <c r="B5626" s="11" t="s">
        <v>5601</v>
      </c>
      <c r="C5626" s="12">
        <v>25635.0</v>
      </c>
      <c r="D5626" s="11" t="str">
        <f t="shared" si="1"/>
        <v> </v>
      </c>
      <c r="E5626" s="11" t="str">
        <f t="shared" si="2"/>
        <v> </v>
      </c>
    </row>
    <row r="5627" ht="15.75" customHeight="1">
      <c r="A5627" s="11">
        <v>17655.0</v>
      </c>
      <c r="B5627" s="11" t="s">
        <v>5602</v>
      </c>
      <c r="C5627" s="12">
        <v>16439.0</v>
      </c>
      <c r="D5627" s="11" t="str">
        <f t="shared" si="1"/>
        <v> </v>
      </c>
      <c r="E5627" s="11" t="str">
        <f t="shared" si="2"/>
        <v> </v>
      </c>
    </row>
    <row r="5628" ht="15.75" customHeight="1">
      <c r="A5628" s="11">
        <v>17656.0</v>
      </c>
      <c r="B5628" s="11" t="s">
        <v>5603</v>
      </c>
      <c r="C5628" s="12">
        <v>17028.0</v>
      </c>
      <c r="D5628" s="11" t="str">
        <f t="shared" si="1"/>
        <v> </v>
      </c>
      <c r="E5628" s="11" t="str">
        <f t="shared" si="2"/>
        <v> </v>
      </c>
    </row>
    <row r="5629" ht="15.75" customHeight="1">
      <c r="A5629" s="11">
        <v>17661.0</v>
      </c>
      <c r="B5629" s="11" t="s">
        <v>5604</v>
      </c>
      <c r="C5629" s="12">
        <v>18853.0</v>
      </c>
      <c r="D5629" s="11" t="str">
        <f t="shared" si="1"/>
        <v> </v>
      </c>
      <c r="E5629" s="11" t="str">
        <f t="shared" si="2"/>
        <v> </v>
      </c>
    </row>
    <row r="5630" ht="15.75" customHeight="1">
      <c r="A5630" s="11">
        <v>17662.0</v>
      </c>
      <c r="B5630" s="11" t="s">
        <v>5605</v>
      </c>
      <c r="C5630" s="12">
        <v>31625.0</v>
      </c>
      <c r="D5630" s="11" t="str">
        <f t="shared" si="1"/>
        <v> </v>
      </c>
      <c r="E5630" s="11" t="str">
        <f t="shared" si="2"/>
        <v> </v>
      </c>
    </row>
    <row r="5631" ht="15.75" customHeight="1">
      <c r="A5631" s="11">
        <v>17663.0</v>
      </c>
      <c r="B5631" s="11" t="s">
        <v>5606</v>
      </c>
      <c r="C5631" s="12">
        <v>15789.0</v>
      </c>
      <c r="D5631" s="11" t="str">
        <f t="shared" si="1"/>
        <v> </v>
      </c>
      <c r="E5631" s="11" t="str">
        <f t="shared" si="2"/>
        <v> </v>
      </c>
    </row>
    <row r="5632" ht="15.75" customHeight="1">
      <c r="A5632" s="11">
        <v>17665.0</v>
      </c>
      <c r="B5632" s="11" t="s">
        <v>5607</v>
      </c>
      <c r="C5632" s="12">
        <v>11991.0</v>
      </c>
      <c r="D5632" s="11" t="str">
        <f t="shared" si="1"/>
        <v> </v>
      </c>
      <c r="E5632" s="11" t="str">
        <f t="shared" si="2"/>
        <v>Repeat</v>
      </c>
    </row>
    <row r="5633" ht="15.75" customHeight="1">
      <c r="A5633" s="11">
        <v>17666.0</v>
      </c>
      <c r="B5633" s="11" t="s">
        <v>5608</v>
      </c>
      <c r="C5633" s="12">
        <v>15904.0</v>
      </c>
      <c r="D5633" s="11" t="str">
        <f t="shared" si="1"/>
        <v> </v>
      </c>
      <c r="E5633" s="11" t="str">
        <f t="shared" si="2"/>
        <v> </v>
      </c>
    </row>
    <row r="5634" ht="15.75" customHeight="1">
      <c r="A5634" s="11">
        <v>17668.0</v>
      </c>
      <c r="B5634" s="11" t="s">
        <v>5609</v>
      </c>
      <c r="C5634" s="12">
        <v>13250.0</v>
      </c>
      <c r="D5634" s="11" t="str">
        <f t="shared" si="1"/>
        <v> </v>
      </c>
      <c r="E5634" s="11" t="str">
        <f t="shared" si="2"/>
        <v> </v>
      </c>
    </row>
    <row r="5635" ht="15.75" customHeight="1">
      <c r="A5635" s="11">
        <v>17670.0</v>
      </c>
      <c r="B5635" s="11" t="s">
        <v>5610</v>
      </c>
      <c r="C5635" s="12">
        <v>15233.0</v>
      </c>
      <c r="D5635" s="11" t="str">
        <f t="shared" si="1"/>
        <v> </v>
      </c>
      <c r="E5635" s="11" t="str">
        <f t="shared" si="2"/>
        <v> </v>
      </c>
    </row>
    <row r="5636" ht="15.75" customHeight="1">
      <c r="A5636" s="11">
        <v>17672.0</v>
      </c>
      <c r="B5636" s="11" t="s">
        <v>5611</v>
      </c>
      <c r="C5636" s="12">
        <v>24669.0</v>
      </c>
      <c r="D5636" s="11" t="str">
        <f t="shared" si="1"/>
        <v> </v>
      </c>
      <c r="E5636" s="11" t="str">
        <f t="shared" si="2"/>
        <v>Repeat</v>
      </c>
    </row>
    <row r="5637" ht="15.75" customHeight="1">
      <c r="A5637" s="11">
        <v>17674.0</v>
      </c>
      <c r="B5637" s="11" t="s">
        <v>5612</v>
      </c>
      <c r="C5637" s="12">
        <v>27918.0</v>
      </c>
      <c r="D5637" s="11" t="str">
        <f t="shared" si="1"/>
        <v> </v>
      </c>
      <c r="E5637" s="11" t="str">
        <f t="shared" si="2"/>
        <v> </v>
      </c>
    </row>
    <row r="5638" ht="15.75" customHeight="1">
      <c r="A5638" s="11">
        <v>17675.0</v>
      </c>
      <c r="B5638" s="11" t="s">
        <v>5613</v>
      </c>
      <c r="C5638" s="12">
        <v>15429.0</v>
      </c>
      <c r="D5638" s="11" t="str">
        <f t="shared" si="1"/>
        <v> </v>
      </c>
      <c r="E5638" s="11" t="str">
        <f t="shared" si="2"/>
        <v>Repeat</v>
      </c>
    </row>
    <row r="5639" ht="15.75" customHeight="1">
      <c r="A5639" s="11">
        <v>17679.0</v>
      </c>
      <c r="B5639" s="11" t="s">
        <v>5614</v>
      </c>
      <c r="C5639" s="12">
        <v>29073.0</v>
      </c>
      <c r="D5639" s="11" t="str">
        <f t="shared" si="1"/>
        <v> </v>
      </c>
      <c r="E5639" s="11" t="str">
        <f t="shared" si="2"/>
        <v> </v>
      </c>
    </row>
    <row r="5640" ht="15.75" customHeight="1">
      <c r="A5640" s="11">
        <v>17681.0</v>
      </c>
      <c r="B5640" s="11" t="s">
        <v>5615</v>
      </c>
      <c r="C5640" s="12">
        <v>25947.0</v>
      </c>
      <c r="D5640" s="11" t="str">
        <f t="shared" si="1"/>
        <v> </v>
      </c>
      <c r="E5640" s="11" t="str">
        <f t="shared" si="2"/>
        <v> </v>
      </c>
    </row>
    <row r="5641" ht="15.75" customHeight="1">
      <c r="A5641" s="11">
        <v>17682.0</v>
      </c>
      <c r="B5641" s="11" t="s">
        <v>5616</v>
      </c>
      <c r="C5641" s="12">
        <v>19868.0</v>
      </c>
      <c r="D5641" s="11" t="str">
        <f t="shared" si="1"/>
        <v> </v>
      </c>
      <c r="E5641" s="11" t="str">
        <f t="shared" si="2"/>
        <v> </v>
      </c>
    </row>
    <row r="5642" ht="15.75" customHeight="1">
      <c r="A5642" s="11">
        <v>17684.0</v>
      </c>
      <c r="B5642" s="11" t="s">
        <v>5617</v>
      </c>
      <c r="C5642" s="12">
        <v>15744.0</v>
      </c>
      <c r="D5642" s="11" t="str">
        <f t="shared" si="1"/>
        <v> </v>
      </c>
      <c r="E5642" s="11" t="str">
        <f t="shared" si="2"/>
        <v> </v>
      </c>
    </row>
    <row r="5643" ht="15.75" customHeight="1">
      <c r="A5643" s="11">
        <v>17685.0</v>
      </c>
      <c r="B5643" s="11" t="s">
        <v>5618</v>
      </c>
      <c r="C5643" s="12">
        <v>24394.0</v>
      </c>
      <c r="D5643" s="11" t="str">
        <f t="shared" si="1"/>
        <v> </v>
      </c>
      <c r="E5643" s="11" t="str">
        <f t="shared" si="2"/>
        <v>Repeat</v>
      </c>
    </row>
    <row r="5644" ht="15.75" customHeight="1">
      <c r="A5644" s="11">
        <v>17691.0</v>
      </c>
      <c r="B5644" s="11" t="s">
        <v>5619</v>
      </c>
      <c r="C5644" s="12">
        <v>15625.0</v>
      </c>
      <c r="D5644" s="11" t="str">
        <f t="shared" si="1"/>
        <v> </v>
      </c>
      <c r="E5644" s="11" t="str">
        <f t="shared" si="2"/>
        <v>Repeat</v>
      </c>
    </row>
    <row r="5645" ht="15.75" customHeight="1">
      <c r="A5645" s="11">
        <v>17693.0</v>
      </c>
      <c r="B5645" s="11" t="s">
        <v>5620</v>
      </c>
      <c r="C5645" s="12">
        <v>30218.0</v>
      </c>
      <c r="D5645" s="11" t="str">
        <f t="shared" si="1"/>
        <v> </v>
      </c>
      <c r="E5645" s="11" t="str">
        <f t="shared" si="2"/>
        <v> </v>
      </c>
    </row>
    <row r="5646" ht="15.75" customHeight="1">
      <c r="A5646" s="11">
        <v>17697.0</v>
      </c>
      <c r="B5646" s="11" t="s">
        <v>5621</v>
      </c>
      <c r="C5646" s="12">
        <v>24305.0</v>
      </c>
      <c r="D5646" s="11" t="str">
        <f t="shared" si="1"/>
        <v> </v>
      </c>
      <c r="E5646" s="11" t="str">
        <f t="shared" si="2"/>
        <v> </v>
      </c>
    </row>
    <row r="5647" ht="15.75" customHeight="1">
      <c r="A5647" s="11">
        <v>17699.0</v>
      </c>
      <c r="B5647" s="11" t="s">
        <v>5622</v>
      </c>
      <c r="C5647" s="12">
        <v>19822.0</v>
      </c>
      <c r="D5647" s="11" t="str">
        <f t="shared" si="1"/>
        <v> </v>
      </c>
      <c r="E5647" s="11" t="str">
        <f t="shared" si="2"/>
        <v> </v>
      </c>
    </row>
    <row r="5648" ht="15.75" customHeight="1">
      <c r="A5648" s="11">
        <v>17700.0</v>
      </c>
      <c r="B5648" s="11" t="s">
        <v>5623</v>
      </c>
      <c r="C5648" s="12">
        <v>22880.0</v>
      </c>
      <c r="D5648" s="11" t="str">
        <f t="shared" si="1"/>
        <v> </v>
      </c>
      <c r="E5648" s="11" t="str">
        <f t="shared" si="2"/>
        <v> </v>
      </c>
    </row>
    <row r="5649" ht="15.75" customHeight="1">
      <c r="A5649" s="11">
        <v>17704.0</v>
      </c>
      <c r="B5649" s="11" t="s">
        <v>5624</v>
      </c>
      <c r="C5649" s="12">
        <v>26847.0</v>
      </c>
      <c r="D5649" s="11" t="str">
        <f t="shared" si="1"/>
        <v> </v>
      </c>
      <c r="E5649" s="11" t="str">
        <f t="shared" si="2"/>
        <v>Repeat</v>
      </c>
    </row>
    <row r="5650" ht="15.75" customHeight="1">
      <c r="A5650" s="11">
        <v>17707.0</v>
      </c>
      <c r="B5650" s="11" t="s">
        <v>5625</v>
      </c>
      <c r="C5650" s="12">
        <v>16095.0</v>
      </c>
      <c r="D5650" s="11" t="str">
        <f t="shared" si="1"/>
        <v> </v>
      </c>
      <c r="E5650" s="11" t="str">
        <f t="shared" si="2"/>
        <v> </v>
      </c>
    </row>
    <row r="5651" ht="15.75" customHeight="1">
      <c r="A5651" s="11">
        <v>17708.0</v>
      </c>
      <c r="B5651" s="11" t="s">
        <v>5626</v>
      </c>
      <c r="C5651" s="12">
        <v>14701.0</v>
      </c>
      <c r="D5651" s="11" t="str">
        <f t="shared" si="1"/>
        <v> </v>
      </c>
      <c r="E5651" s="11" t="str">
        <f t="shared" si="2"/>
        <v> </v>
      </c>
    </row>
    <row r="5652" ht="15.75" customHeight="1">
      <c r="A5652" s="11">
        <v>17713.0</v>
      </c>
      <c r="B5652" s="11" t="s">
        <v>5627</v>
      </c>
      <c r="C5652" s="12">
        <v>21325.0</v>
      </c>
      <c r="D5652" s="11" t="str">
        <f t="shared" si="1"/>
        <v> </v>
      </c>
      <c r="E5652" s="11" t="str">
        <f t="shared" si="2"/>
        <v> </v>
      </c>
    </row>
    <row r="5653" ht="15.75" customHeight="1">
      <c r="A5653" s="11">
        <v>17714.0</v>
      </c>
      <c r="B5653" s="11" t="s">
        <v>5628</v>
      </c>
      <c r="C5653" s="12">
        <v>27440.0</v>
      </c>
      <c r="D5653" s="11" t="str">
        <f t="shared" si="1"/>
        <v> </v>
      </c>
      <c r="E5653" s="11" t="str">
        <f t="shared" si="2"/>
        <v> </v>
      </c>
    </row>
    <row r="5654" ht="15.75" customHeight="1">
      <c r="A5654" s="11">
        <v>17722.0</v>
      </c>
      <c r="B5654" s="11" t="s">
        <v>5629</v>
      </c>
      <c r="C5654" s="12">
        <v>18162.0</v>
      </c>
      <c r="D5654" s="11" t="str">
        <f t="shared" si="1"/>
        <v> </v>
      </c>
      <c r="E5654" s="11" t="str">
        <f t="shared" si="2"/>
        <v> </v>
      </c>
    </row>
    <row r="5655" ht="15.75" customHeight="1">
      <c r="A5655" s="11">
        <v>17726.0</v>
      </c>
      <c r="B5655" s="11" t="s">
        <v>5630</v>
      </c>
      <c r="C5655" s="12">
        <v>25326.0</v>
      </c>
      <c r="D5655" s="11" t="str">
        <f t="shared" si="1"/>
        <v> </v>
      </c>
      <c r="E5655" s="11" t="str">
        <f t="shared" si="2"/>
        <v> </v>
      </c>
    </row>
    <row r="5656" ht="15.75" customHeight="1">
      <c r="A5656" s="11">
        <v>17731.0</v>
      </c>
      <c r="B5656" s="11" t="s">
        <v>5631</v>
      </c>
      <c r="C5656" s="12">
        <v>16165.0</v>
      </c>
      <c r="D5656" s="11" t="str">
        <f t="shared" si="1"/>
        <v> </v>
      </c>
      <c r="E5656" s="11" t="str">
        <f t="shared" si="2"/>
        <v> </v>
      </c>
    </row>
    <row r="5657" ht="15.75" customHeight="1">
      <c r="A5657" s="11">
        <v>17737.0</v>
      </c>
      <c r="B5657" s="11" t="s">
        <v>5632</v>
      </c>
      <c r="C5657" s="12">
        <v>20591.0</v>
      </c>
      <c r="D5657" s="11" t="str">
        <f t="shared" si="1"/>
        <v> </v>
      </c>
      <c r="E5657" s="11" t="str">
        <f t="shared" si="2"/>
        <v>Repeat</v>
      </c>
    </row>
    <row r="5658" ht="15.75" customHeight="1">
      <c r="A5658" s="11">
        <v>17740.0</v>
      </c>
      <c r="B5658" s="11" t="s">
        <v>5633</v>
      </c>
      <c r="C5658" s="12">
        <v>17787.0</v>
      </c>
      <c r="D5658" s="11" t="str">
        <f t="shared" si="1"/>
        <v> </v>
      </c>
      <c r="E5658" s="11" t="str">
        <f t="shared" si="2"/>
        <v> </v>
      </c>
    </row>
    <row r="5659" ht="15.75" customHeight="1">
      <c r="A5659" s="11" t="s">
        <v>5634</v>
      </c>
      <c r="B5659" s="11" t="s">
        <v>5635</v>
      </c>
      <c r="C5659" s="12">
        <v>17945.0</v>
      </c>
      <c r="D5659" s="11" t="str">
        <f t="shared" si="1"/>
        <v> </v>
      </c>
      <c r="E5659" s="11" t="str">
        <f t="shared" si="2"/>
        <v> </v>
      </c>
    </row>
    <row r="5660" ht="15.75" customHeight="1">
      <c r="A5660" s="11" t="s">
        <v>5636</v>
      </c>
      <c r="B5660" s="11" t="s">
        <v>503</v>
      </c>
      <c r="C5660" s="12">
        <v>22263.0</v>
      </c>
      <c r="D5660" s="11" t="str">
        <f t="shared" si="1"/>
        <v>Repeat</v>
      </c>
      <c r="E5660" s="11" t="str">
        <f t="shared" si="2"/>
        <v> </v>
      </c>
    </row>
    <row r="5661" ht="15.75" customHeight="1">
      <c r="A5661" s="11" t="s">
        <v>5637</v>
      </c>
      <c r="B5661" s="11" t="s">
        <v>552</v>
      </c>
      <c r="C5661" s="12">
        <v>28667.0</v>
      </c>
      <c r="D5661" s="11" t="str">
        <f t="shared" si="1"/>
        <v>Repeat</v>
      </c>
      <c r="E5661" s="11" t="str">
        <f t="shared" si="2"/>
        <v> </v>
      </c>
    </row>
    <row r="5662" ht="15.75" customHeight="1">
      <c r="A5662" s="11" t="s">
        <v>5638</v>
      </c>
      <c r="B5662" s="11" t="s">
        <v>648</v>
      </c>
      <c r="C5662" s="12">
        <v>23016.0</v>
      </c>
      <c r="D5662" s="11" t="str">
        <f t="shared" si="1"/>
        <v>Repeat</v>
      </c>
      <c r="E5662" s="11" t="str">
        <f t="shared" si="2"/>
        <v> </v>
      </c>
    </row>
    <row r="5663" ht="15.75" customHeight="1">
      <c r="A5663" s="11" t="s">
        <v>5639</v>
      </c>
      <c r="B5663" s="11" t="s">
        <v>691</v>
      </c>
      <c r="C5663" s="12">
        <v>17116.0</v>
      </c>
      <c r="D5663" s="11" t="str">
        <f t="shared" si="1"/>
        <v>Repeat</v>
      </c>
      <c r="E5663" s="11" t="str">
        <f t="shared" si="2"/>
        <v> </v>
      </c>
    </row>
    <row r="5664" ht="15.75" customHeight="1">
      <c r="A5664" s="11" t="s">
        <v>5640</v>
      </c>
      <c r="B5664" s="11" t="s">
        <v>747</v>
      </c>
      <c r="C5664" s="12">
        <v>18722.0</v>
      </c>
      <c r="D5664" s="11" t="str">
        <f t="shared" si="1"/>
        <v>Repeat</v>
      </c>
      <c r="E5664" s="11" t="str">
        <f t="shared" si="2"/>
        <v> </v>
      </c>
    </row>
    <row r="5665" ht="15.75" customHeight="1">
      <c r="A5665" s="11" t="s">
        <v>5641</v>
      </c>
      <c r="B5665" s="11" t="s">
        <v>748</v>
      </c>
      <c r="C5665" s="12">
        <v>19806.0</v>
      </c>
      <c r="D5665" s="11" t="str">
        <f t="shared" si="1"/>
        <v>Repeat</v>
      </c>
      <c r="E5665" s="11" t="str">
        <f t="shared" si="2"/>
        <v> </v>
      </c>
    </row>
    <row r="5666" ht="15.75" customHeight="1">
      <c r="A5666" s="11" t="s">
        <v>5642</v>
      </c>
      <c r="B5666" s="11" t="s">
        <v>5643</v>
      </c>
      <c r="C5666" s="12">
        <v>19324.0</v>
      </c>
      <c r="D5666" s="11" t="str">
        <f t="shared" si="1"/>
        <v> </v>
      </c>
      <c r="E5666" s="11" t="str">
        <f t="shared" si="2"/>
        <v> </v>
      </c>
    </row>
    <row r="5667" ht="15.75" customHeight="1">
      <c r="A5667" s="11" t="s">
        <v>5644</v>
      </c>
      <c r="B5667" s="11" t="s">
        <v>793</v>
      </c>
      <c r="C5667" s="12">
        <v>13482.0</v>
      </c>
      <c r="D5667" s="11" t="str">
        <f t="shared" si="1"/>
        <v>Repeat</v>
      </c>
      <c r="E5667" s="11" t="str">
        <f t="shared" si="2"/>
        <v> </v>
      </c>
    </row>
    <row r="5668" ht="15.75" customHeight="1">
      <c r="A5668" s="11" t="s">
        <v>5645</v>
      </c>
      <c r="B5668" s="11" t="s">
        <v>795</v>
      </c>
      <c r="C5668" s="12">
        <v>20885.0</v>
      </c>
      <c r="D5668" s="11" t="str">
        <f t="shared" si="1"/>
        <v>Repeat</v>
      </c>
      <c r="E5668" s="11" t="str">
        <f t="shared" si="2"/>
        <v> </v>
      </c>
    </row>
    <row r="5669" ht="15.75" customHeight="1">
      <c r="A5669" s="11" t="s">
        <v>5646</v>
      </c>
      <c r="B5669" s="11" t="s">
        <v>802</v>
      </c>
      <c r="C5669" s="12">
        <v>24401.0</v>
      </c>
      <c r="D5669" s="11" t="str">
        <f t="shared" si="1"/>
        <v>Repeat</v>
      </c>
      <c r="E5669" s="11" t="str">
        <f t="shared" si="2"/>
        <v> </v>
      </c>
    </row>
    <row r="5670" ht="15.75" customHeight="1">
      <c r="A5670" s="11" t="s">
        <v>5647</v>
      </c>
      <c r="B5670" s="11" t="s">
        <v>5648</v>
      </c>
      <c r="C5670" s="12">
        <v>33348.0</v>
      </c>
      <c r="D5670" s="11" t="str">
        <f t="shared" si="1"/>
        <v> </v>
      </c>
      <c r="E5670" s="11" t="str">
        <f t="shared" si="2"/>
        <v> </v>
      </c>
    </row>
    <row r="5671" ht="15.75" customHeight="1">
      <c r="A5671" s="11" t="s">
        <v>5649</v>
      </c>
      <c r="B5671" s="11" t="s">
        <v>908</v>
      </c>
      <c r="C5671" s="12">
        <v>24551.0</v>
      </c>
      <c r="D5671" s="11" t="str">
        <f t="shared" si="1"/>
        <v>Repeat</v>
      </c>
      <c r="E5671" s="11" t="str">
        <f t="shared" si="2"/>
        <v> </v>
      </c>
    </row>
    <row r="5672" ht="15.75" customHeight="1">
      <c r="A5672" s="11" t="s">
        <v>5650</v>
      </c>
      <c r="B5672" s="11" t="s">
        <v>1012</v>
      </c>
      <c r="C5672" s="12">
        <v>31522.0</v>
      </c>
      <c r="D5672" s="11" t="str">
        <f t="shared" si="1"/>
        <v>Repeat</v>
      </c>
      <c r="E5672" s="11" t="str">
        <f t="shared" si="2"/>
        <v> </v>
      </c>
    </row>
    <row r="5673" ht="15.75" customHeight="1">
      <c r="A5673" s="11" t="s">
        <v>5651</v>
      </c>
      <c r="B5673" s="11" t="s">
        <v>5652</v>
      </c>
      <c r="C5673" s="12">
        <v>33253.0</v>
      </c>
      <c r="D5673" s="11" t="str">
        <f t="shared" si="1"/>
        <v> </v>
      </c>
      <c r="E5673" s="11" t="str">
        <f t="shared" si="2"/>
        <v> </v>
      </c>
    </row>
    <row r="5674" ht="15.75" customHeight="1">
      <c r="A5674" s="11" t="s">
        <v>5653</v>
      </c>
      <c r="B5674" s="11" t="s">
        <v>1301</v>
      </c>
      <c r="C5674" s="12">
        <v>27387.0</v>
      </c>
      <c r="D5674" s="11" t="str">
        <f t="shared" si="1"/>
        <v>Repeat</v>
      </c>
      <c r="E5674" s="11" t="str">
        <f t="shared" si="2"/>
        <v> </v>
      </c>
    </row>
    <row r="5675" ht="15.75" customHeight="1">
      <c r="A5675" s="11" t="s">
        <v>5654</v>
      </c>
      <c r="B5675" s="11" t="s">
        <v>1306</v>
      </c>
      <c r="C5675" s="12">
        <v>25069.0</v>
      </c>
      <c r="D5675" s="11" t="str">
        <f t="shared" si="1"/>
        <v>Repeat</v>
      </c>
      <c r="E5675" s="11" t="str">
        <f t="shared" si="2"/>
        <v> </v>
      </c>
    </row>
    <row r="5676" ht="15.75" customHeight="1">
      <c r="A5676" s="11" t="s">
        <v>5655</v>
      </c>
      <c r="B5676" s="11" t="s">
        <v>1475</v>
      </c>
      <c r="C5676" s="12">
        <v>15274.0</v>
      </c>
      <c r="D5676" s="11" t="str">
        <f t="shared" si="1"/>
        <v>Repeat</v>
      </c>
      <c r="E5676" s="11" t="str">
        <f t="shared" si="2"/>
        <v> </v>
      </c>
    </row>
    <row r="5677" ht="15.75" customHeight="1">
      <c r="A5677" s="11" t="s">
        <v>5656</v>
      </c>
      <c r="B5677" s="11" t="s">
        <v>1556</v>
      </c>
      <c r="C5677" s="12">
        <v>16075.0</v>
      </c>
      <c r="D5677" s="11" t="str">
        <f t="shared" si="1"/>
        <v>Repeat</v>
      </c>
      <c r="E5677" s="11" t="str">
        <f t="shared" si="2"/>
        <v> </v>
      </c>
    </row>
    <row r="5678" ht="15.75" customHeight="1">
      <c r="A5678" s="11" t="s">
        <v>5657</v>
      </c>
      <c r="B5678" s="11" t="s">
        <v>1695</v>
      </c>
      <c r="C5678" s="12">
        <v>16408.0</v>
      </c>
      <c r="D5678" s="11" t="str">
        <f t="shared" si="1"/>
        <v>Repeat</v>
      </c>
      <c r="E5678" s="11" t="str">
        <f t="shared" si="2"/>
        <v> </v>
      </c>
    </row>
    <row r="5679" ht="15.75" customHeight="1">
      <c r="A5679" s="11" t="s">
        <v>5658</v>
      </c>
      <c r="B5679" s="11" t="s">
        <v>5659</v>
      </c>
      <c r="C5679" s="12">
        <v>10504.0</v>
      </c>
      <c r="D5679" s="11" t="str">
        <f t="shared" si="1"/>
        <v> </v>
      </c>
      <c r="E5679" s="11" t="str">
        <f t="shared" si="2"/>
        <v> </v>
      </c>
    </row>
    <row r="5680" ht="15.75" customHeight="1">
      <c r="A5680" s="11" t="s">
        <v>5660</v>
      </c>
      <c r="B5680" s="11" t="s">
        <v>5661</v>
      </c>
      <c r="C5680" s="12">
        <v>28446.0</v>
      </c>
      <c r="D5680" s="11" t="str">
        <f t="shared" si="1"/>
        <v>Repeat</v>
      </c>
      <c r="E5680" s="11" t="str">
        <f t="shared" si="2"/>
        <v> </v>
      </c>
    </row>
    <row r="5681" ht="15.75" customHeight="1">
      <c r="A5681" s="11">
        <v>12928.0</v>
      </c>
      <c r="B5681" s="11" t="s">
        <v>5661</v>
      </c>
      <c r="C5681" s="12">
        <v>28446.0</v>
      </c>
      <c r="D5681" s="11" t="str">
        <f t="shared" si="1"/>
        <v>Repeat</v>
      </c>
      <c r="E5681" s="11" t="str">
        <f t="shared" si="2"/>
        <v> </v>
      </c>
    </row>
    <row r="5682" ht="15.75" customHeight="1">
      <c r="A5682" s="11" t="s">
        <v>5662</v>
      </c>
      <c r="B5682" s="11" t="s">
        <v>1872</v>
      </c>
      <c r="C5682" s="12">
        <v>15686.0</v>
      </c>
      <c r="D5682" s="11" t="str">
        <f t="shared" si="1"/>
        <v>Repeat</v>
      </c>
      <c r="E5682" s="11" t="str">
        <f t="shared" si="2"/>
        <v> </v>
      </c>
    </row>
    <row r="5683" ht="15.75" customHeight="1">
      <c r="A5683" s="11" t="s">
        <v>5663</v>
      </c>
      <c r="B5683" s="11" t="s">
        <v>1954</v>
      </c>
      <c r="C5683" s="12">
        <v>15746.0</v>
      </c>
      <c r="D5683" s="11" t="str">
        <f t="shared" si="1"/>
        <v>Repeat</v>
      </c>
      <c r="E5683" s="11" t="str">
        <f t="shared" si="2"/>
        <v> </v>
      </c>
    </row>
    <row r="5684" ht="15.75" customHeight="1">
      <c r="A5684" s="11" t="s">
        <v>5664</v>
      </c>
      <c r="B5684" s="11" t="s">
        <v>2054</v>
      </c>
      <c r="C5684" s="12">
        <v>10769.0</v>
      </c>
      <c r="D5684" s="11" t="str">
        <f t="shared" si="1"/>
        <v>Repeat</v>
      </c>
      <c r="E5684" s="11" t="str">
        <f t="shared" si="2"/>
        <v> </v>
      </c>
    </row>
    <row r="5685" ht="15.75" customHeight="1">
      <c r="A5685" s="11" t="s">
        <v>5665</v>
      </c>
      <c r="B5685" s="11" t="s">
        <v>2129</v>
      </c>
      <c r="C5685" s="12">
        <v>31106.0</v>
      </c>
      <c r="D5685" s="11" t="str">
        <f t="shared" si="1"/>
        <v>Repeat</v>
      </c>
      <c r="E5685" s="11" t="str">
        <f t="shared" si="2"/>
        <v> </v>
      </c>
    </row>
    <row r="5686" ht="15.75" customHeight="1">
      <c r="A5686" s="11" t="s">
        <v>5666</v>
      </c>
      <c r="B5686" s="11" t="s">
        <v>2175</v>
      </c>
      <c r="C5686" s="12">
        <v>12842.0</v>
      </c>
      <c r="D5686" s="11" t="str">
        <f t="shared" si="1"/>
        <v>Repeat</v>
      </c>
      <c r="E5686" s="11" t="str">
        <f t="shared" si="2"/>
        <v> </v>
      </c>
    </row>
    <row r="5687" ht="15.75" customHeight="1">
      <c r="A5687" s="11" t="s">
        <v>5667</v>
      </c>
      <c r="B5687" s="11" t="s">
        <v>2246</v>
      </c>
      <c r="C5687" s="12">
        <v>19914.0</v>
      </c>
      <c r="D5687" s="11" t="str">
        <f t="shared" si="1"/>
        <v>Repeat</v>
      </c>
      <c r="E5687" s="11" t="str">
        <f t="shared" si="2"/>
        <v> </v>
      </c>
    </row>
    <row r="5688" ht="15.75" customHeight="1">
      <c r="A5688" s="11" t="s">
        <v>5668</v>
      </c>
      <c r="B5688" s="11" t="s">
        <v>2250</v>
      </c>
      <c r="C5688" s="12">
        <v>14935.0</v>
      </c>
      <c r="D5688" s="11" t="str">
        <f t="shared" si="1"/>
        <v>Repeat</v>
      </c>
      <c r="E5688" s="11" t="str">
        <f t="shared" si="2"/>
        <v> </v>
      </c>
    </row>
    <row r="5689" ht="15.75" customHeight="1">
      <c r="A5689" s="11" t="s">
        <v>5669</v>
      </c>
      <c r="B5689" s="11" t="s">
        <v>5670</v>
      </c>
      <c r="C5689" s="12">
        <v>24561.0</v>
      </c>
      <c r="D5689" s="11" t="str">
        <f t="shared" si="1"/>
        <v>Repeat</v>
      </c>
      <c r="E5689" s="11" t="str">
        <f t="shared" si="2"/>
        <v> </v>
      </c>
    </row>
    <row r="5690" ht="15.75" customHeight="1">
      <c r="A5690" s="11" t="s">
        <v>5671</v>
      </c>
      <c r="B5690" s="11" t="s">
        <v>2394</v>
      </c>
      <c r="C5690" s="12">
        <v>28177.0</v>
      </c>
      <c r="D5690" s="11" t="str">
        <f t="shared" si="1"/>
        <v>Repeat</v>
      </c>
      <c r="E5690" s="11" t="str">
        <f t="shared" si="2"/>
        <v> </v>
      </c>
    </row>
    <row r="5691" ht="15.75" customHeight="1">
      <c r="A5691" s="11" t="s">
        <v>5672</v>
      </c>
      <c r="B5691" s="11" t="s">
        <v>2448</v>
      </c>
      <c r="C5691" s="12">
        <v>32834.0</v>
      </c>
      <c r="D5691" s="11" t="str">
        <f t="shared" si="1"/>
        <v>Repeat</v>
      </c>
      <c r="E5691" s="11" t="str">
        <f t="shared" si="2"/>
        <v> </v>
      </c>
    </row>
    <row r="5692" ht="15.75" customHeight="1">
      <c r="A5692" s="11" t="s">
        <v>5673</v>
      </c>
      <c r="B5692" s="11" t="s">
        <v>2458</v>
      </c>
      <c r="C5692" s="12">
        <v>34963.0</v>
      </c>
      <c r="D5692" s="11" t="str">
        <f t="shared" si="1"/>
        <v>Repeat</v>
      </c>
      <c r="E5692" s="11" t="str">
        <f t="shared" si="2"/>
        <v> </v>
      </c>
    </row>
    <row r="5693" ht="15.75" customHeight="1">
      <c r="A5693" s="11" t="s">
        <v>5674</v>
      </c>
      <c r="B5693" s="11" t="s">
        <v>2459</v>
      </c>
      <c r="C5693" s="12">
        <v>23397.0</v>
      </c>
      <c r="D5693" s="11" t="str">
        <f t="shared" si="1"/>
        <v>Repeat</v>
      </c>
      <c r="E5693" s="11" t="str">
        <f t="shared" si="2"/>
        <v> </v>
      </c>
    </row>
    <row r="5694" ht="15.75" customHeight="1">
      <c r="A5694" s="11" t="s">
        <v>5675</v>
      </c>
      <c r="B5694" s="11" t="s">
        <v>2474</v>
      </c>
      <c r="C5694" s="12">
        <v>30118.0</v>
      </c>
      <c r="D5694" s="11" t="str">
        <f t="shared" si="1"/>
        <v>Repeat</v>
      </c>
      <c r="E5694" s="11" t="str">
        <f t="shared" si="2"/>
        <v> </v>
      </c>
    </row>
    <row r="5695" ht="15.75" customHeight="1">
      <c r="A5695" s="11" t="s">
        <v>5676</v>
      </c>
      <c r="B5695" s="11" t="s">
        <v>2488</v>
      </c>
      <c r="C5695" s="12">
        <v>24812.0</v>
      </c>
      <c r="D5695" s="11" t="str">
        <f t="shared" si="1"/>
        <v>Repeat</v>
      </c>
      <c r="E5695" s="11" t="str">
        <f t="shared" si="2"/>
        <v> </v>
      </c>
    </row>
    <row r="5696" ht="15.75" customHeight="1">
      <c r="A5696" s="11" t="s">
        <v>5677</v>
      </c>
      <c r="B5696" s="11" t="s">
        <v>2596</v>
      </c>
      <c r="C5696" s="12">
        <v>21643.0</v>
      </c>
      <c r="D5696" s="11" t="str">
        <f t="shared" si="1"/>
        <v>Repeat</v>
      </c>
      <c r="E5696" s="11" t="str">
        <f t="shared" si="2"/>
        <v> </v>
      </c>
    </row>
    <row r="5697" ht="15.75" customHeight="1">
      <c r="A5697" s="11" t="s">
        <v>5678</v>
      </c>
      <c r="B5697" s="11" t="s">
        <v>5679</v>
      </c>
      <c r="C5697" s="12">
        <v>22694.0</v>
      </c>
      <c r="D5697" s="11" t="str">
        <f t="shared" si="1"/>
        <v> </v>
      </c>
      <c r="E5697" s="11" t="str">
        <f t="shared" si="2"/>
        <v> </v>
      </c>
    </row>
    <row r="5698" ht="15.75" customHeight="1">
      <c r="A5698" s="11" t="s">
        <v>5680</v>
      </c>
      <c r="B5698" s="11" t="s">
        <v>5681</v>
      </c>
      <c r="C5698" s="12">
        <v>30335.0</v>
      </c>
      <c r="D5698" s="11" t="str">
        <f t="shared" si="1"/>
        <v> </v>
      </c>
      <c r="E5698" s="11" t="str">
        <f t="shared" si="2"/>
        <v> </v>
      </c>
    </row>
    <row r="5699" ht="15.75" customHeight="1">
      <c r="A5699" s="11" t="s">
        <v>5682</v>
      </c>
      <c r="B5699" s="11" t="s">
        <v>2657</v>
      </c>
      <c r="C5699" s="12">
        <v>24823.0</v>
      </c>
      <c r="D5699" s="11" t="str">
        <f t="shared" si="1"/>
        <v>Repeat</v>
      </c>
      <c r="E5699" s="11" t="str">
        <f t="shared" si="2"/>
        <v> </v>
      </c>
    </row>
    <row r="5700" ht="15.75" customHeight="1">
      <c r="A5700" s="11" t="s">
        <v>5683</v>
      </c>
      <c r="B5700" s="11" t="s">
        <v>2702</v>
      </c>
      <c r="C5700" s="12">
        <v>18535.0</v>
      </c>
      <c r="D5700" s="11" t="str">
        <f t="shared" si="1"/>
        <v>Repeat</v>
      </c>
      <c r="E5700" s="11" t="str">
        <f t="shared" si="2"/>
        <v> </v>
      </c>
    </row>
    <row r="5701" ht="15.75" customHeight="1">
      <c r="A5701" s="11" t="s">
        <v>5684</v>
      </c>
      <c r="B5701" s="11" t="s">
        <v>5685</v>
      </c>
      <c r="C5701" s="12">
        <v>22607.0</v>
      </c>
      <c r="D5701" s="11" t="str">
        <f t="shared" si="1"/>
        <v> </v>
      </c>
      <c r="E5701" s="11" t="str">
        <f t="shared" si="2"/>
        <v> </v>
      </c>
    </row>
    <row r="5702" ht="15.75" customHeight="1">
      <c r="A5702" s="11" t="s">
        <v>5686</v>
      </c>
      <c r="B5702" s="11" t="s">
        <v>2793</v>
      </c>
      <c r="C5702" s="12">
        <v>17875.0</v>
      </c>
      <c r="D5702" s="11" t="str">
        <f t="shared" si="1"/>
        <v>Repeat</v>
      </c>
      <c r="E5702" s="11" t="str">
        <f t="shared" si="2"/>
        <v> </v>
      </c>
    </row>
    <row r="5703" ht="15.75" customHeight="1">
      <c r="A5703" s="11" t="s">
        <v>5687</v>
      </c>
      <c r="B5703" s="11" t="s">
        <v>2841</v>
      </c>
      <c r="C5703" s="12">
        <v>32103.0</v>
      </c>
      <c r="D5703" s="11" t="str">
        <f t="shared" si="1"/>
        <v>Repeat</v>
      </c>
      <c r="E5703" s="11" t="str">
        <f t="shared" si="2"/>
        <v> </v>
      </c>
    </row>
    <row r="5704" ht="15.75" customHeight="1">
      <c r="A5704" s="11" t="s">
        <v>5688</v>
      </c>
      <c r="B5704" s="11" t="s">
        <v>2843</v>
      </c>
      <c r="C5704" s="12">
        <v>22076.0</v>
      </c>
      <c r="D5704" s="11" t="str">
        <f t="shared" si="1"/>
        <v>Repeat</v>
      </c>
      <c r="E5704" s="11" t="str">
        <f t="shared" si="2"/>
        <v> </v>
      </c>
    </row>
    <row r="5705" ht="15.75" customHeight="1">
      <c r="A5705" s="11" t="s">
        <v>5689</v>
      </c>
      <c r="B5705" s="11" t="s">
        <v>2929</v>
      </c>
      <c r="C5705" s="12">
        <v>29008.0</v>
      </c>
      <c r="D5705" s="11" t="str">
        <f t="shared" si="1"/>
        <v>Repeat</v>
      </c>
      <c r="E5705" s="11" t="str">
        <f t="shared" si="2"/>
        <v> </v>
      </c>
    </row>
    <row r="5706" ht="15.75" customHeight="1">
      <c r="A5706" s="11" t="s">
        <v>5690</v>
      </c>
      <c r="B5706" s="11" t="s">
        <v>3049</v>
      </c>
      <c r="C5706" s="12">
        <v>18498.0</v>
      </c>
      <c r="D5706" s="11" t="str">
        <f t="shared" si="1"/>
        <v>Repeat</v>
      </c>
      <c r="E5706" s="11" t="str">
        <f t="shared" si="2"/>
        <v> </v>
      </c>
    </row>
    <row r="5707" ht="15.75" customHeight="1">
      <c r="A5707" s="11" t="s">
        <v>5691</v>
      </c>
      <c r="B5707" s="11" t="s">
        <v>3062</v>
      </c>
      <c r="C5707" s="12">
        <v>18101.0</v>
      </c>
      <c r="D5707" s="11" t="str">
        <f t="shared" si="1"/>
        <v>Repeat</v>
      </c>
      <c r="E5707" s="11" t="str">
        <f t="shared" si="2"/>
        <v> </v>
      </c>
    </row>
    <row r="5708" ht="15.75" customHeight="1">
      <c r="A5708" s="11" t="s">
        <v>5692</v>
      </c>
      <c r="B5708" s="11" t="s">
        <v>3070</v>
      </c>
      <c r="C5708" s="12">
        <v>30337.0</v>
      </c>
      <c r="D5708" s="11" t="str">
        <f t="shared" si="1"/>
        <v>Repeat</v>
      </c>
      <c r="E5708" s="11" t="str">
        <f t="shared" si="2"/>
        <v> </v>
      </c>
    </row>
    <row r="5709" ht="15.75" customHeight="1">
      <c r="A5709" s="11" t="s">
        <v>5693</v>
      </c>
      <c r="B5709" s="11" t="s">
        <v>3072</v>
      </c>
      <c r="C5709" s="12">
        <v>36551.0</v>
      </c>
      <c r="D5709" s="11" t="str">
        <f t="shared" si="1"/>
        <v>Repeat</v>
      </c>
      <c r="E5709" s="11" t="str">
        <f t="shared" si="2"/>
        <v> </v>
      </c>
    </row>
    <row r="5710" ht="15.75" customHeight="1">
      <c r="A5710" s="11" t="s">
        <v>5694</v>
      </c>
      <c r="B5710" s="11" t="s">
        <v>3138</v>
      </c>
      <c r="C5710" s="12">
        <v>21465.0</v>
      </c>
      <c r="D5710" s="11" t="str">
        <f t="shared" si="1"/>
        <v>Repeat</v>
      </c>
      <c r="E5710" s="11" t="str">
        <f t="shared" si="2"/>
        <v> </v>
      </c>
    </row>
    <row r="5711" ht="15.75" customHeight="1">
      <c r="A5711" s="11" t="s">
        <v>5695</v>
      </c>
      <c r="B5711" s="11" t="s">
        <v>3165</v>
      </c>
      <c r="C5711" s="12">
        <v>21550.0</v>
      </c>
      <c r="D5711" s="11" t="str">
        <f t="shared" si="1"/>
        <v>Repeat</v>
      </c>
      <c r="E5711" s="11" t="str">
        <f t="shared" si="2"/>
        <v> </v>
      </c>
    </row>
    <row r="5712" ht="15.75" customHeight="1">
      <c r="A5712" s="11" t="s">
        <v>5696</v>
      </c>
      <c r="B5712" s="11" t="s">
        <v>3227</v>
      </c>
      <c r="C5712" s="12">
        <v>19785.0</v>
      </c>
      <c r="D5712" s="11" t="str">
        <f t="shared" si="1"/>
        <v>Repeat</v>
      </c>
      <c r="E5712" s="11" t="str">
        <f t="shared" si="2"/>
        <v> </v>
      </c>
    </row>
    <row r="5713" ht="15.75" customHeight="1">
      <c r="A5713" s="11" t="s">
        <v>5697</v>
      </c>
      <c r="B5713" s="11" t="s">
        <v>3359</v>
      </c>
      <c r="C5713" s="12">
        <v>24183.0</v>
      </c>
      <c r="D5713" s="11" t="str">
        <f t="shared" si="1"/>
        <v>Repeat</v>
      </c>
      <c r="E5713" s="11" t="str">
        <f t="shared" si="2"/>
        <v> </v>
      </c>
    </row>
    <row r="5714" ht="15.75" customHeight="1">
      <c r="A5714" s="11" t="s">
        <v>5698</v>
      </c>
      <c r="B5714" s="11" t="s">
        <v>3512</v>
      </c>
      <c r="C5714" s="12">
        <v>25090.0</v>
      </c>
      <c r="D5714" s="11" t="str">
        <f t="shared" si="1"/>
        <v>Repeat</v>
      </c>
      <c r="E5714" s="11" t="str">
        <f t="shared" si="2"/>
        <v> </v>
      </c>
    </row>
    <row r="5715" ht="15.75" customHeight="1">
      <c r="A5715" s="11" t="s">
        <v>5699</v>
      </c>
      <c r="B5715" s="11" t="s">
        <v>3580</v>
      </c>
      <c r="C5715" s="12">
        <v>18665.0</v>
      </c>
      <c r="D5715" s="11" t="str">
        <f t="shared" si="1"/>
        <v>Repeat</v>
      </c>
      <c r="E5715" s="11" t="str">
        <f t="shared" si="2"/>
        <v> </v>
      </c>
    </row>
    <row r="5716" ht="15.75" customHeight="1">
      <c r="A5716" s="11" t="s">
        <v>5700</v>
      </c>
      <c r="B5716" s="11" t="s">
        <v>3601</v>
      </c>
      <c r="C5716" s="12">
        <v>30883.0</v>
      </c>
      <c r="D5716" s="11" t="str">
        <f t="shared" si="1"/>
        <v>Repeat</v>
      </c>
      <c r="E5716" s="11" t="str">
        <f t="shared" si="2"/>
        <v> </v>
      </c>
    </row>
    <row r="5717" ht="15.75" customHeight="1">
      <c r="A5717" s="11" t="s">
        <v>5701</v>
      </c>
      <c r="B5717" s="11" t="s">
        <v>3676</v>
      </c>
      <c r="C5717" s="12">
        <v>23981.0</v>
      </c>
      <c r="D5717" s="11" t="str">
        <f t="shared" si="1"/>
        <v>Repeat</v>
      </c>
      <c r="E5717" s="11" t="str">
        <f t="shared" si="2"/>
        <v> </v>
      </c>
    </row>
    <row r="5718" ht="15.75" customHeight="1">
      <c r="A5718" s="11" t="s">
        <v>5702</v>
      </c>
      <c r="B5718" s="11" t="s">
        <v>3690</v>
      </c>
      <c r="C5718" s="12">
        <v>25359.0</v>
      </c>
      <c r="D5718" s="11" t="str">
        <f t="shared" si="1"/>
        <v>Repeat</v>
      </c>
      <c r="E5718" s="11" t="str">
        <f t="shared" si="2"/>
        <v> </v>
      </c>
    </row>
    <row r="5719" ht="15.75" customHeight="1">
      <c r="A5719" s="11" t="s">
        <v>5703</v>
      </c>
      <c r="B5719" s="11" t="s">
        <v>3766</v>
      </c>
      <c r="C5719" s="12">
        <v>19211.0</v>
      </c>
      <c r="D5719" s="11" t="str">
        <f t="shared" si="1"/>
        <v>Repeat</v>
      </c>
      <c r="E5719" s="11" t="str">
        <f t="shared" si="2"/>
        <v> </v>
      </c>
    </row>
    <row r="5720" ht="15.75" customHeight="1">
      <c r="A5720" s="11" t="s">
        <v>5704</v>
      </c>
      <c r="B5720" s="11" t="s">
        <v>3785</v>
      </c>
      <c r="C5720" s="12">
        <v>17858.0</v>
      </c>
      <c r="D5720" s="11" t="str">
        <f t="shared" si="1"/>
        <v>Repeat</v>
      </c>
      <c r="E5720" s="11" t="str">
        <f t="shared" si="2"/>
        <v> </v>
      </c>
    </row>
    <row r="5721" ht="15.75" customHeight="1">
      <c r="A5721" s="11" t="s">
        <v>5705</v>
      </c>
      <c r="B5721" s="11" t="s">
        <v>3861</v>
      </c>
      <c r="C5721" s="12">
        <v>17854.0</v>
      </c>
      <c r="D5721" s="11" t="str">
        <f t="shared" si="1"/>
        <v>Repeat</v>
      </c>
      <c r="E5721" s="11" t="str">
        <f t="shared" si="2"/>
        <v> </v>
      </c>
    </row>
    <row r="5722" ht="15.75" customHeight="1">
      <c r="A5722" s="11" t="s">
        <v>5706</v>
      </c>
      <c r="B5722" s="11" t="s">
        <v>3963</v>
      </c>
      <c r="C5722" s="12">
        <v>21458.0</v>
      </c>
      <c r="D5722" s="11" t="str">
        <f t="shared" si="1"/>
        <v>Repeat</v>
      </c>
      <c r="E5722" s="11" t="str">
        <f t="shared" si="2"/>
        <v> </v>
      </c>
    </row>
    <row r="5723" ht="15.75" customHeight="1">
      <c r="A5723" s="11" t="s">
        <v>5707</v>
      </c>
      <c r="B5723" s="11" t="s">
        <v>4044</v>
      </c>
      <c r="C5723" s="12">
        <v>23618.0</v>
      </c>
      <c r="D5723" s="11" t="str">
        <f t="shared" si="1"/>
        <v>Repeat</v>
      </c>
      <c r="E5723" s="11" t="str">
        <f t="shared" si="2"/>
        <v> </v>
      </c>
    </row>
    <row r="5724" ht="15.75" customHeight="1">
      <c r="A5724" s="11" t="s">
        <v>5708</v>
      </c>
      <c r="B5724" s="11" t="s">
        <v>4046</v>
      </c>
      <c r="C5724" s="12">
        <v>30016.0</v>
      </c>
      <c r="D5724" s="11" t="str">
        <f t="shared" si="1"/>
        <v>Repeat</v>
      </c>
      <c r="E5724" s="11" t="str">
        <f t="shared" si="2"/>
        <v> </v>
      </c>
    </row>
    <row r="5725" ht="15.75" customHeight="1">
      <c r="A5725" s="11" t="s">
        <v>5709</v>
      </c>
      <c r="B5725" s="11" t="s">
        <v>4110</v>
      </c>
      <c r="C5725" s="12">
        <v>19289.0</v>
      </c>
      <c r="D5725" s="11" t="str">
        <f t="shared" si="1"/>
        <v>Repeat</v>
      </c>
      <c r="E5725" s="11" t="str">
        <f t="shared" si="2"/>
        <v> </v>
      </c>
    </row>
    <row r="5726" ht="15.75" customHeight="1">
      <c r="A5726" s="11" t="s">
        <v>5710</v>
      </c>
      <c r="B5726" s="11" t="s">
        <v>4118</v>
      </c>
      <c r="C5726" s="12">
        <v>17203.0</v>
      </c>
      <c r="D5726" s="11" t="str">
        <f t="shared" si="1"/>
        <v>Repeat</v>
      </c>
      <c r="E5726" s="11" t="str">
        <f t="shared" si="2"/>
        <v> </v>
      </c>
    </row>
    <row r="5727" ht="15.75" customHeight="1">
      <c r="A5727" s="11" t="s">
        <v>5711</v>
      </c>
      <c r="B5727" s="11" t="s">
        <v>3928</v>
      </c>
      <c r="C5727" s="12">
        <v>22495.0</v>
      </c>
      <c r="D5727" s="11" t="str">
        <f t="shared" si="1"/>
        <v>Repeat</v>
      </c>
      <c r="E5727" s="11" t="str">
        <f t="shared" si="2"/>
        <v> </v>
      </c>
    </row>
    <row r="5728" ht="15.75" customHeight="1">
      <c r="A5728" s="11" t="s">
        <v>5712</v>
      </c>
      <c r="B5728" s="11" t="s">
        <v>4154</v>
      </c>
      <c r="C5728" s="12">
        <v>22485.0</v>
      </c>
      <c r="D5728" s="11" t="str">
        <f t="shared" si="1"/>
        <v>Repeat</v>
      </c>
      <c r="E5728" s="11" t="str">
        <f t="shared" si="2"/>
        <v> </v>
      </c>
    </row>
    <row r="5729" ht="15.75" customHeight="1">
      <c r="A5729" s="11" t="s">
        <v>5713</v>
      </c>
      <c r="B5729" s="11" t="s">
        <v>4195</v>
      </c>
      <c r="C5729" s="12">
        <v>22196.0</v>
      </c>
      <c r="D5729" s="11" t="str">
        <f t="shared" si="1"/>
        <v>Repeat</v>
      </c>
      <c r="E5729" s="11" t="str">
        <f t="shared" si="2"/>
        <v> </v>
      </c>
    </row>
    <row r="5730" ht="15.75" customHeight="1">
      <c r="A5730" s="11" t="s">
        <v>5714</v>
      </c>
      <c r="B5730" s="11" t="s">
        <v>4241</v>
      </c>
      <c r="C5730" s="12">
        <v>34119.0</v>
      </c>
      <c r="D5730" s="11" t="str">
        <f t="shared" si="1"/>
        <v>Repeat</v>
      </c>
      <c r="E5730" s="11" t="str">
        <f t="shared" si="2"/>
        <v> </v>
      </c>
    </row>
    <row r="5731" ht="15.75" customHeight="1">
      <c r="A5731" s="11" t="s">
        <v>5715</v>
      </c>
      <c r="B5731" s="11" t="s">
        <v>4272</v>
      </c>
      <c r="C5731" s="12">
        <v>17518.0</v>
      </c>
      <c r="D5731" s="11" t="str">
        <f t="shared" si="1"/>
        <v>Repeat</v>
      </c>
      <c r="E5731" s="11" t="str">
        <f t="shared" si="2"/>
        <v> </v>
      </c>
    </row>
    <row r="5732" ht="15.75" customHeight="1">
      <c r="A5732" s="11" t="s">
        <v>5716</v>
      </c>
      <c r="B5732" s="11" t="s">
        <v>5717</v>
      </c>
      <c r="C5732" s="12">
        <v>22109.0</v>
      </c>
      <c r="D5732" s="11" t="str">
        <f t="shared" si="1"/>
        <v> </v>
      </c>
      <c r="E5732" s="11" t="str">
        <f t="shared" si="2"/>
        <v> </v>
      </c>
    </row>
    <row r="5733" ht="15.75" customHeight="1">
      <c r="A5733" s="11" t="s">
        <v>5718</v>
      </c>
      <c r="B5733" s="11" t="s">
        <v>4316</v>
      </c>
      <c r="C5733" s="12">
        <v>26952.0</v>
      </c>
      <c r="D5733" s="11" t="str">
        <f t="shared" si="1"/>
        <v>Repeat</v>
      </c>
      <c r="E5733" s="11" t="str">
        <f t="shared" si="2"/>
        <v> </v>
      </c>
    </row>
    <row r="5734" ht="15.75" customHeight="1">
      <c r="A5734" s="11" t="s">
        <v>5719</v>
      </c>
      <c r="B5734" s="11" t="s">
        <v>4348</v>
      </c>
      <c r="C5734" s="12">
        <v>29086.0</v>
      </c>
      <c r="D5734" s="11" t="str">
        <f t="shared" si="1"/>
        <v>Repeat</v>
      </c>
      <c r="E5734" s="11" t="str">
        <f t="shared" si="2"/>
        <v> </v>
      </c>
    </row>
    <row r="5735" ht="15.75" customHeight="1">
      <c r="A5735" s="11" t="s">
        <v>5720</v>
      </c>
      <c r="B5735" s="11" t="s">
        <v>4633</v>
      </c>
      <c r="C5735" s="12">
        <v>26714.0</v>
      </c>
      <c r="D5735" s="11" t="str">
        <f t="shared" si="1"/>
        <v>Repeat</v>
      </c>
      <c r="E5735" s="11" t="str">
        <f t="shared" si="2"/>
        <v> </v>
      </c>
    </row>
    <row r="5736" ht="15.75" customHeight="1">
      <c r="A5736" s="11" t="s">
        <v>5721</v>
      </c>
      <c r="B5736" s="11" t="s">
        <v>5722</v>
      </c>
      <c r="C5736" s="12">
        <v>16599.0</v>
      </c>
      <c r="D5736" s="11" t="str">
        <f t="shared" si="1"/>
        <v> </v>
      </c>
      <c r="E5736" s="11" t="str">
        <f t="shared" si="2"/>
        <v> </v>
      </c>
    </row>
    <row r="5737" ht="15.75" customHeight="1">
      <c r="A5737" s="11" t="s">
        <v>5723</v>
      </c>
      <c r="B5737" s="11" t="s">
        <v>4818</v>
      </c>
      <c r="C5737" s="12">
        <v>36630.0</v>
      </c>
      <c r="D5737" s="11" t="str">
        <f t="shared" si="1"/>
        <v>Repeat</v>
      </c>
      <c r="E5737" s="11" t="str">
        <f t="shared" si="2"/>
        <v> </v>
      </c>
    </row>
    <row r="5738" ht="15.75" customHeight="1">
      <c r="A5738" s="11" t="s">
        <v>5724</v>
      </c>
      <c r="B5738" s="11" t="s">
        <v>4890</v>
      </c>
      <c r="C5738" s="12">
        <v>23212.0</v>
      </c>
      <c r="D5738" s="11" t="str">
        <f t="shared" si="1"/>
        <v>Repeat</v>
      </c>
      <c r="E5738" s="11" t="str">
        <f t="shared" si="2"/>
        <v> </v>
      </c>
    </row>
    <row r="5739" ht="15.75" customHeight="1">
      <c r="A5739" s="11" t="s">
        <v>5725</v>
      </c>
      <c r="B5739" s="11" t="s">
        <v>5726</v>
      </c>
      <c r="C5739" s="12">
        <v>12933.0</v>
      </c>
      <c r="D5739" s="11" t="str">
        <f t="shared" si="1"/>
        <v> </v>
      </c>
      <c r="E5739" s="11" t="str">
        <f t="shared" si="2"/>
        <v> </v>
      </c>
    </row>
    <row r="5740" ht="15.75" customHeight="1">
      <c r="A5740" s="11" t="s">
        <v>5727</v>
      </c>
      <c r="B5740" s="11" t="s">
        <v>5728</v>
      </c>
      <c r="C5740" s="12">
        <v>36057.0</v>
      </c>
      <c r="D5740" s="11" t="str">
        <f t="shared" si="1"/>
        <v> </v>
      </c>
      <c r="E5740" s="11" t="str">
        <f t="shared" si="2"/>
        <v> </v>
      </c>
    </row>
    <row r="5741" ht="15.75" customHeight="1">
      <c r="A5741" s="11" t="s">
        <v>5729</v>
      </c>
      <c r="B5741" s="11" t="s">
        <v>44</v>
      </c>
      <c r="C5741" s="12">
        <v>19653.0</v>
      </c>
      <c r="D5741" s="11" t="str">
        <f t="shared" si="1"/>
        <v>Repeat</v>
      </c>
      <c r="E5741" s="11" t="str">
        <f t="shared" si="2"/>
        <v> </v>
      </c>
    </row>
    <row r="5742" ht="15.75" customHeight="1">
      <c r="A5742" s="11" t="s">
        <v>5730</v>
      </c>
      <c r="B5742" s="11" t="s">
        <v>189</v>
      </c>
      <c r="C5742" s="12">
        <v>31808.0</v>
      </c>
      <c r="D5742" s="11" t="str">
        <f t="shared" si="1"/>
        <v>Repeat</v>
      </c>
      <c r="E5742" s="11" t="str">
        <f t="shared" si="2"/>
        <v> </v>
      </c>
    </row>
    <row r="5743" ht="15.75" customHeight="1">
      <c r="A5743" s="11" t="s">
        <v>5731</v>
      </c>
      <c r="B5743" s="11" t="s">
        <v>234</v>
      </c>
      <c r="C5743" s="12">
        <v>24448.0</v>
      </c>
      <c r="D5743" s="11" t="str">
        <f t="shared" si="1"/>
        <v>Repeat</v>
      </c>
      <c r="E5743" s="11" t="str">
        <f t="shared" si="2"/>
        <v> </v>
      </c>
    </row>
    <row r="5744" ht="15.75" customHeight="1">
      <c r="A5744" s="11" t="s">
        <v>5732</v>
      </c>
      <c r="B5744" s="11" t="s">
        <v>286</v>
      </c>
      <c r="C5744" s="12">
        <v>17915.0</v>
      </c>
      <c r="D5744" s="11" t="str">
        <f t="shared" si="1"/>
        <v>Repeat</v>
      </c>
      <c r="E5744" s="11" t="str">
        <f t="shared" si="2"/>
        <v> </v>
      </c>
    </row>
    <row r="5745" ht="15.75" customHeight="1">
      <c r="A5745" s="11" t="s">
        <v>5733</v>
      </c>
      <c r="B5745" s="11" t="s">
        <v>5734</v>
      </c>
      <c r="C5745" s="12">
        <v>26420.0</v>
      </c>
      <c r="D5745" s="11" t="str">
        <f t="shared" si="1"/>
        <v>Repeat</v>
      </c>
      <c r="E5745" s="11" t="str">
        <f t="shared" si="2"/>
        <v> </v>
      </c>
    </row>
    <row r="5746" ht="15.75" customHeight="1">
      <c r="A5746" s="11">
        <v>17511.0</v>
      </c>
      <c r="B5746" s="11" t="s">
        <v>5735</v>
      </c>
      <c r="C5746" s="12">
        <v>27130.0</v>
      </c>
      <c r="D5746" s="11" t="str">
        <f t="shared" si="1"/>
        <v> </v>
      </c>
      <c r="E5746" s="11" t="str">
        <f t="shared" si="2"/>
        <v> </v>
      </c>
    </row>
    <row r="5747" ht="15.75" customHeight="1">
      <c r="A5747" s="11">
        <v>17574.0</v>
      </c>
      <c r="B5747" s="11" t="s">
        <v>5736</v>
      </c>
      <c r="C5747" s="12">
        <v>23497.0</v>
      </c>
      <c r="D5747" s="11" t="str">
        <f t="shared" si="1"/>
        <v> </v>
      </c>
      <c r="E5747" s="11" t="str">
        <f t="shared" si="2"/>
        <v> </v>
      </c>
    </row>
    <row r="5748" ht="15.75" customHeight="1">
      <c r="A5748" s="11">
        <v>17323.0</v>
      </c>
      <c r="B5748" s="11" t="s">
        <v>5737</v>
      </c>
      <c r="C5748" s="12">
        <v>25004.0</v>
      </c>
      <c r="D5748" s="11" t="str">
        <f t="shared" si="1"/>
        <v> </v>
      </c>
      <c r="E5748" s="11" t="str">
        <f t="shared" si="2"/>
        <v> </v>
      </c>
    </row>
    <row r="5749" ht="15.75" customHeight="1">
      <c r="A5749" s="11">
        <v>17318.0</v>
      </c>
      <c r="B5749" s="11" t="s">
        <v>5738</v>
      </c>
      <c r="C5749" s="12">
        <v>20974.0</v>
      </c>
      <c r="D5749" s="11" t="str">
        <f t="shared" si="1"/>
        <v> </v>
      </c>
      <c r="E5749" s="11" t="str">
        <f t="shared" si="2"/>
        <v> </v>
      </c>
    </row>
    <row r="5750" ht="15.75" customHeight="1">
      <c r="A5750" s="11">
        <v>13991.0</v>
      </c>
      <c r="B5750" s="11" t="s">
        <v>5739</v>
      </c>
      <c r="C5750" s="12">
        <v>23382.0</v>
      </c>
      <c r="D5750" s="11" t="str">
        <f t="shared" si="1"/>
        <v> </v>
      </c>
      <c r="E5750" s="11" t="str">
        <f t="shared" si="2"/>
        <v> </v>
      </c>
    </row>
    <row r="5751" ht="15.75" customHeight="1">
      <c r="A5751" s="11">
        <v>17512.0</v>
      </c>
      <c r="B5751" s="11" t="s">
        <v>5740</v>
      </c>
      <c r="C5751" s="12">
        <v>16813.0</v>
      </c>
      <c r="D5751" s="11" t="str">
        <f t="shared" si="1"/>
        <v> </v>
      </c>
      <c r="E5751" s="11" t="str">
        <f t="shared" si="2"/>
        <v> </v>
      </c>
    </row>
    <row r="5752" ht="15.75" customHeight="1">
      <c r="A5752" s="11">
        <v>17480.0</v>
      </c>
      <c r="B5752" s="11" t="s">
        <v>5741</v>
      </c>
      <c r="C5752" s="12">
        <v>17702.0</v>
      </c>
      <c r="D5752" s="11" t="str">
        <f t="shared" si="1"/>
        <v> </v>
      </c>
      <c r="E5752" s="11" t="str">
        <f t="shared" si="2"/>
        <v>Repeat</v>
      </c>
    </row>
    <row r="5753" ht="15.75" customHeight="1">
      <c r="A5753" s="11">
        <v>17321.0</v>
      </c>
      <c r="B5753" s="11" t="s">
        <v>5742</v>
      </c>
      <c r="C5753" s="12">
        <v>19084.0</v>
      </c>
      <c r="D5753" s="11" t="str">
        <f t="shared" si="1"/>
        <v> </v>
      </c>
      <c r="E5753" s="11" t="str">
        <f t="shared" si="2"/>
        <v>Repeat</v>
      </c>
    </row>
    <row r="5754" ht="15.75" customHeight="1">
      <c r="A5754" s="11">
        <v>17527.0</v>
      </c>
      <c r="B5754" s="11" t="s">
        <v>5743</v>
      </c>
      <c r="C5754" s="12">
        <v>29049.0</v>
      </c>
      <c r="D5754" s="11" t="str">
        <f t="shared" si="1"/>
        <v> </v>
      </c>
      <c r="E5754" s="11" t="str">
        <f t="shared" si="2"/>
        <v> </v>
      </c>
    </row>
    <row r="5755" ht="15.75" customHeight="1">
      <c r="A5755" s="11">
        <v>17575.0</v>
      </c>
      <c r="B5755" s="11" t="s">
        <v>5744</v>
      </c>
      <c r="C5755" s="12">
        <v>30266.0</v>
      </c>
      <c r="D5755" s="11" t="str">
        <f t="shared" si="1"/>
        <v> </v>
      </c>
      <c r="E5755" s="11" t="str">
        <f t="shared" si="2"/>
        <v> </v>
      </c>
    </row>
    <row r="5756" ht="15.75" customHeight="1">
      <c r="A5756" s="11">
        <v>17483.0</v>
      </c>
      <c r="B5756" s="11" t="s">
        <v>5745</v>
      </c>
      <c r="C5756" s="12">
        <v>21004.0</v>
      </c>
      <c r="D5756" s="11" t="str">
        <f t="shared" si="1"/>
        <v> </v>
      </c>
      <c r="E5756" s="11" t="str">
        <f t="shared" si="2"/>
        <v> </v>
      </c>
    </row>
    <row r="5757" ht="15.75" customHeight="1">
      <c r="A5757" s="11">
        <v>17508.0</v>
      </c>
      <c r="B5757" s="11" t="s">
        <v>5746</v>
      </c>
      <c r="C5757" s="12">
        <v>26371.0</v>
      </c>
      <c r="D5757" s="11" t="str">
        <f t="shared" si="1"/>
        <v> </v>
      </c>
      <c r="E5757" s="11" t="str">
        <f t="shared" si="2"/>
        <v>Repeat</v>
      </c>
    </row>
    <row r="5758" ht="15.75" customHeight="1">
      <c r="A5758" s="11">
        <v>14962.0</v>
      </c>
      <c r="B5758" s="11" t="s">
        <v>5747</v>
      </c>
      <c r="C5758" s="12">
        <v>19199.0</v>
      </c>
      <c r="D5758" s="11" t="str">
        <f t="shared" si="1"/>
        <v> </v>
      </c>
      <c r="E5758" s="11" t="str">
        <f t="shared" si="2"/>
        <v> </v>
      </c>
    </row>
    <row r="5759" ht="15.75" customHeight="1">
      <c r="A5759" s="11">
        <v>17745.0</v>
      </c>
      <c r="B5759" s="11" t="s">
        <v>5748</v>
      </c>
      <c r="C5759" s="12">
        <v>21949.0</v>
      </c>
      <c r="D5759" s="11" t="str">
        <f t="shared" si="1"/>
        <v> </v>
      </c>
      <c r="E5759" s="11" t="str">
        <f t="shared" si="2"/>
        <v> </v>
      </c>
    </row>
    <row r="5760" ht="15.75" customHeight="1">
      <c r="A5760" s="11">
        <v>17752.0</v>
      </c>
      <c r="B5760" s="11" t="s">
        <v>5749</v>
      </c>
      <c r="C5760" s="12">
        <v>12688.0</v>
      </c>
      <c r="D5760" s="11" t="str">
        <f t="shared" si="1"/>
        <v> </v>
      </c>
      <c r="E5760" s="11" t="str">
        <f t="shared" si="2"/>
        <v> </v>
      </c>
    </row>
    <row r="5761" ht="15.75" customHeight="1">
      <c r="A5761" s="11">
        <v>17643.0</v>
      </c>
      <c r="B5761" s="11" t="s">
        <v>5750</v>
      </c>
      <c r="C5761" s="12">
        <v>15359.0</v>
      </c>
      <c r="D5761" s="11" t="str">
        <f t="shared" si="1"/>
        <v> </v>
      </c>
      <c r="E5761" s="11" t="str">
        <f t="shared" si="2"/>
        <v> </v>
      </c>
    </row>
    <row r="5762" ht="15.75" customHeight="1">
      <c r="A5762" s="11">
        <v>16856.0</v>
      </c>
      <c r="B5762" s="11" t="s">
        <v>5751</v>
      </c>
      <c r="C5762" s="12">
        <v>12796.0</v>
      </c>
      <c r="D5762" s="11" t="str">
        <f t="shared" si="1"/>
        <v> </v>
      </c>
      <c r="E5762" s="11" t="str">
        <f t="shared" si="2"/>
        <v> </v>
      </c>
    </row>
    <row r="5763" ht="15.75" customHeight="1">
      <c r="A5763" s="11">
        <v>17054.0</v>
      </c>
      <c r="B5763" s="11" t="s">
        <v>5752</v>
      </c>
      <c r="C5763" s="12">
        <v>15559.0</v>
      </c>
      <c r="D5763" s="11" t="str">
        <f t="shared" si="1"/>
        <v> </v>
      </c>
      <c r="E5763" s="11" t="str">
        <f t="shared" si="2"/>
        <v> </v>
      </c>
    </row>
    <row r="5764" ht="15.75" customHeight="1">
      <c r="A5764" s="11">
        <v>17525.0</v>
      </c>
      <c r="B5764" s="11" t="s">
        <v>5753</v>
      </c>
      <c r="C5764" s="12">
        <v>23101.0</v>
      </c>
      <c r="D5764" s="11" t="str">
        <f t="shared" si="1"/>
        <v> </v>
      </c>
      <c r="E5764" s="11" t="str">
        <f t="shared" si="2"/>
        <v>Repeat</v>
      </c>
    </row>
    <row r="5765" ht="15.75" customHeight="1">
      <c r="A5765" s="11">
        <v>17594.0</v>
      </c>
      <c r="B5765" s="11" t="s">
        <v>5754</v>
      </c>
      <c r="C5765" s="12">
        <v>29808.0</v>
      </c>
      <c r="D5765" s="11" t="str">
        <f t="shared" si="1"/>
        <v> </v>
      </c>
      <c r="E5765" s="11" t="str">
        <f t="shared" si="2"/>
        <v> </v>
      </c>
    </row>
    <row r="5766" ht="15.75" customHeight="1">
      <c r="A5766" s="11">
        <v>17599.0</v>
      </c>
      <c r="B5766" s="11" t="s">
        <v>5755</v>
      </c>
      <c r="C5766" s="12">
        <v>35490.0</v>
      </c>
      <c r="D5766" s="11" t="str">
        <f t="shared" si="1"/>
        <v> </v>
      </c>
      <c r="E5766" s="11" t="str">
        <f t="shared" si="2"/>
        <v> </v>
      </c>
    </row>
    <row r="5767" ht="15.75" customHeight="1">
      <c r="A5767" s="11">
        <v>17196.0</v>
      </c>
      <c r="B5767" s="11" t="s">
        <v>5756</v>
      </c>
      <c r="C5767" s="12">
        <v>29902.0</v>
      </c>
      <c r="D5767" s="11" t="str">
        <f t="shared" si="1"/>
        <v> </v>
      </c>
      <c r="E5767" s="11" t="str">
        <f t="shared" si="2"/>
        <v> </v>
      </c>
    </row>
    <row r="5768" ht="15.75" customHeight="1">
      <c r="A5768" s="11">
        <v>17131.0</v>
      </c>
      <c r="B5768" s="11" t="s">
        <v>5757</v>
      </c>
      <c r="C5768" s="12">
        <v>20373.0</v>
      </c>
      <c r="D5768" s="11" t="str">
        <f t="shared" si="1"/>
        <v> </v>
      </c>
      <c r="E5768" s="11" t="str">
        <f t="shared" si="2"/>
        <v> </v>
      </c>
    </row>
    <row r="5769" ht="15.75" customHeight="1">
      <c r="A5769" s="11">
        <v>17464.0</v>
      </c>
      <c r="B5769" s="11" t="s">
        <v>5758</v>
      </c>
      <c r="C5769" s="12">
        <v>24235.0</v>
      </c>
      <c r="D5769" s="11" t="str">
        <f t="shared" si="1"/>
        <v> </v>
      </c>
      <c r="E5769" s="11" t="str">
        <f t="shared" si="2"/>
        <v> </v>
      </c>
    </row>
    <row r="5770" ht="15.75" customHeight="1">
      <c r="A5770" s="11">
        <v>17603.0</v>
      </c>
      <c r="B5770" s="11" t="s">
        <v>5759</v>
      </c>
      <c r="C5770" s="12">
        <v>14719.0</v>
      </c>
      <c r="D5770" s="11" t="str">
        <f t="shared" si="1"/>
        <v> </v>
      </c>
      <c r="E5770" s="11" t="str">
        <f t="shared" si="2"/>
        <v> </v>
      </c>
    </row>
    <row r="5771" ht="15.75" customHeight="1">
      <c r="A5771" s="11">
        <v>17138.0</v>
      </c>
      <c r="B5771" s="11" t="s">
        <v>5760</v>
      </c>
      <c r="C5771" s="12">
        <v>25953.0</v>
      </c>
      <c r="D5771" s="11" t="str">
        <f t="shared" si="1"/>
        <v> </v>
      </c>
      <c r="E5771" s="11" t="str">
        <f t="shared" si="2"/>
        <v> </v>
      </c>
    </row>
    <row r="5772" ht="15.75" customHeight="1">
      <c r="A5772" s="11">
        <v>17617.0</v>
      </c>
      <c r="B5772" s="11" t="s">
        <v>5761</v>
      </c>
      <c r="C5772" s="12">
        <v>21458.0</v>
      </c>
      <c r="D5772" s="11" t="str">
        <f t="shared" si="1"/>
        <v> </v>
      </c>
      <c r="E5772" s="11" t="str">
        <f t="shared" si="2"/>
        <v> </v>
      </c>
    </row>
    <row r="5773" ht="15.75" customHeight="1">
      <c r="A5773" s="11">
        <v>17634.0</v>
      </c>
      <c r="B5773" s="11" t="s">
        <v>5762</v>
      </c>
      <c r="C5773" s="12">
        <v>22974.0</v>
      </c>
      <c r="D5773" s="11" t="str">
        <f t="shared" si="1"/>
        <v> </v>
      </c>
      <c r="E5773" s="11" t="str">
        <f t="shared" si="2"/>
        <v> </v>
      </c>
    </row>
    <row r="5774" ht="15.75" customHeight="1">
      <c r="A5774" s="11">
        <v>17233.0</v>
      </c>
      <c r="B5774" s="11" t="s">
        <v>5763</v>
      </c>
      <c r="C5774" s="12">
        <v>21017.0</v>
      </c>
      <c r="D5774" s="11" t="str">
        <f t="shared" si="1"/>
        <v> </v>
      </c>
      <c r="E5774" s="11" t="str">
        <f t="shared" si="2"/>
        <v> </v>
      </c>
    </row>
    <row r="5775" ht="15.75" customHeight="1">
      <c r="A5775" s="11">
        <v>17187.0</v>
      </c>
      <c r="B5775" s="11" t="s">
        <v>5764</v>
      </c>
      <c r="C5775" s="12">
        <v>32578.0</v>
      </c>
      <c r="D5775" s="11" t="str">
        <f t="shared" si="1"/>
        <v> </v>
      </c>
      <c r="E5775" s="11" t="str">
        <f t="shared" si="2"/>
        <v> </v>
      </c>
    </row>
    <row r="5776" ht="15.75" customHeight="1">
      <c r="A5776" s="11">
        <v>17238.0</v>
      </c>
      <c r="B5776" s="11" t="s">
        <v>5765</v>
      </c>
      <c r="C5776" s="12">
        <v>13756.0</v>
      </c>
      <c r="D5776" s="11" t="str">
        <f t="shared" si="1"/>
        <v> </v>
      </c>
      <c r="E5776" s="11" t="str">
        <f t="shared" si="2"/>
        <v>Repeat</v>
      </c>
    </row>
    <row r="5777" ht="15.75" customHeight="1">
      <c r="A5777" s="11">
        <v>17706.0</v>
      </c>
      <c r="B5777" s="11" t="s">
        <v>5766</v>
      </c>
      <c r="C5777" s="12">
        <v>29355.0</v>
      </c>
      <c r="D5777" s="11" t="str">
        <f t="shared" si="1"/>
        <v> </v>
      </c>
      <c r="E5777" s="11" t="str">
        <f t="shared" si="2"/>
        <v> </v>
      </c>
    </row>
    <row r="5778" ht="15.75" customHeight="1">
      <c r="A5778" s="11">
        <v>17720.0</v>
      </c>
      <c r="B5778" s="11" t="s">
        <v>5767</v>
      </c>
      <c r="C5778" s="12">
        <v>28016.0</v>
      </c>
      <c r="D5778" s="11" t="str">
        <f t="shared" si="1"/>
        <v> </v>
      </c>
      <c r="E5778" s="11" t="str">
        <f t="shared" si="2"/>
        <v>Repeat</v>
      </c>
    </row>
    <row r="5779" ht="15.75" customHeight="1">
      <c r="A5779" s="11">
        <v>17647.0</v>
      </c>
      <c r="B5779" s="11" t="s">
        <v>5768</v>
      </c>
      <c r="C5779" s="12">
        <v>27610.0</v>
      </c>
      <c r="D5779" s="11" t="str">
        <f t="shared" si="1"/>
        <v> </v>
      </c>
      <c r="E5779" s="11" t="str">
        <f t="shared" si="2"/>
        <v> </v>
      </c>
    </row>
    <row r="5780" ht="15.75" customHeight="1">
      <c r="A5780" s="11">
        <v>17730.0</v>
      </c>
      <c r="B5780" s="11" t="s">
        <v>5769</v>
      </c>
      <c r="C5780" s="12">
        <v>20478.0</v>
      </c>
      <c r="D5780" s="11" t="str">
        <f t="shared" si="1"/>
        <v> </v>
      </c>
      <c r="E5780" s="11" t="str">
        <f t="shared" si="2"/>
        <v> </v>
      </c>
    </row>
    <row r="5781" ht="15.75" customHeight="1">
      <c r="A5781" s="11">
        <v>17747.0</v>
      </c>
      <c r="B5781" s="11" t="s">
        <v>5770</v>
      </c>
      <c r="C5781" s="12">
        <v>23868.0</v>
      </c>
      <c r="D5781" s="11" t="str">
        <f t="shared" si="1"/>
        <v> </v>
      </c>
      <c r="E5781" s="11" t="str">
        <f t="shared" si="2"/>
        <v> </v>
      </c>
    </row>
    <row r="5782" ht="15.75" customHeight="1">
      <c r="A5782" s="11">
        <v>17750.0</v>
      </c>
      <c r="B5782" s="11" t="s">
        <v>5771</v>
      </c>
      <c r="C5782" s="12">
        <v>15689.0</v>
      </c>
      <c r="D5782" s="11" t="str">
        <f t="shared" si="1"/>
        <v> </v>
      </c>
      <c r="E5782" s="11" t="str">
        <f t="shared" si="2"/>
        <v> </v>
      </c>
    </row>
    <row r="5783" ht="15.75" customHeight="1">
      <c r="A5783" s="11">
        <v>17761.0</v>
      </c>
      <c r="B5783" s="11" t="s">
        <v>5772</v>
      </c>
      <c r="C5783" s="12">
        <v>16187.0</v>
      </c>
      <c r="D5783" s="11" t="str">
        <f t="shared" si="1"/>
        <v> </v>
      </c>
      <c r="E5783" s="11" t="str">
        <f t="shared" si="2"/>
        <v> </v>
      </c>
    </row>
    <row r="5784" ht="15.75" customHeight="1">
      <c r="A5784" s="11">
        <v>17755.0</v>
      </c>
      <c r="B5784" s="11" t="s">
        <v>5773</v>
      </c>
      <c r="C5784" s="12">
        <v>26676.0</v>
      </c>
      <c r="D5784" s="11" t="str">
        <f t="shared" si="1"/>
        <v> </v>
      </c>
      <c r="E5784" s="11" t="str">
        <f t="shared" si="2"/>
        <v> </v>
      </c>
    </row>
    <row r="5785" ht="15.75" customHeight="1">
      <c r="A5785" s="11">
        <v>17583.0</v>
      </c>
      <c r="B5785" s="11" t="s">
        <v>5774</v>
      </c>
      <c r="C5785" s="12">
        <v>18585.0</v>
      </c>
      <c r="D5785" s="11" t="str">
        <f t="shared" si="1"/>
        <v> </v>
      </c>
      <c r="E5785" s="11" t="str">
        <f t="shared" si="2"/>
        <v> </v>
      </c>
    </row>
    <row r="5786" ht="15.75" customHeight="1">
      <c r="A5786" s="11">
        <v>17637.0</v>
      </c>
      <c r="B5786" s="11" t="s">
        <v>5775</v>
      </c>
      <c r="C5786" s="12">
        <v>21661.0</v>
      </c>
      <c r="D5786" s="11" t="str">
        <f t="shared" si="1"/>
        <v> </v>
      </c>
      <c r="E5786" s="11" t="str">
        <f t="shared" si="2"/>
        <v> </v>
      </c>
    </row>
    <row r="5787" ht="15.75" customHeight="1">
      <c r="A5787" s="11">
        <v>17770.0</v>
      </c>
      <c r="B5787" s="11" t="s">
        <v>5776</v>
      </c>
      <c r="C5787" s="12">
        <v>12509.0</v>
      </c>
      <c r="D5787" s="11" t="str">
        <f t="shared" si="1"/>
        <v> </v>
      </c>
      <c r="E5787" s="11" t="str">
        <f t="shared" si="2"/>
        <v> </v>
      </c>
    </row>
    <row r="5788" ht="15.75" customHeight="1">
      <c r="A5788" s="11">
        <v>17758.0</v>
      </c>
      <c r="B5788" s="11" t="s">
        <v>5777</v>
      </c>
      <c r="C5788" s="12">
        <v>33633.0</v>
      </c>
      <c r="D5788" s="11" t="str">
        <f t="shared" si="1"/>
        <v> </v>
      </c>
      <c r="E5788" s="11" t="str">
        <f t="shared" si="2"/>
        <v> </v>
      </c>
    </row>
    <row r="5789" ht="15.75" customHeight="1">
      <c r="A5789" s="11">
        <v>17771.0</v>
      </c>
      <c r="B5789" s="11" t="s">
        <v>5778</v>
      </c>
      <c r="C5789" s="12">
        <v>14316.0</v>
      </c>
      <c r="D5789" s="11" t="str">
        <f t="shared" si="1"/>
        <v> </v>
      </c>
      <c r="E5789" s="11" t="str">
        <f t="shared" si="2"/>
        <v>Repeat</v>
      </c>
    </row>
    <row r="5790" ht="15.75" customHeight="1">
      <c r="A5790" s="11">
        <v>17256.0</v>
      </c>
      <c r="B5790" s="11" t="s">
        <v>5779</v>
      </c>
      <c r="C5790" s="12">
        <v>17651.0</v>
      </c>
      <c r="D5790" s="11" t="str">
        <f t="shared" si="1"/>
        <v> </v>
      </c>
      <c r="E5790" s="11" t="str">
        <f t="shared" si="2"/>
        <v> </v>
      </c>
    </row>
    <row r="5791" ht="15.75" customHeight="1">
      <c r="A5791" s="11">
        <v>17276.0</v>
      </c>
      <c r="B5791" s="11" t="s">
        <v>5780</v>
      </c>
      <c r="C5791" s="12">
        <v>25945.0</v>
      </c>
      <c r="D5791" s="11" t="str">
        <f t="shared" si="1"/>
        <v> </v>
      </c>
      <c r="E5791" s="11" t="str">
        <f t="shared" si="2"/>
        <v> </v>
      </c>
    </row>
    <row r="5792" ht="15.75" customHeight="1">
      <c r="A5792" s="11">
        <v>17281.0</v>
      </c>
      <c r="B5792" s="11" t="s">
        <v>5781</v>
      </c>
      <c r="C5792" s="12">
        <v>22556.0</v>
      </c>
      <c r="D5792" s="11" t="str">
        <f t="shared" si="1"/>
        <v> </v>
      </c>
      <c r="E5792" s="11" t="str">
        <f t="shared" si="2"/>
        <v> </v>
      </c>
    </row>
    <row r="5793" ht="15.75" customHeight="1">
      <c r="A5793" s="11">
        <v>17545.0</v>
      </c>
      <c r="B5793" s="11" t="s">
        <v>5782</v>
      </c>
      <c r="C5793" s="12">
        <v>20813.0</v>
      </c>
      <c r="D5793" s="11" t="str">
        <f t="shared" si="1"/>
        <v> </v>
      </c>
      <c r="E5793" s="11" t="str">
        <f t="shared" si="2"/>
        <v> </v>
      </c>
    </row>
    <row r="5794" ht="15.75" customHeight="1">
      <c r="A5794" s="11">
        <v>17601.0</v>
      </c>
      <c r="B5794" s="11" t="s">
        <v>5783</v>
      </c>
      <c r="C5794" s="12">
        <v>24249.0</v>
      </c>
      <c r="D5794" s="11" t="str">
        <f t="shared" si="1"/>
        <v> </v>
      </c>
      <c r="E5794" s="11" t="str">
        <f t="shared" si="2"/>
        <v> </v>
      </c>
    </row>
    <row r="5795" ht="15.75" customHeight="1">
      <c r="A5795" s="11">
        <v>17479.0</v>
      </c>
      <c r="B5795" s="11" t="s">
        <v>5784</v>
      </c>
      <c r="C5795" s="12">
        <v>25841.0</v>
      </c>
      <c r="D5795" s="11" t="str">
        <f t="shared" si="1"/>
        <v> </v>
      </c>
      <c r="E5795" s="11" t="str">
        <f t="shared" si="2"/>
        <v> </v>
      </c>
    </row>
    <row r="5796" ht="15.75" customHeight="1">
      <c r="A5796" s="11">
        <v>17606.0</v>
      </c>
      <c r="B5796" s="11" t="s">
        <v>5785</v>
      </c>
      <c r="C5796" s="12">
        <v>17098.0</v>
      </c>
      <c r="D5796" s="11" t="str">
        <f t="shared" si="1"/>
        <v> </v>
      </c>
      <c r="E5796" s="11" t="str">
        <f t="shared" si="2"/>
        <v>Repeat</v>
      </c>
    </row>
    <row r="5797" ht="15.75" customHeight="1">
      <c r="A5797" s="11">
        <v>17537.0</v>
      </c>
      <c r="B5797" s="11" t="s">
        <v>5786</v>
      </c>
      <c r="C5797" s="12">
        <v>20177.0</v>
      </c>
      <c r="D5797" s="11" t="str">
        <f t="shared" si="1"/>
        <v> </v>
      </c>
      <c r="E5797" s="11" t="str">
        <f t="shared" si="2"/>
        <v> </v>
      </c>
    </row>
    <row r="5798" ht="15.75" customHeight="1">
      <c r="A5798" s="11">
        <v>17610.0</v>
      </c>
      <c r="B5798" s="11" t="s">
        <v>5787</v>
      </c>
      <c r="C5798" s="12">
        <v>18834.0</v>
      </c>
      <c r="D5798" s="11" t="str">
        <f t="shared" si="1"/>
        <v> </v>
      </c>
      <c r="E5798" s="11" t="str">
        <f t="shared" si="2"/>
        <v>Repeat</v>
      </c>
    </row>
    <row r="5799" ht="15.75" customHeight="1">
      <c r="A5799" s="11">
        <v>17618.0</v>
      </c>
      <c r="B5799" s="11" t="s">
        <v>5788</v>
      </c>
      <c r="C5799" s="12">
        <v>35367.0</v>
      </c>
      <c r="D5799" s="11" t="str">
        <f t="shared" si="1"/>
        <v> </v>
      </c>
      <c r="E5799" s="11" t="str">
        <f t="shared" si="2"/>
        <v> </v>
      </c>
    </row>
    <row r="5800" ht="15.75" customHeight="1">
      <c r="A5800" s="11">
        <v>17621.0</v>
      </c>
      <c r="B5800" s="11" t="s">
        <v>5789</v>
      </c>
      <c r="C5800" s="12">
        <v>25680.0</v>
      </c>
      <c r="D5800" s="11" t="str">
        <f t="shared" si="1"/>
        <v> </v>
      </c>
      <c r="E5800" s="11" t="str">
        <f t="shared" si="2"/>
        <v> </v>
      </c>
    </row>
    <row r="5801" ht="15.75" customHeight="1">
      <c r="A5801" s="11">
        <v>17625.0</v>
      </c>
      <c r="B5801" s="11" t="s">
        <v>5790</v>
      </c>
      <c r="C5801" s="12">
        <v>32514.0</v>
      </c>
      <c r="D5801" s="11" t="str">
        <f t="shared" si="1"/>
        <v> </v>
      </c>
      <c r="E5801" s="11" t="str">
        <f t="shared" si="2"/>
        <v> </v>
      </c>
    </row>
    <row r="5802" ht="15.75" customHeight="1">
      <c r="A5802" s="11">
        <v>17596.0</v>
      </c>
      <c r="B5802" s="11" t="s">
        <v>5791</v>
      </c>
      <c r="C5802" s="12">
        <v>28265.0</v>
      </c>
      <c r="D5802" s="11" t="str">
        <f t="shared" si="1"/>
        <v> </v>
      </c>
      <c r="E5802" s="11" t="str">
        <f t="shared" si="2"/>
        <v> </v>
      </c>
    </row>
    <row r="5803" ht="15.75" customHeight="1">
      <c r="A5803" s="11">
        <v>17626.0</v>
      </c>
      <c r="B5803" s="11" t="s">
        <v>5792</v>
      </c>
      <c r="C5803" s="12">
        <v>23562.0</v>
      </c>
      <c r="D5803" s="11" t="str">
        <f t="shared" si="1"/>
        <v> </v>
      </c>
      <c r="E5803" s="11" t="str">
        <f t="shared" si="2"/>
        <v> </v>
      </c>
    </row>
    <row r="5804" ht="15.75" customHeight="1">
      <c r="A5804" s="11">
        <v>12462.0</v>
      </c>
      <c r="B5804" s="11" t="s">
        <v>5793</v>
      </c>
      <c r="C5804" s="12">
        <v>34256.0</v>
      </c>
      <c r="D5804" s="11" t="str">
        <f t="shared" si="1"/>
        <v> </v>
      </c>
      <c r="E5804" s="11" t="str">
        <f t="shared" si="2"/>
        <v> </v>
      </c>
    </row>
    <row r="5805" ht="15.75" customHeight="1">
      <c r="A5805" s="11">
        <v>17632.0</v>
      </c>
      <c r="B5805" s="11" t="s">
        <v>5794</v>
      </c>
      <c r="C5805" s="12">
        <v>31594.0</v>
      </c>
      <c r="D5805" s="11" t="str">
        <f t="shared" si="1"/>
        <v> </v>
      </c>
      <c r="E5805" s="11" t="str">
        <f t="shared" si="2"/>
        <v> </v>
      </c>
    </row>
    <row r="5806" ht="15.75" customHeight="1">
      <c r="A5806" s="11">
        <v>17633.0</v>
      </c>
      <c r="B5806" s="11" t="s">
        <v>5795</v>
      </c>
      <c r="C5806" s="12">
        <v>20719.0</v>
      </c>
      <c r="D5806" s="11" t="str">
        <f t="shared" si="1"/>
        <v> </v>
      </c>
      <c r="E5806" s="11" t="str">
        <f t="shared" si="2"/>
        <v> </v>
      </c>
    </row>
    <row r="5807" ht="15.75" customHeight="1">
      <c r="A5807" s="11">
        <v>17635.0</v>
      </c>
      <c r="B5807" s="11" t="s">
        <v>5796</v>
      </c>
      <c r="C5807" s="12">
        <v>13329.0</v>
      </c>
      <c r="D5807" s="11" t="str">
        <f t="shared" si="1"/>
        <v>Repeat</v>
      </c>
      <c r="E5807" s="11" t="str">
        <f t="shared" si="2"/>
        <v>Repeat</v>
      </c>
    </row>
    <row r="5808" ht="15.75" customHeight="1">
      <c r="A5808" s="11">
        <v>17639.0</v>
      </c>
      <c r="B5808" s="11" t="s">
        <v>5797</v>
      </c>
      <c r="C5808" s="12">
        <v>21790.0</v>
      </c>
      <c r="D5808" s="11" t="str">
        <f t="shared" si="1"/>
        <v> </v>
      </c>
      <c r="E5808" s="11" t="str">
        <f t="shared" si="2"/>
        <v> </v>
      </c>
    </row>
    <row r="5809" ht="15.75" customHeight="1">
      <c r="A5809" s="11">
        <v>17602.0</v>
      </c>
      <c r="B5809" s="11" t="s">
        <v>5798</v>
      </c>
      <c r="C5809" s="12">
        <v>17108.0</v>
      </c>
      <c r="D5809" s="11" t="str">
        <f t="shared" si="1"/>
        <v> </v>
      </c>
      <c r="E5809" s="11" t="str">
        <f t="shared" si="2"/>
        <v> </v>
      </c>
    </row>
    <row r="5810" ht="15.75" customHeight="1">
      <c r="A5810" s="11">
        <v>17688.0</v>
      </c>
      <c r="B5810" s="11" t="s">
        <v>5799</v>
      </c>
      <c r="C5810" s="12">
        <v>21857.0</v>
      </c>
      <c r="D5810" s="11" t="str">
        <f t="shared" si="1"/>
        <v> </v>
      </c>
      <c r="E5810" s="11" t="str">
        <f t="shared" si="2"/>
        <v> </v>
      </c>
    </row>
    <row r="5811" ht="15.75" customHeight="1">
      <c r="A5811" s="11">
        <v>17686.0</v>
      </c>
      <c r="B5811" s="11" t="s">
        <v>5800</v>
      </c>
      <c r="C5811" s="12">
        <v>28621.0</v>
      </c>
      <c r="D5811" s="11" t="str">
        <f t="shared" si="1"/>
        <v> </v>
      </c>
      <c r="E5811" s="11" t="str">
        <f t="shared" si="2"/>
        <v> </v>
      </c>
    </row>
    <row r="5812" ht="15.75" customHeight="1">
      <c r="A5812" s="11">
        <v>17623.0</v>
      </c>
      <c r="B5812" s="11" t="s">
        <v>5801</v>
      </c>
      <c r="C5812" s="12">
        <v>32647.0</v>
      </c>
      <c r="D5812" s="11" t="str">
        <f t="shared" si="1"/>
        <v> </v>
      </c>
      <c r="E5812" s="11" t="str">
        <f t="shared" si="2"/>
        <v> </v>
      </c>
    </row>
    <row r="5813" ht="15.75" customHeight="1">
      <c r="A5813" s="11">
        <v>17627.0</v>
      </c>
      <c r="B5813" s="11" t="s">
        <v>5802</v>
      </c>
      <c r="C5813" s="12">
        <v>23417.0</v>
      </c>
      <c r="D5813" s="11" t="str">
        <f t="shared" si="1"/>
        <v> </v>
      </c>
      <c r="E5813" s="11" t="str">
        <f t="shared" si="2"/>
        <v> </v>
      </c>
    </row>
    <row r="5814" ht="15.75" customHeight="1">
      <c r="A5814" s="11">
        <v>17620.0</v>
      </c>
      <c r="B5814" s="11" t="s">
        <v>5803</v>
      </c>
      <c r="C5814" s="12">
        <v>19101.0</v>
      </c>
      <c r="D5814" s="11" t="str">
        <f t="shared" si="1"/>
        <v> </v>
      </c>
      <c r="E5814" s="11" t="str">
        <f t="shared" si="2"/>
        <v> </v>
      </c>
    </row>
    <row r="5815" ht="15.75" customHeight="1">
      <c r="A5815" s="11">
        <v>17729.0</v>
      </c>
      <c r="B5815" s="11" t="s">
        <v>5804</v>
      </c>
      <c r="C5815" s="12">
        <v>29966.0</v>
      </c>
      <c r="D5815" s="11" t="str">
        <f t="shared" si="1"/>
        <v> </v>
      </c>
      <c r="E5815" s="11" t="str">
        <f t="shared" si="2"/>
        <v> </v>
      </c>
    </row>
    <row r="5816" ht="15.75" customHeight="1">
      <c r="A5816" s="11">
        <v>12692.0</v>
      </c>
      <c r="B5816" s="11" t="s">
        <v>5805</v>
      </c>
      <c r="C5816" s="12">
        <v>25492.0</v>
      </c>
      <c r="D5816" s="11" t="str">
        <f t="shared" si="1"/>
        <v> </v>
      </c>
      <c r="E5816" s="11" t="str">
        <f t="shared" si="2"/>
        <v> </v>
      </c>
    </row>
    <row r="5817" ht="15.75" customHeight="1">
      <c r="A5817" s="11">
        <v>17640.0</v>
      </c>
      <c r="B5817" s="11" t="s">
        <v>5806</v>
      </c>
      <c r="C5817" s="12">
        <v>22120.0</v>
      </c>
      <c r="D5817" s="11" t="str">
        <f t="shared" si="1"/>
        <v> </v>
      </c>
      <c r="E5817" s="11" t="str">
        <f t="shared" si="2"/>
        <v> </v>
      </c>
    </row>
    <row r="5818" ht="15.75" customHeight="1">
      <c r="A5818" s="11">
        <v>9200.0</v>
      </c>
      <c r="B5818" s="11" t="s">
        <v>5807</v>
      </c>
      <c r="C5818" s="12">
        <v>22540.0</v>
      </c>
      <c r="D5818" s="11" t="str">
        <f t="shared" si="1"/>
        <v> </v>
      </c>
      <c r="E5818" s="11" t="str">
        <f t="shared" si="2"/>
        <v> </v>
      </c>
    </row>
    <row r="5819" ht="15.75" customHeight="1">
      <c r="A5819" s="11">
        <v>17557.0</v>
      </c>
      <c r="B5819" s="11" t="s">
        <v>5808</v>
      </c>
      <c r="C5819" s="12">
        <v>21735.0</v>
      </c>
      <c r="D5819" s="11" t="str">
        <f t="shared" si="1"/>
        <v>Repeat</v>
      </c>
      <c r="E5819" s="11" t="str">
        <f t="shared" si="2"/>
        <v>Repeat</v>
      </c>
    </row>
    <row r="5820" ht="15.75" customHeight="1">
      <c r="A5820" s="11">
        <v>14837.0</v>
      </c>
      <c r="B5820" s="11" t="s">
        <v>5809</v>
      </c>
      <c r="C5820" s="12">
        <v>18265.0</v>
      </c>
      <c r="D5820" s="11" t="str">
        <f t="shared" si="1"/>
        <v> </v>
      </c>
      <c r="E5820" s="11" t="str">
        <f t="shared" si="2"/>
        <v> </v>
      </c>
    </row>
    <row r="5821" ht="15.75" customHeight="1">
      <c r="A5821" s="11">
        <v>15030.0</v>
      </c>
      <c r="B5821" s="11" t="s">
        <v>217</v>
      </c>
      <c r="C5821" s="12">
        <v>19471.0</v>
      </c>
      <c r="D5821" s="11" t="str">
        <f t="shared" si="1"/>
        <v>Repeat</v>
      </c>
      <c r="E5821" s="11" t="str">
        <f t="shared" si="2"/>
        <v> </v>
      </c>
    </row>
    <row r="5822" ht="15.75" customHeight="1">
      <c r="A5822" s="11">
        <v>17035.0</v>
      </c>
      <c r="B5822" s="11" t="s">
        <v>5810</v>
      </c>
      <c r="C5822" s="12">
        <v>21199.0</v>
      </c>
      <c r="D5822" s="11" t="str">
        <f t="shared" si="1"/>
        <v> </v>
      </c>
      <c r="E5822" s="11" t="str">
        <f t="shared" si="2"/>
        <v> </v>
      </c>
    </row>
    <row r="5823" ht="15.75" customHeight="1">
      <c r="A5823" s="11">
        <v>17393.0</v>
      </c>
      <c r="B5823" s="11" t="s">
        <v>5811</v>
      </c>
      <c r="C5823" s="12">
        <v>21177.0</v>
      </c>
      <c r="D5823" s="11" t="str">
        <f t="shared" si="1"/>
        <v> </v>
      </c>
      <c r="E5823" s="11" t="str">
        <f t="shared" si="2"/>
        <v>Repeat</v>
      </c>
    </row>
    <row r="5824" ht="15.75" customHeight="1">
      <c r="A5824" s="11">
        <v>16837.0</v>
      </c>
      <c r="B5824" s="11" t="s">
        <v>5812</v>
      </c>
      <c r="C5824" s="12">
        <v>20933.0</v>
      </c>
      <c r="D5824" s="11" t="str">
        <f t="shared" si="1"/>
        <v> </v>
      </c>
      <c r="E5824" s="11" t="str">
        <f t="shared" si="2"/>
        <v> </v>
      </c>
    </row>
    <row r="5825" ht="15.75" customHeight="1">
      <c r="A5825" s="11">
        <v>17560.0</v>
      </c>
      <c r="B5825" s="11" t="s">
        <v>5813</v>
      </c>
      <c r="C5825" s="12">
        <v>20721.0</v>
      </c>
      <c r="D5825" s="11" t="str">
        <f t="shared" si="1"/>
        <v> </v>
      </c>
      <c r="E5825" s="11" t="str">
        <f t="shared" si="2"/>
        <v> </v>
      </c>
    </row>
    <row r="5826" ht="15.75" customHeight="1">
      <c r="A5826" s="11">
        <v>16972.0</v>
      </c>
      <c r="B5826" s="11" t="s">
        <v>5814</v>
      </c>
      <c r="C5826" s="12">
        <v>20595.0</v>
      </c>
      <c r="D5826" s="11" t="str">
        <f t="shared" si="1"/>
        <v> </v>
      </c>
      <c r="E5826" s="11" t="str">
        <f t="shared" si="2"/>
        <v> </v>
      </c>
    </row>
    <row r="5827" ht="15.75" customHeight="1">
      <c r="A5827" s="11">
        <v>17651.0</v>
      </c>
      <c r="B5827" s="11" t="s">
        <v>5815</v>
      </c>
      <c r="C5827" s="12">
        <v>20365.0</v>
      </c>
      <c r="D5827" s="11" t="str">
        <f t="shared" si="1"/>
        <v> </v>
      </c>
      <c r="E5827" s="11" t="str">
        <f t="shared" si="2"/>
        <v> </v>
      </c>
    </row>
    <row r="5828" ht="15.75" customHeight="1">
      <c r="A5828" s="11">
        <v>16845.0</v>
      </c>
      <c r="B5828" s="11" t="s">
        <v>5816</v>
      </c>
      <c r="C5828" s="12">
        <v>16898.0</v>
      </c>
      <c r="D5828" s="11" t="str">
        <f t="shared" si="1"/>
        <v> </v>
      </c>
      <c r="E5828" s="11" t="str">
        <f t="shared" si="2"/>
        <v> </v>
      </c>
    </row>
    <row r="5829" ht="15.75" customHeight="1">
      <c r="A5829" s="11">
        <v>17728.0</v>
      </c>
      <c r="B5829" s="11" t="s">
        <v>5817</v>
      </c>
      <c r="C5829" s="12">
        <v>16889.0</v>
      </c>
      <c r="D5829" s="11" t="str">
        <f t="shared" si="1"/>
        <v> </v>
      </c>
      <c r="E5829" s="11" t="str">
        <f t="shared" si="2"/>
        <v> </v>
      </c>
    </row>
    <row r="5830" ht="15.75" customHeight="1">
      <c r="A5830" s="11">
        <v>16787.0</v>
      </c>
      <c r="B5830" s="11" t="s">
        <v>5818</v>
      </c>
      <c r="C5830" s="12">
        <v>16576.0</v>
      </c>
      <c r="D5830" s="11" t="str">
        <f t="shared" si="1"/>
        <v> </v>
      </c>
      <c r="E5830" s="11" t="str">
        <f t="shared" si="2"/>
        <v> </v>
      </c>
    </row>
    <row r="5831" ht="15.75" customHeight="1">
      <c r="A5831" s="11">
        <v>17087.0</v>
      </c>
      <c r="B5831" s="11" t="s">
        <v>5819</v>
      </c>
      <c r="C5831" s="12">
        <v>16003.0</v>
      </c>
      <c r="D5831" s="11" t="str">
        <f t="shared" si="1"/>
        <v> </v>
      </c>
      <c r="E5831" s="11" t="str">
        <f t="shared" si="2"/>
        <v> </v>
      </c>
    </row>
    <row r="5832" ht="15.75" customHeight="1">
      <c r="A5832" s="11">
        <v>17443.0</v>
      </c>
      <c r="B5832" s="11" t="s">
        <v>5820</v>
      </c>
      <c r="C5832" s="12">
        <v>15044.0</v>
      </c>
      <c r="D5832" s="11" t="str">
        <f t="shared" si="1"/>
        <v> </v>
      </c>
      <c r="E5832" s="11" t="str">
        <f t="shared" si="2"/>
        <v> </v>
      </c>
    </row>
    <row r="5833" ht="15.75" customHeight="1">
      <c r="A5833" s="11">
        <v>15902.0</v>
      </c>
      <c r="B5833" s="11" t="s">
        <v>5821</v>
      </c>
      <c r="C5833" s="12">
        <v>14350.0</v>
      </c>
      <c r="D5833" s="11" t="str">
        <f t="shared" si="1"/>
        <v> </v>
      </c>
      <c r="E5833" s="11" t="str">
        <f t="shared" si="2"/>
        <v> </v>
      </c>
    </row>
    <row r="5834" ht="15.75" customHeight="1">
      <c r="A5834" s="11">
        <v>17604.0</v>
      </c>
      <c r="B5834" s="11" t="s">
        <v>5822</v>
      </c>
      <c r="C5834" s="12">
        <v>29059.0</v>
      </c>
      <c r="D5834" s="11" t="str">
        <f t="shared" si="1"/>
        <v> </v>
      </c>
      <c r="E5834" s="11" t="str">
        <f t="shared" si="2"/>
        <v> </v>
      </c>
    </row>
    <row r="5835" ht="15.75" customHeight="1">
      <c r="A5835" s="11">
        <v>17629.0</v>
      </c>
      <c r="B5835" s="11" t="s">
        <v>5823</v>
      </c>
      <c r="C5835" s="12">
        <v>23145.0</v>
      </c>
      <c r="D5835" s="11" t="str">
        <f t="shared" si="1"/>
        <v> </v>
      </c>
      <c r="E5835" s="11" t="str">
        <f t="shared" si="2"/>
        <v> </v>
      </c>
    </row>
    <row r="5836" ht="15.75" customHeight="1">
      <c r="A5836" s="11">
        <v>17631.0</v>
      </c>
      <c r="B5836" s="11" t="s">
        <v>5824</v>
      </c>
      <c r="C5836" s="12">
        <v>19203.0</v>
      </c>
      <c r="D5836" s="11" t="str">
        <f t="shared" si="1"/>
        <v> </v>
      </c>
      <c r="E5836" s="11" t="str">
        <f t="shared" si="2"/>
        <v> </v>
      </c>
    </row>
    <row r="5837" ht="15.75" customHeight="1">
      <c r="A5837" s="11">
        <v>17641.0</v>
      </c>
      <c r="B5837" s="11" t="s">
        <v>5825</v>
      </c>
      <c r="C5837" s="12">
        <v>13817.0</v>
      </c>
      <c r="D5837" s="11" t="str">
        <f t="shared" si="1"/>
        <v> </v>
      </c>
      <c r="E5837" s="11" t="str">
        <f t="shared" si="2"/>
        <v> </v>
      </c>
    </row>
    <row r="5838" ht="15.75" customHeight="1">
      <c r="A5838" s="11">
        <v>17649.0</v>
      </c>
      <c r="B5838" s="11" t="s">
        <v>5826</v>
      </c>
      <c r="C5838" s="12">
        <v>21711.0</v>
      </c>
      <c r="D5838" s="11" t="str">
        <f t="shared" si="1"/>
        <v> </v>
      </c>
      <c r="E5838" s="11" t="str">
        <f t="shared" si="2"/>
        <v> </v>
      </c>
    </row>
    <row r="5839" ht="15.75" customHeight="1">
      <c r="A5839" s="11">
        <v>17217.0</v>
      </c>
      <c r="B5839" s="11" t="s">
        <v>5827</v>
      </c>
      <c r="C5839" s="12">
        <v>14145.0</v>
      </c>
      <c r="D5839" s="11" t="str">
        <f t="shared" si="1"/>
        <v> </v>
      </c>
      <c r="E5839" s="11" t="str">
        <f t="shared" si="2"/>
        <v> </v>
      </c>
    </row>
    <row r="5840" ht="15.75" customHeight="1">
      <c r="A5840" s="11">
        <v>17652.0</v>
      </c>
      <c r="B5840" s="11" t="s">
        <v>5828</v>
      </c>
      <c r="C5840" s="12">
        <v>30943.0</v>
      </c>
      <c r="D5840" s="11" t="str">
        <f t="shared" si="1"/>
        <v> </v>
      </c>
      <c r="E5840" s="11" t="str">
        <f t="shared" si="2"/>
        <v> </v>
      </c>
    </row>
    <row r="5841" ht="15.75" customHeight="1">
      <c r="A5841" s="11">
        <v>17659.0</v>
      </c>
      <c r="B5841" s="11" t="s">
        <v>5829</v>
      </c>
      <c r="C5841" s="12">
        <v>19776.0</v>
      </c>
      <c r="D5841" s="11" t="str">
        <f t="shared" si="1"/>
        <v> </v>
      </c>
      <c r="E5841" s="11" t="str">
        <f t="shared" si="2"/>
        <v>Repeat</v>
      </c>
    </row>
    <row r="5842" ht="15.75" customHeight="1">
      <c r="A5842" s="11">
        <v>11207.0</v>
      </c>
      <c r="B5842" s="11" t="s">
        <v>5830</v>
      </c>
      <c r="C5842" s="12">
        <v>9739.0</v>
      </c>
      <c r="D5842" s="11" t="str">
        <f t="shared" si="1"/>
        <v> </v>
      </c>
      <c r="E5842" s="11" t="str">
        <f t="shared" si="2"/>
        <v> </v>
      </c>
    </row>
    <row r="5843" ht="15.75" customHeight="1">
      <c r="A5843" s="11">
        <v>17756.0</v>
      </c>
      <c r="B5843" s="11" t="s">
        <v>5831</v>
      </c>
      <c r="C5843" s="12">
        <v>16867.0</v>
      </c>
      <c r="D5843" s="11" t="str">
        <f t="shared" si="1"/>
        <v> </v>
      </c>
      <c r="E5843" s="11" t="str">
        <f t="shared" si="2"/>
        <v> </v>
      </c>
    </row>
    <row r="5844" ht="15.75" customHeight="1">
      <c r="A5844" s="11">
        <v>17759.0</v>
      </c>
      <c r="B5844" s="11" t="s">
        <v>5832</v>
      </c>
      <c r="C5844" s="12">
        <v>13627.0</v>
      </c>
      <c r="D5844" s="11" t="str">
        <f t="shared" si="1"/>
        <v> </v>
      </c>
      <c r="E5844" s="11" t="str">
        <f t="shared" si="2"/>
        <v> </v>
      </c>
    </row>
    <row r="5845" ht="15.75" customHeight="1">
      <c r="A5845" s="11">
        <v>17762.0</v>
      </c>
      <c r="B5845" s="11" t="s">
        <v>5833</v>
      </c>
      <c r="C5845" s="12">
        <v>20994.0</v>
      </c>
      <c r="D5845" s="11" t="str">
        <f t="shared" si="1"/>
        <v> </v>
      </c>
      <c r="E5845" s="11" t="str">
        <f t="shared" si="2"/>
        <v> </v>
      </c>
    </row>
    <row r="5846" ht="15.75" customHeight="1">
      <c r="A5846" s="11">
        <v>17769.0</v>
      </c>
      <c r="B5846" s="11" t="s">
        <v>5834</v>
      </c>
      <c r="C5846" s="12">
        <v>20682.0</v>
      </c>
      <c r="D5846" s="11" t="str">
        <f t="shared" si="1"/>
        <v> </v>
      </c>
      <c r="E5846" s="11" t="str">
        <f t="shared" si="2"/>
        <v> </v>
      </c>
    </row>
    <row r="5847" ht="15.75" customHeight="1">
      <c r="A5847" s="11">
        <v>17775.0</v>
      </c>
      <c r="B5847" s="11" t="s">
        <v>5835</v>
      </c>
      <c r="C5847" s="12">
        <v>19126.0</v>
      </c>
      <c r="D5847" s="11" t="str">
        <f t="shared" si="1"/>
        <v> </v>
      </c>
      <c r="E5847" s="11" t="str">
        <f t="shared" si="2"/>
        <v> </v>
      </c>
    </row>
    <row r="5848" ht="15.75" customHeight="1">
      <c r="A5848" s="11">
        <v>17780.0</v>
      </c>
      <c r="B5848" s="11" t="s">
        <v>5836</v>
      </c>
      <c r="C5848" s="12">
        <v>13468.0</v>
      </c>
      <c r="D5848" s="11" t="str">
        <f t="shared" si="1"/>
        <v> </v>
      </c>
      <c r="E5848" s="11" t="str">
        <f t="shared" si="2"/>
        <v> </v>
      </c>
    </row>
    <row r="5849" ht="15.75" customHeight="1">
      <c r="A5849" s="11">
        <v>17790.0</v>
      </c>
      <c r="B5849" s="11" t="s">
        <v>5837</v>
      </c>
      <c r="C5849" s="12">
        <v>13836.0</v>
      </c>
      <c r="D5849" s="11" t="str">
        <f t="shared" si="1"/>
        <v> </v>
      </c>
      <c r="E5849" s="11" t="str">
        <f t="shared" si="2"/>
        <v> </v>
      </c>
    </row>
    <row r="5850" ht="15.75" customHeight="1">
      <c r="A5850" s="11">
        <v>17791.0</v>
      </c>
      <c r="B5850" s="11" t="s">
        <v>5838</v>
      </c>
      <c r="C5850" s="12">
        <v>14080.0</v>
      </c>
      <c r="D5850" s="11" t="str">
        <f t="shared" si="1"/>
        <v> </v>
      </c>
      <c r="E5850" s="11" t="str">
        <f t="shared" si="2"/>
        <v>Repeat</v>
      </c>
    </row>
    <row r="5851" ht="15.75" customHeight="1">
      <c r="A5851" s="11">
        <v>17680.0</v>
      </c>
      <c r="B5851" s="11" t="s">
        <v>5839</v>
      </c>
      <c r="C5851" s="12">
        <v>15987.0</v>
      </c>
      <c r="D5851" s="11" t="str">
        <f t="shared" si="1"/>
        <v> </v>
      </c>
      <c r="E5851" s="11" t="str">
        <f t="shared" si="2"/>
        <v> </v>
      </c>
    </row>
    <row r="5852" ht="15.75" customHeight="1">
      <c r="A5852" s="11">
        <v>17683.0</v>
      </c>
      <c r="B5852" s="11" t="s">
        <v>5840</v>
      </c>
      <c r="C5852" s="12">
        <v>36630.0</v>
      </c>
      <c r="D5852" s="11" t="str">
        <f t="shared" si="1"/>
        <v> </v>
      </c>
      <c r="E5852" s="11" t="str">
        <f t="shared" si="2"/>
        <v> </v>
      </c>
    </row>
    <row r="5853" ht="15.75" customHeight="1">
      <c r="A5853" s="11">
        <v>17715.0</v>
      </c>
      <c r="B5853" s="11" t="s">
        <v>5841</v>
      </c>
      <c r="C5853" s="12">
        <v>25325.0</v>
      </c>
      <c r="D5853" s="11" t="str">
        <f t="shared" si="1"/>
        <v> </v>
      </c>
      <c r="E5853" s="11" t="str">
        <f t="shared" si="2"/>
        <v> </v>
      </c>
    </row>
    <row r="5854" ht="15.75" customHeight="1">
      <c r="A5854" s="11">
        <v>17687.0</v>
      </c>
      <c r="B5854" s="11" t="s">
        <v>5842</v>
      </c>
      <c r="C5854" s="12">
        <v>23979.0</v>
      </c>
      <c r="D5854" s="11" t="str">
        <f t="shared" si="1"/>
        <v> </v>
      </c>
      <c r="E5854" s="11" t="str">
        <f t="shared" si="2"/>
        <v> </v>
      </c>
    </row>
    <row r="5855" ht="15.75" customHeight="1">
      <c r="A5855" s="11">
        <v>17657.0</v>
      </c>
      <c r="B5855" s="11" t="s">
        <v>5843</v>
      </c>
      <c r="C5855" s="12">
        <v>21009.0</v>
      </c>
      <c r="D5855" s="11" t="str">
        <f t="shared" si="1"/>
        <v> </v>
      </c>
      <c r="E5855" s="11" t="str">
        <f t="shared" si="2"/>
        <v> </v>
      </c>
    </row>
    <row r="5856" ht="15.75" customHeight="1">
      <c r="A5856" s="11">
        <v>17669.0</v>
      </c>
      <c r="B5856" s="11" t="s">
        <v>5844</v>
      </c>
      <c r="C5856" s="12">
        <v>21131.0</v>
      </c>
      <c r="D5856" s="11" t="str">
        <f t="shared" si="1"/>
        <v> </v>
      </c>
      <c r="E5856" s="11" t="str">
        <f t="shared" si="2"/>
        <v> </v>
      </c>
    </row>
    <row r="5857" ht="15.75" customHeight="1">
      <c r="A5857" s="11">
        <v>17734.0</v>
      </c>
      <c r="B5857" s="11" t="s">
        <v>5845</v>
      </c>
      <c r="C5857" s="12">
        <v>18166.0</v>
      </c>
      <c r="D5857" s="11" t="str">
        <f t="shared" si="1"/>
        <v> </v>
      </c>
      <c r="E5857" s="11" t="str">
        <f t="shared" si="2"/>
        <v> </v>
      </c>
    </row>
    <row r="5858" ht="15.75" customHeight="1">
      <c r="A5858" s="11">
        <v>17716.0</v>
      </c>
      <c r="B5858" s="11" t="s">
        <v>5846</v>
      </c>
      <c r="C5858" s="12">
        <v>17940.0</v>
      </c>
      <c r="D5858" s="11" t="str">
        <f t="shared" si="1"/>
        <v> </v>
      </c>
      <c r="E5858" s="11" t="str">
        <f t="shared" si="2"/>
        <v> </v>
      </c>
    </row>
    <row r="5859" ht="15.75" customHeight="1">
      <c r="A5859" s="11">
        <v>17667.0</v>
      </c>
      <c r="B5859" s="11" t="s">
        <v>5847</v>
      </c>
      <c r="C5859" s="12">
        <v>25503.0</v>
      </c>
      <c r="D5859" s="11" t="str">
        <f t="shared" si="1"/>
        <v> </v>
      </c>
      <c r="E5859" s="11" t="str">
        <f t="shared" si="2"/>
        <v> </v>
      </c>
    </row>
    <row r="5860" ht="15.75" customHeight="1">
      <c r="A5860" s="11">
        <v>17696.0</v>
      </c>
      <c r="B5860" s="11" t="s">
        <v>5848</v>
      </c>
      <c r="C5860" s="12">
        <v>21984.0</v>
      </c>
      <c r="D5860" s="11" t="str">
        <f t="shared" si="1"/>
        <v> </v>
      </c>
      <c r="E5860" s="11" t="str">
        <f t="shared" si="2"/>
        <v> </v>
      </c>
    </row>
    <row r="5861" ht="15.75" customHeight="1">
      <c r="A5861" s="11">
        <v>17772.0</v>
      </c>
      <c r="B5861" s="11" t="s">
        <v>5849</v>
      </c>
      <c r="C5861" s="12">
        <v>25892.0</v>
      </c>
      <c r="D5861" s="11" t="str">
        <f t="shared" si="1"/>
        <v> </v>
      </c>
      <c r="E5861" s="11" t="str">
        <f t="shared" si="2"/>
        <v> </v>
      </c>
    </row>
    <row r="5862" ht="15.75" customHeight="1">
      <c r="A5862" s="11">
        <v>17701.0</v>
      </c>
      <c r="B5862" s="11" t="s">
        <v>2173</v>
      </c>
      <c r="C5862" s="12">
        <v>15476.0</v>
      </c>
      <c r="D5862" s="11" t="str">
        <f t="shared" si="1"/>
        <v>Repeat</v>
      </c>
      <c r="E5862" s="11" t="str">
        <f t="shared" si="2"/>
        <v> </v>
      </c>
    </row>
    <row r="5863" ht="15.75" customHeight="1">
      <c r="A5863" s="11">
        <v>10519.0</v>
      </c>
      <c r="B5863" s="11" t="s">
        <v>5850</v>
      </c>
      <c r="C5863" s="12">
        <v>23901.0</v>
      </c>
      <c r="D5863" s="11" t="str">
        <f t="shared" si="1"/>
        <v> </v>
      </c>
      <c r="E5863" s="11" t="str">
        <f t="shared" si="2"/>
        <v> </v>
      </c>
    </row>
    <row r="5864" ht="15.75" customHeight="1">
      <c r="A5864" s="11">
        <v>15412.0</v>
      </c>
      <c r="B5864" s="11" t="s">
        <v>5851</v>
      </c>
      <c r="C5864" s="12">
        <v>9126.0</v>
      </c>
      <c r="D5864" s="11" t="str">
        <f t="shared" si="1"/>
        <v> </v>
      </c>
      <c r="E5864" s="11" t="str">
        <f t="shared" si="2"/>
        <v> </v>
      </c>
    </row>
    <row r="5865" ht="15.75" customHeight="1">
      <c r="A5865" s="11">
        <v>12201.0</v>
      </c>
      <c r="B5865" s="11" t="s">
        <v>5852</v>
      </c>
      <c r="C5865" s="12">
        <v>16723.0</v>
      </c>
      <c r="D5865" s="11" t="str">
        <f t="shared" si="1"/>
        <v> </v>
      </c>
      <c r="E5865" s="11" t="str">
        <f t="shared" si="2"/>
        <v> </v>
      </c>
    </row>
    <row r="5866" ht="15.75" customHeight="1">
      <c r="A5866" s="11">
        <v>17791.0</v>
      </c>
      <c r="B5866" s="11" t="s">
        <v>5853</v>
      </c>
      <c r="C5866" s="12">
        <v>14080.0</v>
      </c>
      <c r="D5866" s="11" t="str">
        <f t="shared" si="1"/>
        <v> </v>
      </c>
      <c r="E5866" s="11" t="str">
        <f t="shared" si="2"/>
        <v>Repeat</v>
      </c>
    </row>
    <row r="5867" ht="15.75" customHeight="1">
      <c r="A5867" s="11">
        <v>17411.0</v>
      </c>
      <c r="B5867" s="11" t="s">
        <v>5854</v>
      </c>
      <c r="C5867" s="12">
        <v>33103.0</v>
      </c>
      <c r="D5867" s="11" t="str">
        <f t="shared" si="1"/>
        <v> </v>
      </c>
      <c r="E5867" s="11" t="str">
        <f t="shared" si="2"/>
        <v> </v>
      </c>
    </row>
    <row r="5868" ht="15.75" customHeight="1">
      <c r="A5868" s="11">
        <v>12909.0</v>
      </c>
      <c r="B5868" s="11" t="s">
        <v>5855</v>
      </c>
      <c r="C5868" s="12">
        <v>20679.0</v>
      </c>
      <c r="D5868" s="11" t="str">
        <f t="shared" si="1"/>
        <v> </v>
      </c>
      <c r="E5868" s="11" t="str">
        <f t="shared" si="2"/>
        <v>Repeat</v>
      </c>
    </row>
    <row r="5869" ht="15.75" customHeight="1">
      <c r="A5869" s="11">
        <v>16139.0</v>
      </c>
      <c r="B5869" s="11" t="s">
        <v>5856</v>
      </c>
      <c r="C5869" s="12">
        <v>31019.0</v>
      </c>
      <c r="D5869" s="11" t="str">
        <f t="shared" si="1"/>
        <v> </v>
      </c>
      <c r="E5869" s="11" t="str">
        <f t="shared" si="2"/>
        <v>Repeat</v>
      </c>
    </row>
    <row r="5870" ht="15.75" customHeight="1">
      <c r="A5870" s="11">
        <v>17480.0</v>
      </c>
      <c r="B5870" s="11" t="s">
        <v>5857</v>
      </c>
      <c r="C5870" s="12">
        <v>17702.0</v>
      </c>
      <c r="D5870" s="11" t="str">
        <f t="shared" si="1"/>
        <v> </v>
      </c>
      <c r="E5870" s="11" t="str">
        <f t="shared" si="2"/>
        <v>Repeat</v>
      </c>
    </row>
    <row r="5871" ht="15.75" customHeight="1">
      <c r="A5871" s="11">
        <v>17508.0</v>
      </c>
      <c r="B5871" s="11" t="s">
        <v>5858</v>
      </c>
      <c r="C5871" s="12">
        <v>26371.0</v>
      </c>
      <c r="D5871" s="11" t="str">
        <f t="shared" si="1"/>
        <v> </v>
      </c>
      <c r="E5871" s="11" t="str">
        <f t="shared" si="2"/>
        <v>Repeat</v>
      </c>
    </row>
    <row r="5872" ht="15.75" customHeight="1">
      <c r="A5872" s="11">
        <v>16605.0</v>
      </c>
      <c r="B5872" s="11" t="s">
        <v>5859</v>
      </c>
      <c r="C5872" s="12">
        <v>34957.0</v>
      </c>
      <c r="D5872" s="11" t="str">
        <f t="shared" si="1"/>
        <v> </v>
      </c>
      <c r="E5872" s="11" t="str">
        <f t="shared" si="2"/>
        <v>Repeat</v>
      </c>
    </row>
    <row r="5873" ht="15.75" customHeight="1">
      <c r="A5873" s="11">
        <v>12577.0</v>
      </c>
      <c r="B5873" s="11" t="s">
        <v>5860</v>
      </c>
      <c r="C5873" s="12">
        <v>29381.0</v>
      </c>
      <c r="D5873" s="11" t="str">
        <f t="shared" si="1"/>
        <v> </v>
      </c>
      <c r="E5873" s="11" t="str">
        <f t="shared" si="2"/>
        <v>Repeat</v>
      </c>
    </row>
    <row r="5874" ht="15.75" customHeight="1">
      <c r="A5874" s="11">
        <v>17489.0</v>
      </c>
      <c r="B5874" s="11" t="s">
        <v>5861</v>
      </c>
      <c r="C5874" s="12">
        <v>18257.0</v>
      </c>
      <c r="D5874" s="11" t="str">
        <f t="shared" si="1"/>
        <v> </v>
      </c>
      <c r="E5874" s="11" t="str">
        <f t="shared" si="2"/>
        <v>Repeat</v>
      </c>
    </row>
    <row r="5875" ht="15.75" customHeight="1">
      <c r="A5875" s="11">
        <v>16762.0</v>
      </c>
      <c r="B5875" s="11" t="s">
        <v>5862</v>
      </c>
      <c r="C5875" s="12">
        <v>27945.0</v>
      </c>
      <c r="D5875" s="11" t="str">
        <f t="shared" si="1"/>
        <v> </v>
      </c>
      <c r="E5875" s="11" t="str">
        <f t="shared" si="2"/>
        <v>Repeat</v>
      </c>
    </row>
    <row r="5876" ht="15.75" customHeight="1">
      <c r="A5876" s="11">
        <v>17672.0</v>
      </c>
      <c r="B5876" s="11" t="s">
        <v>5863</v>
      </c>
      <c r="C5876" s="12">
        <v>24669.0</v>
      </c>
      <c r="D5876" s="11" t="str">
        <f t="shared" si="1"/>
        <v> </v>
      </c>
      <c r="E5876" s="11" t="str">
        <f t="shared" si="2"/>
        <v>Repeat</v>
      </c>
    </row>
    <row r="5877" ht="15.75" customHeight="1">
      <c r="A5877" s="11">
        <v>17689.0</v>
      </c>
      <c r="B5877" s="11" t="s">
        <v>5864</v>
      </c>
      <c r="C5877" s="12">
        <v>26094.0</v>
      </c>
      <c r="D5877" s="11" t="str">
        <f t="shared" si="1"/>
        <v> </v>
      </c>
      <c r="E5877" s="11" t="str">
        <f t="shared" si="2"/>
        <v> </v>
      </c>
    </row>
    <row r="5878" ht="15.75" customHeight="1">
      <c r="A5878" s="11">
        <v>17692.0</v>
      </c>
      <c r="B5878" s="11" t="s">
        <v>5865</v>
      </c>
      <c r="C5878" s="12">
        <v>23476.0</v>
      </c>
      <c r="D5878" s="11" t="str">
        <f t="shared" si="1"/>
        <v> </v>
      </c>
      <c r="E5878" s="11" t="str">
        <f t="shared" si="2"/>
        <v>Repeat</v>
      </c>
    </row>
    <row r="5879" ht="15.75" customHeight="1">
      <c r="A5879" s="11">
        <v>17695.0</v>
      </c>
      <c r="B5879" s="11" t="s">
        <v>5866</v>
      </c>
      <c r="C5879" s="12">
        <v>19430.0</v>
      </c>
      <c r="D5879" s="11" t="str">
        <f t="shared" si="1"/>
        <v> </v>
      </c>
      <c r="E5879" s="11" t="str">
        <f t="shared" si="2"/>
        <v> </v>
      </c>
    </row>
    <row r="5880" ht="15.75" customHeight="1">
      <c r="A5880" s="11">
        <v>17703.0</v>
      </c>
      <c r="B5880" s="11" t="s">
        <v>5867</v>
      </c>
      <c r="C5880" s="12">
        <v>22399.0</v>
      </c>
      <c r="D5880" s="11" t="str">
        <f t="shared" si="1"/>
        <v> </v>
      </c>
      <c r="E5880" s="11" t="str">
        <f t="shared" si="2"/>
        <v> </v>
      </c>
    </row>
    <row r="5881" ht="15.75" customHeight="1">
      <c r="A5881" s="11">
        <v>17685.0</v>
      </c>
      <c r="B5881" s="11" t="s">
        <v>5868</v>
      </c>
      <c r="C5881" s="12">
        <v>24394.0</v>
      </c>
      <c r="D5881" s="11" t="str">
        <f t="shared" si="1"/>
        <v> </v>
      </c>
      <c r="E5881" s="11" t="str">
        <f t="shared" si="2"/>
        <v>Repeat</v>
      </c>
    </row>
    <row r="5882" ht="15.75" customHeight="1">
      <c r="A5882" s="11">
        <v>17691.0</v>
      </c>
      <c r="B5882" s="11" t="s">
        <v>5869</v>
      </c>
      <c r="C5882" s="12">
        <v>15625.0</v>
      </c>
      <c r="D5882" s="11" t="str">
        <f t="shared" si="1"/>
        <v> </v>
      </c>
      <c r="E5882" s="11" t="str">
        <f t="shared" si="2"/>
        <v>Repeat</v>
      </c>
    </row>
    <row r="5883" ht="15.75" customHeight="1">
      <c r="A5883" s="11">
        <v>17709.0</v>
      </c>
      <c r="B5883" s="11" t="s">
        <v>5870</v>
      </c>
      <c r="C5883" s="12">
        <v>29001.0</v>
      </c>
      <c r="D5883" s="11" t="str">
        <f t="shared" si="1"/>
        <v> </v>
      </c>
      <c r="E5883" s="11" t="str">
        <f t="shared" si="2"/>
        <v> </v>
      </c>
    </row>
    <row r="5884" ht="15.75" customHeight="1">
      <c r="A5884" s="11">
        <v>17710.0</v>
      </c>
      <c r="B5884" s="11" t="s">
        <v>826</v>
      </c>
      <c r="C5884" s="12">
        <v>19920.0</v>
      </c>
      <c r="D5884" s="11" t="str">
        <f t="shared" si="1"/>
        <v>Repeat</v>
      </c>
      <c r="E5884" s="11" t="str">
        <f t="shared" si="2"/>
        <v> </v>
      </c>
    </row>
    <row r="5885" ht="15.75" customHeight="1">
      <c r="A5885" s="11">
        <v>17702.0</v>
      </c>
      <c r="B5885" s="11" t="s">
        <v>5871</v>
      </c>
      <c r="C5885" s="12">
        <v>31731.0</v>
      </c>
      <c r="D5885" s="11" t="str">
        <f t="shared" si="1"/>
        <v> </v>
      </c>
      <c r="E5885" s="11" t="str">
        <f t="shared" si="2"/>
        <v> </v>
      </c>
    </row>
    <row r="5886" ht="15.75" customHeight="1">
      <c r="A5886" s="11">
        <v>17711.0</v>
      </c>
      <c r="B5886" s="11" t="s">
        <v>5872</v>
      </c>
      <c r="C5886" s="12">
        <v>15864.0</v>
      </c>
      <c r="D5886" s="11" t="str">
        <f t="shared" si="1"/>
        <v> </v>
      </c>
      <c r="E5886" s="11" t="str">
        <f t="shared" si="2"/>
        <v> </v>
      </c>
    </row>
    <row r="5887" ht="15.75" customHeight="1">
      <c r="A5887" s="11">
        <v>17712.0</v>
      </c>
      <c r="B5887" s="11" t="s">
        <v>5873</v>
      </c>
      <c r="C5887" s="12">
        <v>28485.0</v>
      </c>
      <c r="D5887" s="11" t="str">
        <f t="shared" si="1"/>
        <v> </v>
      </c>
      <c r="E5887" s="11" t="str">
        <f t="shared" si="2"/>
        <v> </v>
      </c>
    </row>
    <row r="5888" ht="15.75" customHeight="1">
      <c r="A5888" s="11">
        <v>17718.0</v>
      </c>
      <c r="B5888" s="11" t="s">
        <v>5874</v>
      </c>
      <c r="C5888" s="12">
        <v>31448.0</v>
      </c>
      <c r="D5888" s="11" t="str">
        <f t="shared" si="1"/>
        <v> </v>
      </c>
      <c r="E5888" s="11" t="str">
        <f t="shared" si="2"/>
        <v> </v>
      </c>
    </row>
    <row r="5889" ht="15.75" customHeight="1">
      <c r="A5889" s="11">
        <v>17721.0</v>
      </c>
      <c r="B5889" s="11" t="s">
        <v>5875</v>
      </c>
      <c r="C5889" s="12">
        <v>29204.0</v>
      </c>
      <c r="D5889" s="11" t="str">
        <f t="shared" si="1"/>
        <v> </v>
      </c>
      <c r="E5889" s="11" t="str">
        <f t="shared" si="2"/>
        <v> </v>
      </c>
    </row>
    <row r="5890" ht="15.75" customHeight="1">
      <c r="A5890" s="11">
        <v>17724.0</v>
      </c>
      <c r="B5890" s="11" t="s">
        <v>5876</v>
      </c>
      <c r="C5890" s="12">
        <v>20493.0</v>
      </c>
      <c r="D5890" s="11" t="str">
        <f t="shared" si="1"/>
        <v> </v>
      </c>
      <c r="E5890" s="11" t="str">
        <f t="shared" si="2"/>
        <v> </v>
      </c>
    </row>
    <row r="5891" ht="15.75" customHeight="1">
      <c r="A5891" s="11">
        <v>17387.0</v>
      </c>
      <c r="B5891" s="11" t="s">
        <v>5877</v>
      </c>
      <c r="C5891" s="12">
        <v>19803.0</v>
      </c>
      <c r="D5891" s="11" t="str">
        <f t="shared" si="1"/>
        <v> </v>
      </c>
      <c r="E5891" s="11" t="str">
        <f t="shared" si="2"/>
        <v>Repeat</v>
      </c>
    </row>
    <row r="5892" ht="15.75" customHeight="1">
      <c r="A5892" s="11">
        <v>17727.0</v>
      </c>
      <c r="B5892" s="11" t="s">
        <v>5878</v>
      </c>
      <c r="C5892" s="12">
        <v>28711.0</v>
      </c>
      <c r="D5892" s="11" t="str">
        <f t="shared" si="1"/>
        <v> </v>
      </c>
      <c r="E5892" s="11" t="str">
        <f t="shared" si="2"/>
        <v> </v>
      </c>
    </row>
    <row r="5893" ht="15.75" customHeight="1">
      <c r="A5893" s="11">
        <v>17520.0</v>
      </c>
      <c r="B5893" s="11" t="s">
        <v>5879</v>
      </c>
      <c r="C5893" s="12">
        <v>35085.0</v>
      </c>
      <c r="D5893" s="11" t="str">
        <f t="shared" si="1"/>
        <v> </v>
      </c>
      <c r="E5893" s="11" t="str">
        <f t="shared" si="2"/>
        <v> </v>
      </c>
    </row>
    <row r="5894" ht="15.75" customHeight="1">
      <c r="A5894" s="11">
        <v>17732.0</v>
      </c>
      <c r="B5894" s="11" t="s">
        <v>5880</v>
      </c>
      <c r="C5894" s="12">
        <v>20346.0</v>
      </c>
      <c r="D5894" s="11" t="str">
        <f t="shared" si="1"/>
        <v> </v>
      </c>
      <c r="E5894" s="11" t="str">
        <f t="shared" si="2"/>
        <v> </v>
      </c>
    </row>
    <row r="5895" ht="15.75" customHeight="1">
      <c r="A5895" s="11">
        <v>17735.0</v>
      </c>
      <c r="B5895" s="11" t="s">
        <v>5881</v>
      </c>
      <c r="C5895" s="12">
        <v>21655.0</v>
      </c>
      <c r="D5895" s="11" t="str">
        <f t="shared" si="1"/>
        <v> </v>
      </c>
      <c r="E5895" s="11" t="str">
        <f t="shared" si="2"/>
        <v> </v>
      </c>
    </row>
    <row r="5896" ht="15.75" customHeight="1">
      <c r="A5896" s="11">
        <v>17741.0</v>
      </c>
      <c r="B5896" s="11" t="s">
        <v>808</v>
      </c>
      <c r="C5896" s="12">
        <v>25235.0</v>
      </c>
      <c r="D5896" s="11" t="str">
        <f t="shared" si="1"/>
        <v>Repeat</v>
      </c>
      <c r="E5896" s="11" t="str">
        <f t="shared" si="2"/>
        <v> </v>
      </c>
    </row>
    <row r="5897" ht="15.75" customHeight="1">
      <c r="A5897" s="11">
        <v>17743.0</v>
      </c>
      <c r="B5897" s="11" t="s">
        <v>5882</v>
      </c>
      <c r="C5897" s="12">
        <v>20087.0</v>
      </c>
      <c r="D5897" s="11" t="str">
        <f t="shared" si="1"/>
        <v> </v>
      </c>
      <c r="E5897" s="11" t="str">
        <f t="shared" si="2"/>
        <v> </v>
      </c>
    </row>
    <row r="5898" ht="15.75" customHeight="1">
      <c r="A5898" s="11">
        <v>17753.0</v>
      </c>
      <c r="B5898" s="11" t="s">
        <v>5883</v>
      </c>
      <c r="C5898" s="12">
        <v>35291.0</v>
      </c>
      <c r="D5898" s="11" t="str">
        <f t="shared" si="1"/>
        <v> </v>
      </c>
      <c r="E5898" s="11" t="str">
        <f t="shared" si="2"/>
        <v> </v>
      </c>
    </row>
    <row r="5899" ht="15.75" customHeight="1">
      <c r="A5899" s="11">
        <v>17763.0</v>
      </c>
      <c r="B5899" s="11" t="s">
        <v>5884</v>
      </c>
      <c r="C5899" s="12">
        <v>27224.0</v>
      </c>
      <c r="D5899" s="11" t="str">
        <f t="shared" si="1"/>
        <v> </v>
      </c>
      <c r="E5899" s="11" t="str">
        <f t="shared" si="2"/>
        <v> </v>
      </c>
    </row>
    <row r="5900" ht="15.75" customHeight="1">
      <c r="A5900" s="11">
        <v>17764.0</v>
      </c>
      <c r="B5900" s="11" t="s">
        <v>5885</v>
      </c>
      <c r="C5900" s="12">
        <v>15916.0</v>
      </c>
      <c r="D5900" s="11" t="str">
        <f t="shared" si="1"/>
        <v> </v>
      </c>
      <c r="E5900" s="11" t="str">
        <f t="shared" si="2"/>
        <v> </v>
      </c>
    </row>
    <row r="5901" ht="15.75" customHeight="1">
      <c r="A5901" s="11">
        <v>17773.0</v>
      </c>
      <c r="B5901" s="11" t="s">
        <v>5886</v>
      </c>
      <c r="C5901" s="12">
        <v>22591.0</v>
      </c>
      <c r="D5901" s="11" t="str">
        <f t="shared" si="1"/>
        <v> </v>
      </c>
      <c r="E5901" s="11" t="str">
        <f t="shared" si="2"/>
        <v> </v>
      </c>
    </row>
    <row r="5902" ht="15.75" customHeight="1">
      <c r="A5902" s="11">
        <v>17784.0</v>
      </c>
      <c r="B5902" s="11" t="s">
        <v>5887</v>
      </c>
      <c r="C5902" s="12">
        <v>22673.0</v>
      </c>
      <c r="D5902" s="11" t="str">
        <f t="shared" si="1"/>
        <v> </v>
      </c>
      <c r="E5902" s="11" t="str">
        <f t="shared" si="2"/>
        <v> </v>
      </c>
    </row>
    <row r="5903" ht="15.75" customHeight="1">
      <c r="A5903" s="11">
        <v>17800.0</v>
      </c>
      <c r="B5903" s="11" t="s">
        <v>5888</v>
      </c>
      <c r="C5903" s="12">
        <v>30848.0</v>
      </c>
      <c r="D5903" s="11" t="str">
        <f t="shared" si="1"/>
        <v> </v>
      </c>
      <c r="E5903" s="11" t="str">
        <f t="shared" si="2"/>
        <v>Repeat</v>
      </c>
    </row>
    <row r="5904" ht="15.75" customHeight="1">
      <c r="A5904" s="11">
        <v>17789.0</v>
      </c>
      <c r="B5904" s="11" t="s">
        <v>5889</v>
      </c>
      <c r="C5904" s="12">
        <v>22877.0</v>
      </c>
      <c r="D5904" s="11" t="str">
        <f t="shared" si="1"/>
        <v> </v>
      </c>
      <c r="E5904" s="11" t="str">
        <f t="shared" si="2"/>
        <v> </v>
      </c>
    </row>
    <row r="5905" ht="15.75" customHeight="1">
      <c r="A5905" s="11">
        <v>17801.0</v>
      </c>
      <c r="B5905" s="11" t="s">
        <v>5890</v>
      </c>
      <c r="C5905" s="12">
        <v>24106.0</v>
      </c>
      <c r="D5905" s="11" t="str">
        <f t="shared" si="1"/>
        <v> </v>
      </c>
      <c r="E5905" s="11" t="str">
        <f t="shared" si="2"/>
        <v> </v>
      </c>
    </row>
    <row r="5906" ht="15.75" customHeight="1">
      <c r="A5906" s="11">
        <v>17792.0</v>
      </c>
      <c r="B5906" s="11" t="s">
        <v>5891</v>
      </c>
      <c r="C5906" s="12">
        <v>31373.0</v>
      </c>
      <c r="D5906" s="11" t="str">
        <f t="shared" si="1"/>
        <v> </v>
      </c>
      <c r="E5906" s="11" t="str">
        <f t="shared" si="2"/>
        <v> </v>
      </c>
    </row>
    <row r="5907" ht="15.75" customHeight="1">
      <c r="A5907" s="11">
        <v>17518.0</v>
      </c>
      <c r="B5907" s="11" t="s">
        <v>5892</v>
      </c>
      <c r="C5907" s="12">
        <v>16752.0</v>
      </c>
      <c r="D5907" s="11" t="str">
        <f t="shared" si="1"/>
        <v> </v>
      </c>
      <c r="E5907" s="11" t="str">
        <f t="shared" si="2"/>
        <v>Repeat</v>
      </c>
    </row>
    <row r="5908" ht="15.75" customHeight="1">
      <c r="A5908" s="11">
        <v>17787.0</v>
      </c>
      <c r="B5908" s="11" t="s">
        <v>5893</v>
      </c>
      <c r="C5908" s="12">
        <v>17915.0</v>
      </c>
      <c r="D5908" s="11" t="str">
        <f t="shared" si="1"/>
        <v> </v>
      </c>
      <c r="E5908" s="11" t="str">
        <f t="shared" si="2"/>
        <v>Repeat</v>
      </c>
    </row>
    <row r="5909" ht="15.75" customHeight="1">
      <c r="A5909" s="11">
        <v>15994.0</v>
      </c>
      <c r="B5909" s="11" t="s">
        <v>5894</v>
      </c>
      <c r="C5909" s="12">
        <v>13335.0</v>
      </c>
      <c r="D5909" s="11" t="str">
        <f t="shared" si="1"/>
        <v> </v>
      </c>
      <c r="E5909" s="11" t="str">
        <f t="shared" si="2"/>
        <v>Repeat</v>
      </c>
    </row>
    <row r="5910" ht="15.75" customHeight="1">
      <c r="A5910" s="11">
        <v>17321.0</v>
      </c>
      <c r="B5910" s="11" t="s">
        <v>5895</v>
      </c>
      <c r="C5910" s="12">
        <v>19084.0</v>
      </c>
      <c r="D5910" s="11" t="str">
        <f t="shared" si="1"/>
        <v> </v>
      </c>
      <c r="E5910" s="11" t="str">
        <f t="shared" si="2"/>
        <v>Repeat</v>
      </c>
    </row>
    <row r="5911" ht="15.75" customHeight="1">
      <c r="A5911" s="11">
        <v>17213.0</v>
      </c>
      <c r="B5911" s="11" t="s">
        <v>5896</v>
      </c>
      <c r="C5911" s="12">
        <v>20559.0</v>
      </c>
      <c r="D5911" s="11" t="str">
        <f t="shared" si="1"/>
        <v> </v>
      </c>
      <c r="E5911" s="11" t="str">
        <f t="shared" si="2"/>
        <v>Repeat</v>
      </c>
    </row>
    <row r="5912" ht="15.75" customHeight="1">
      <c r="A5912" s="11">
        <v>16243.0</v>
      </c>
      <c r="B5912" s="11" t="s">
        <v>5897</v>
      </c>
      <c r="C5912" s="12">
        <v>16671.0</v>
      </c>
      <c r="D5912" s="11" t="str">
        <f t="shared" si="1"/>
        <v> </v>
      </c>
      <c r="E5912" s="11" t="str">
        <f t="shared" si="2"/>
        <v>Repeat</v>
      </c>
    </row>
    <row r="5913" ht="15.75" customHeight="1">
      <c r="A5913" s="11">
        <v>17242.0</v>
      </c>
      <c r="B5913" s="11" t="s">
        <v>5898</v>
      </c>
      <c r="C5913" s="12">
        <v>23320.0</v>
      </c>
      <c r="D5913" s="11" t="str">
        <f t="shared" si="1"/>
        <v> </v>
      </c>
      <c r="E5913" s="11" t="str">
        <f t="shared" si="2"/>
        <v>Repeat</v>
      </c>
    </row>
    <row r="5914" ht="15.75" customHeight="1">
      <c r="A5914" s="11">
        <v>17597.0</v>
      </c>
      <c r="B5914" s="11" t="s">
        <v>5899</v>
      </c>
      <c r="C5914" s="12">
        <v>21091.0</v>
      </c>
      <c r="D5914" s="11" t="str">
        <f t="shared" si="1"/>
        <v> </v>
      </c>
      <c r="E5914" s="11" t="str">
        <f t="shared" si="2"/>
        <v> </v>
      </c>
    </row>
    <row r="5915" ht="15.75" customHeight="1">
      <c r="A5915" s="11">
        <v>17572.0</v>
      </c>
      <c r="B5915" s="11" t="s">
        <v>5900</v>
      </c>
      <c r="C5915" s="12">
        <v>16338.0</v>
      </c>
      <c r="D5915" s="11" t="str">
        <f t="shared" si="1"/>
        <v> </v>
      </c>
      <c r="E5915" s="11" t="str">
        <f t="shared" si="2"/>
        <v> </v>
      </c>
    </row>
    <row r="5916" ht="15.75" customHeight="1">
      <c r="A5916" s="11">
        <v>17738.0</v>
      </c>
      <c r="B5916" s="11" t="s">
        <v>5901</v>
      </c>
      <c r="C5916" s="12">
        <v>24348.0</v>
      </c>
      <c r="D5916" s="11" t="str">
        <f t="shared" si="1"/>
        <v> </v>
      </c>
      <c r="E5916" s="11" t="str">
        <f t="shared" si="2"/>
        <v> </v>
      </c>
    </row>
    <row r="5917" ht="15.75" customHeight="1">
      <c r="A5917" s="11">
        <v>17777.0</v>
      </c>
      <c r="B5917" s="11" t="s">
        <v>5902</v>
      </c>
      <c r="C5917" s="12">
        <v>12674.0</v>
      </c>
      <c r="D5917" s="11" t="str">
        <f t="shared" si="1"/>
        <v> </v>
      </c>
      <c r="E5917" s="11" t="str">
        <f t="shared" si="2"/>
        <v> </v>
      </c>
    </row>
    <row r="5918" ht="15.75" customHeight="1">
      <c r="A5918" s="11">
        <v>17796.0</v>
      </c>
      <c r="B5918" s="11" t="s">
        <v>5903</v>
      </c>
      <c r="C5918" s="12">
        <v>10923.0</v>
      </c>
      <c r="D5918" s="11" t="str">
        <f t="shared" si="1"/>
        <v>Repeat</v>
      </c>
      <c r="E5918" s="11" t="str">
        <f t="shared" si="2"/>
        <v>Repeat</v>
      </c>
    </row>
    <row r="5919" ht="15.75" customHeight="1">
      <c r="A5919" s="11">
        <v>17797.0</v>
      </c>
      <c r="B5919" s="11" t="s">
        <v>5904</v>
      </c>
      <c r="C5919" s="12">
        <v>17814.0</v>
      </c>
      <c r="D5919" s="11" t="str">
        <f t="shared" si="1"/>
        <v> </v>
      </c>
      <c r="E5919" s="11" t="str">
        <f t="shared" si="2"/>
        <v> </v>
      </c>
    </row>
    <row r="5920" ht="15.75" customHeight="1">
      <c r="A5920" s="11">
        <v>13733.0</v>
      </c>
      <c r="B5920" s="11" t="s">
        <v>5905</v>
      </c>
      <c r="C5920" s="12">
        <v>24461.0</v>
      </c>
      <c r="D5920" s="11" t="str">
        <f t="shared" si="1"/>
        <v> </v>
      </c>
      <c r="E5920" s="11" t="str">
        <f t="shared" si="2"/>
        <v>Repeat</v>
      </c>
    </row>
    <row r="5921" ht="15.75" customHeight="1">
      <c r="A5921" s="11">
        <v>17805.0</v>
      </c>
      <c r="B5921" s="11" t="s">
        <v>5906</v>
      </c>
      <c r="C5921" s="12">
        <v>13984.0</v>
      </c>
      <c r="D5921" s="11" t="str">
        <f t="shared" si="1"/>
        <v> </v>
      </c>
      <c r="E5921" s="11" t="str">
        <f t="shared" si="2"/>
        <v> </v>
      </c>
    </row>
    <row r="5922" ht="15.75" customHeight="1">
      <c r="A5922" s="11">
        <v>17778.0</v>
      </c>
      <c r="B5922" s="11" t="s">
        <v>5907</v>
      </c>
      <c r="C5922" s="12">
        <v>19156.0</v>
      </c>
      <c r="D5922" s="11" t="str">
        <f t="shared" si="1"/>
        <v> </v>
      </c>
      <c r="E5922" s="11" t="str">
        <f t="shared" si="2"/>
        <v> </v>
      </c>
    </row>
    <row r="5923" ht="15.75" customHeight="1">
      <c r="A5923" s="11">
        <v>17719.0</v>
      </c>
      <c r="B5923" s="11" t="s">
        <v>5908</v>
      </c>
      <c r="C5923" s="12">
        <v>16470.0</v>
      </c>
      <c r="D5923" s="11" t="str">
        <f t="shared" si="1"/>
        <v> </v>
      </c>
      <c r="E5923" s="11" t="str">
        <f t="shared" si="2"/>
        <v> </v>
      </c>
    </row>
    <row r="5924" ht="15.75" customHeight="1">
      <c r="A5924" s="11">
        <v>17782.0</v>
      </c>
      <c r="B5924" s="11" t="s">
        <v>5909</v>
      </c>
      <c r="C5924" s="12">
        <v>14015.0</v>
      </c>
      <c r="D5924" s="11" t="str">
        <f t="shared" si="1"/>
        <v> </v>
      </c>
      <c r="E5924" s="11" t="str">
        <f t="shared" si="2"/>
        <v>Repeat</v>
      </c>
    </row>
    <row r="5925" ht="15.75" customHeight="1">
      <c r="A5925" s="11">
        <v>17806.0</v>
      </c>
      <c r="B5925" s="11" t="s">
        <v>5910</v>
      </c>
      <c r="C5925" s="12">
        <v>17363.0</v>
      </c>
      <c r="D5925" s="11" t="str">
        <f t="shared" si="1"/>
        <v> </v>
      </c>
      <c r="E5925" s="11" t="str">
        <f t="shared" si="2"/>
        <v>Repeat</v>
      </c>
    </row>
    <row r="5926" ht="15.75" customHeight="1">
      <c r="A5926" s="11">
        <v>17783.0</v>
      </c>
      <c r="B5926" s="11" t="s">
        <v>5911</v>
      </c>
      <c r="C5926" s="12">
        <v>20855.0</v>
      </c>
      <c r="D5926" s="11" t="str">
        <f t="shared" si="1"/>
        <v> </v>
      </c>
      <c r="E5926" s="11" t="str">
        <f t="shared" si="2"/>
        <v> </v>
      </c>
    </row>
    <row r="5927" ht="15.75" customHeight="1">
      <c r="A5927" s="11">
        <v>17765.0</v>
      </c>
      <c r="B5927" s="11" t="s">
        <v>5912</v>
      </c>
      <c r="C5927" s="12">
        <v>14661.0</v>
      </c>
      <c r="D5927" s="11" t="str">
        <f t="shared" si="1"/>
        <v> </v>
      </c>
      <c r="E5927" s="11" t="str">
        <f t="shared" si="2"/>
        <v> </v>
      </c>
    </row>
    <row r="5928" ht="15.75" customHeight="1">
      <c r="A5928" s="11">
        <v>17808.0</v>
      </c>
      <c r="B5928" s="11" t="s">
        <v>5913</v>
      </c>
      <c r="C5928" s="12">
        <v>33764.0</v>
      </c>
      <c r="D5928" s="11" t="str">
        <f t="shared" si="1"/>
        <v> </v>
      </c>
      <c r="E5928" s="11" t="str">
        <f t="shared" si="2"/>
        <v> </v>
      </c>
    </row>
    <row r="5929" ht="15.75" customHeight="1">
      <c r="A5929" s="11">
        <v>16599.0</v>
      </c>
      <c r="B5929" s="11" t="s">
        <v>5914</v>
      </c>
      <c r="C5929" s="12">
        <v>20468.0</v>
      </c>
      <c r="D5929" s="11" t="str">
        <f t="shared" si="1"/>
        <v> </v>
      </c>
      <c r="E5929" s="11" t="str">
        <f t="shared" si="2"/>
        <v>Repeat</v>
      </c>
    </row>
    <row r="5930" ht="15.75" customHeight="1">
      <c r="A5930" s="11">
        <v>17504.0</v>
      </c>
      <c r="B5930" s="11" t="s">
        <v>5915</v>
      </c>
      <c r="C5930" s="12">
        <v>23663.0</v>
      </c>
      <c r="D5930" s="11" t="str">
        <f t="shared" si="1"/>
        <v> </v>
      </c>
      <c r="E5930" s="11" t="str">
        <f t="shared" si="2"/>
        <v>Repeat</v>
      </c>
    </row>
    <row r="5931" ht="15.75" customHeight="1">
      <c r="A5931" s="11">
        <v>17555.0</v>
      </c>
      <c r="B5931" s="11" t="s">
        <v>5916</v>
      </c>
      <c r="C5931" s="12">
        <v>19669.0</v>
      </c>
      <c r="D5931" s="11" t="str">
        <f t="shared" si="1"/>
        <v> </v>
      </c>
      <c r="E5931" s="11" t="str">
        <f t="shared" si="2"/>
        <v>Repeat</v>
      </c>
    </row>
    <row r="5932" ht="15.75" customHeight="1">
      <c r="A5932" s="11">
        <v>16832.0</v>
      </c>
      <c r="B5932" s="11" t="s">
        <v>5917</v>
      </c>
      <c r="C5932" s="12">
        <v>25336.0</v>
      </c>
      <c r="D5932" s="11" t="str">
        <f t="shared" si="1"/>
        <v> </v>
      </c>
      <c r="E5932" s="11" t="str">
        <f t="shared" si="2"/>
        <v>Repeat</v>
      </c>
    </row>
    <row r="5933" ht="15.75" customHeight="1">
      <c r="A5933" s="11">
        <v>17393.0</v>
      </c>
      <c r="B5933" s="11" t="s">
        <v>5918</v>
      </c>
      <c r="C5933" s="12">
        <v>21177.0</v>
      </c>
      <c r="D5933" s="11" t="str">
        <f t="shared" si="1"/>
        <v> </v>
      </c>
      <c r="E5933" s="11" t="str">
        <f t="shared" si="2"/>
        <v>Repeat</v>
      </c>
    </row>
    <row r="5934" ht="15.75" customHeight="1">
      <c r="A5934" s="11">
        <v>17816.0</v>
      </c>
      <c r="B5934" s="11" t="s">
        <v>5919</v>
      </c>
      <c r="C5934" s="12">
        <v>28990.0</v>
      </c>
      <c r="D5934" s="11" t="str">
        <f t="shared" si="1"/>
        <v>Repeat</v>
      </c>
      <c r="E5934" s="11" t="str">
        <f t="shared" si="2"/>
        <v> </v>
      </c>
    </row>
    <row r="5935" ht="15.75" customHeight="1">
      <c r="A5935" s="11">
        <v>17817.0</v>
      </c>
      <c r="B5935" s="11" t="s">
        <v>5920</v>
      </c>
      <c r="C5935" s="12">
        <v>18940.0</v>
      </c>
      <c r="D5935" s="11" t="str">
        <f t="shared" si="1"/>
        <v> </v>
      </c>
      <c r="E5935" s="11" t="str">
        <f t="shared" si="2"/>
        <v> </v>
      </c>
    </row>
    <row r="5936" ht="15.75" customHeight="1">
      <c r="A5936" s="11">
        <v>17818.0</v>
      </c>
      <c r="B5936" s="11" t="s">
        <v>5921</v>
      </c>
      <c r="C5936" s="12">
        <v>18630.0</v>
      </c>
      <c r="D5936" s="11" t="str">
        <f t="shared" si="1"/>
        <v> </v>
      </c>
      <c r="E5936" s="11" t="str">
        <f t="shared" si="2"/>
        <v> </v>
      </c>
    </row>
    <row r="5937" ht="15.75" customHeight="1">
      <c r="A5937" s="11" t="s">
        <v>5922</v>
      </c>
      <c r="B5937" s="11" t="s">
        <v>3137</v>
      </c>
      <c r="C5937" s="12">
        <v>18872.0</v>
      </c>
      <c r="D5937" s="11" t="str">
        <f t="shared" si="1"/>
        <v>Repeat</v>
      </c>
      <c r="E5937" s="11" t="str">
        <f t="shared" si="2"/>
        <v> </v>
      </c>
    </row>
    <row r="5938" ht="15.75" customHeight="1">
      <c r="A5938" s="11">
        <v>10873.0</v>
      </c>
      <c r="B5938" s="11" t="s">
        <v>707</v>
      </c>
      <c r="C5938" s="12">
        <v>45478.0</v>
      </c>
      <c r="D5938" s="11" t="str">
        <f t="shared" si="1"/>
        <v>Repeat</v>
      </c>
      <c r="E5938" s="11" t="str">
        <f t="shared" si="2"/>
        <v>Repeat</v>
      </c>
    </row>
    <row r="5939" ht="15.75" customHeight="1">
      <c r="A5939" s="11">
        <v>17694.0</v>
      </c>
      <c r="B5939" s="11" t="s">
        <v>5923</v>
      </c>
      <c r="C5939" s="12">
        <v>23052.0</v>
      </c>
      <c r="D5939" s="11" t="str">
        <f t="shared" si="1"/>
        <v> </v>
      </c>
      <c r="E5939" s="11" t="str">
        <f t="shared" si="2"/>
        <v> </v>
      </c>
    </row>
    <row r="5940" ht="15.75" customHeight="1">
      <c r="A5940" s="11">
        <v>17272.0</v>
      </c>
      <c r="B5940" s="11" t="s">
        <v>5924</v>
      </c>
      <c r="C5940" s="12">
        <v>15370.0</v>
      </c>
      <c r="D5940" s="11" t="str">
        <f t="shared" si="1"/>
        <v> </v>
      </c>
      <c r="E5940" s="11" t="str">
        <f t="shared" si="2"/>
        <v>Repeat</v>
      </c>
    </row>
    <row r="5941" ht="15.75" customHeight="1">
      <c r="A5941" s="11">
        <v>17521.0</v>
      </c>
      <c r="B5941" s="11" t="s">
        <v>5925</v>
      </c>
      <c r="C5941" s="12">
        <v>20941.0</v>
      </c>
      <c r="D5941" s="11" t="str">
        <f t="shared" si="1"/>
        <v> </v>
      </c>
      <c r="E5941" s="11" t="str">
        <f t="shared" si="2"/>
        <v>Repeat</v>
      </c>
    </row>
    <row r="5942" ht="15.75" customHeight="1">
      <c r="A5942" s="11">
        <v>17733.0</v>
      </c>
      <c r="B5942" s="11" t="s">
        <v>5926</v>
      </c>
      <c r="C5942" s="12">
        <v>22321.0</v>
      </c>
      <c r="D5942" s="11" t="str">
        <f t="shared" si="1"/>
        <v> </v>
      </c>
      <c r="E5942" s="11" t="str">
        <f t="shared" si="2"/>
        <v> </v>
      </c>
    </row>
    <row r="5943" ht="15.75" customHeight="1">
      <c r="A5943" s="11">
        <v>17744.0</v>
      </c>
      <c r="B5943" s="11" t="s">
        <v>5927</v>
      </c>
      <c r="C5943" s="12">
        <v>25802.0</v>
      </c>
      <c r="D5943" s="11" t="str">
        <f t="shared" si="1"/>
        <v>Repeat</v>
      </c>
      <c r="E5943" s="11" t="str">
        <f t="shared" si="2"/>
        <v>Repeat</v>
      </c>
    </row>
    <row r="5944" ht="15.75" customHeight="1">
      <c r="A5944" s="11">
        <v>17698.0</v>
      </c>
      <c r="B5944" s="11" t="s">
        <v>5928</v>
      </c>
      <c r="C5944" s="12">
        <v>27227.0</v>
      </c>
      <c r="D5944" s="11" t="str">
        <f t="shared" si="1"/>
        <v> </v>
      </c>
      <c r="E5944" s="11" t="str">
        <f t="shared" si="2"/>
        <v> </v>
      </c>
    </row>
    <row r="5945" ht="15.75" customHeight="1">
      <c r="A5945" s="11">
        <v>17776.0</v>
      </c>
      <c r="B5945" s="11" t="s">
        <v>5929</v>
      </c>
      <c r="C5945" s="12">
        <v>18257.0</v>
      </c>
      <c r="D5945" s="11" t="str">
        <f t="shared" si="1"/>
        <v> </v>
      </c>
      <c r="E5945" s="11" t="str">
        <f t="shared" si="2"/>
        <v> </v>
      </c>
    </row>
    <row r="5946" ht="15.75" customHeight="1">
      <c r="A5946" s="11">
        <v>17779.0</v>
      </c>
      <c r="B5946" s="11" t="s">
        <v>5930</v>
      </c>
      <c r="C5946" s="12">
        <v>30087.0</v>
      </c>
      <c r="D5946" s="11" t="str">
        <f t="shared" si="1"/>
        <v> </v>
      </c>
      <c r="E5946" s="11" t="str">
        <f t="shared" si="2"/>
        <v> </v>
      </c>
    </row>
    <row r="5947" ht="15.75" customHeight="1">
      <c r="A5947" s="11">
        <v>17781.0</v>
      </c>
      <c r="B5947" s="11" t="s">
        <v>5389</v>
      </c>
      <c r="C5947" s="12">
        <v>26061.0</v>
      </c>
      <c r="D5947" s="11" t="str">
        <f t="shared" si="1"/>
        <v>Repeat</v>
      </c>
      <c r="E5947" s="11" t="str">
        <f t="shared" si="2"/>
        <v> </v>
      </c>
    </row>
    <row r="5948" ht="15.75" customHeight="1">
      <c r="A5948" s="11">
        <v>17678.0</v>
      </c>
      <c r="B5948" s="11" t="s">
        <v>5931</v>
      </c>
      <c r="C5948" s="12">
        <v>16948.0</v>
      </c>
      <c r="D5948" s="11" t="str">
        <f t="shared" si="1"/>
        <v> </v>
      </c>
      <c r="E5948" s="11" t="str">
        <f t="shared" si="2"/>
        <v> </v>
      </c>
    </row>
    <row r="5949" ht="15.75" customHeight="1">
      <c r="A5949" s="11">
        <v>17379.0</v>
      </c>
      <c r="B5949" s="11" t="s">
        <v>5932</v>
      </c>
      <c r="C5949" s="12">
        <v>25124.0</v>
      </c>
      <c r="D5949" s="11" t="str">
        <f t="shared" si="1"/>
        <v> </v>
      </c>
      <c r="E5949" s="11" t="str">
        <f t="shared" si="2"/>
        <v> </v>
      </c>
    </row>
    <row r="5950" ht="15.75" customHeight="1">
      <c r="A5950" s="11">
        <v>17785.0</v>
      </c>
      <c r="B5950" s="11" t="s">
        <v>5933</v>
      </c>
      <c r="C5950" s="12">
        <v>18287.0</v>
      </c>
      <c r="D5950" s="11" t="str">
        <f t="shared" si="1"/>
        <v> </v>
      </c>
      <c r="E5950" s="11" t="str">
        <f t="shared" si="2"/>
        <v> </v>
      </c>
    </row>
    <row r="5951" ht="15.75" customHeight="1">
      <c r="A5951" s="11">
        <v>17658.0</v>
      </c>
      <c r="B5951" s="11" t="s">
        <v>5934</v>
      </c>
      <c r="C5951" s="12">
        <v>22123.0</v>
      </c>
      <c r="D5951" s="11" t="str">
        <f t="shared" si="1"/>
        <v> </v>
      </c>
      <c r="E5951" s="11" t="str">
        <f t="shared" si="2"/>
        <v> </v>
      </c>
    </row>
    <row r="5952" ht="15.75" customHeight="1">
      <c r="A5952" s="11">
        <v>17799.0</v>
      </c>
      <c r="B5952" s="11" t="s">
        <v>5935</v>
      </c>
      <c r="C5952" s="12">
        <v>24580.0</v>
      </c>
      <c r="D5952" s="11" t="str">
        <f t="shared" si="1"/>
        <v> </v>
      </c>
      <c r="E5952" s="11" t="str">
        <f t="shared" si="2"/>
        <v> </v>
      </c>
    </row>
    <row r="5953" ht="15.75" customHeight="1">
      <c r="A5953" s="11">
        <v>9592.0</v>
      </c>
      <c r="B5953" s="11" t="s">
        <v>5936</v>
      </c>
      <c r="C5953" s="12">
        <v>20695.0</v>
      </c>
      <c r="D5953" s="11" t="str">
        <f t="shared" si="1"/>
        <v> </v>
      </c>
      <c r="E5953" s="11" t="str">
        <f t="shared" si="2"/>
        <v> </v>
      </c>
    </row>
    <row r="5954" ht="15.75" customHeight="1">
      <c r="A5954" s="11">
        <v>17812.0</v>
      </c>
      <c r="B5954" s="11" t="s">
        <v>5937</v>
      </c>
      <c r="C5954" s="12">
        <v>21219.0</v>
      </c>
      <c r="D5954" s="11" t="str">
        <f t="shared" si="1"/>
        <v> </v>
      </c>
      <c r="E5954" s="11" t="str">
        <f t="shared" si="2"/>
        <v> </v>
      </c>
    </row>
    <row r="5955" ht="15.75" customHeight="1">
      <c r="A5955" s="11">
        <v>17814.0</v>
      </c>
      <c r="B5955" s="11" t="s">
        <v>5938</v>
      </c>
      <c r="C5955" s="12">
        <v>27895.0</v>
      </c>
      <c r="D5955" s="11" t="str">
        <f t="shared" si="1"/>
        <v> </v>
      </c>
      <c r="E5955" s="11" t="str">
        <f t="shared" si="2"/>
        <v> </v>
      </c>
    </row>
    <row r="5956" ht="15.75" customHeight="1">
      <c r="A5956" s="11">
        <v>17823.0</v>
      </c>
      <c r="B5956" s="11" t="s">
        <v>5939</v>
      </c>
      <c r="C5956" s="12">
        <v>26239.0</v>
      </c>
      <c r="D5956" s="11" t="str">
        <f t="shared" si="1"/>
        <v> </v>
      </c>
      <c r="E5956" s="11" t="str">
        <f t="shared" si="2"/>
        <v> </v>
      </c>
    </row>
    <row r="5957" ht="15.75" customHeight="1">
      <c r="A5957" s="11">
        <v>16863.0</v>
      </c>
      <c r="B5957" s="11" t="s">
        <v>5013</v>
      </c>
      <c r="C5957" s="12">
        <v>27111.0</v>
      </c>
      <c r="D5957" s="11" t="str">
        <f t="shared" si="1"/>
        <v>Repeat</v>
      </c>
      <c r="E5957" s="11" t="str">
        <f t="shared" si="2"/>
        <v>Repeat</v>
      </c>
    </row>
    <row r="5958" ht="15.75" customHeight="1">
      <c r="A5958" s="11">
        <v>17368.0</v>
      </c>
      <c r="B5958" s="11" t="s">
        <v>5940</v>
      </c>
      <c r="C5958" s="12">
        <v>15464.0</v>
      </c>
      <c r="D5958" s="11" t="str">
        <f t="shared" si="1"/>
        <v> </v>
      </c>
      <c r="E5958" s="11" t="str">
        <f t="shared" si="2"/>
        <v>Repeat</v>
      </c>
    </row>
    <row r="5959" ht="15.75" customHeight="1">
      <c r="A5959" s="11">
        <v>17472.0</v>
      </c>
      <c r="B5959" s="11" t="s">
        <v>5941</v>
      </c>
      <c r="C5959" s="12">
        <v>23857.0</v>
      </c>
      <c r="D5959" s="11" t="str">
        <f t="shared" si="1"/>
        <v> </v>
      </c>
      <c r="E5959" s="11" t="str">
        <f t="shared" si="2"/>
        <v>Repeat</v>
      </c>
    </row>
    <row r="5960" ht="15.75" customHeight="1">
      <c r="A5960" s="11">
        <v>17675.0</v>
      </c>
      <c r="B5960" s="11" t="s">
        <v>5942</v>
      </c>
      <c r="C5960" s="12">
        <v>15429.0</v>
      </c>
      <c r="D5960" s="11" t="str">
        <f t="shared" si="1"/>
        <v> </v>
      </c>
      <c r="E5960" s="11" t="str">
        <f t="shared" si="2"/>
        <v>Repeat</v>
      </c>
    </row>
    <row r="5961" ht="15.75" customHeight="1">
      <c r="A5961" s="11">
        <v>17008.0</v>
      </c>
      <c r="B5961" s="11" t="s">
        <v>5943</v>
      </c>
      <c r="C5961" s="12">
        <v>27220.0</v>
      </c>
      <c r="D5961" s="11" t="str">
        <f t="shared" si="1"/>
        <v> </v>
      </c>
      <c r="E5961" s="11" t="str">
        <f t="shared" si="2"/>
        <v>Repeat</v>
      </c>
    </row>
    <row r="5962" ht="15.75" customHeight="1">
      <c r="A5962" s="11">
        <v>17412.0</v>
      </c>
      <c r="B5962" s="11" t="s">
        <v>5944</v>
      </c>
      <c r="C5962" s="12">
        <v>21695.0</v>
      </c>
      <c r="D5962" s="11" t="str">
        <f t="shared" si="1"/>
        <v> </v>
      </c>
      <c r="E5962" s="11" t="str">
        <f t="shared" si="2"/>
        <v> </v>
      </c>
    </row>
    <row r="5963" ht="15.75" customHeight="1">
      <c r="A5963" s="11">
        <v>17795.0</v>
      </c>
      <c r="B5963" s="11" t="s">
        <v>5945</v>
      </c>
      <c r="C5963" s="12">
        <v>27896.0</v>
      </c>
      <c r="D5963" s="11" t="str">
        <f t="shared" si="1"/>
        <v> </v>
      </c>
      <c r="E5963" s="11" t="str">
        <f t="shared" si="2"/>
        <v> </v>
      </c>
    </row>
    <row r="5964" ht="15.75" customHeight="1">
      <c r="A5964" s="11">
        <v>17802.0</v>
      </c>
      <c r="B5964" s="11" t="s">
        <v>5946</v>
      </c>
      <c r="C5964" s="12">
        <v>17369.0</v>
      </c>
      <c r="D5964" s="11" t="str">
        <f t="shared" si="1"/>
        <v> </v>
      </c>
      <c r="E5964" s="11" t="str">
        <f t="shared" si="2"/>
        <v> </v>
      </c>
    </row>
    <row r="5965" ht="15.75" customHeight="1">
      <c r="A5965" s="11">
        <v>17788.0</v>
      </c>
      <c r="B5965" s="11" t="s">
        <v>5947</v>
      </c>
      <c r="C5965" s="12">
        <v>11506.0</v>
      </c>
      <c r="D5965" s="11" t="str">
        <f t="shared" si="1"/>
        <v> </v>
      </c>
      <c r="E5965" s="11" t="str">
        <f t="shared" si="2"/>
        <v>Repeat</v>
      </c>
    </row>
    <row r="5966" ht="15.75" customHeight="1">
      <c r="A5966" s="11">
        <v>17807.0</v>
      </c>
      <c r="B5966" s="11" t="s">
        <v>5948</v>
      </c>
      <c r="C5966" s="12">
        <v>27578.0</v>
      </c>
      <c r="D5966" s="11" t="str">
        <f t="shared" si="1"/>
        <v> </v>
      </c>
      <c r="E5966" s="11" t="str">
        <f t="shared" si="2"/>
        <v> </v>
      </c>
    </row>
    <row r="5967" ht="15.75" customHeight="1">
      <c r="A5967" s="11">
        <v>17815.0</v>
      </c>
      <c r="B5967" s="11" t="s">
        <v>5949</v>
      </c>
      <c r="C5967" s="12">
        <v>26567.0</v>
      </c>
      <c r="D5967" s="11" t="str">
        <f t="shared" si="1"/>
        <v> </v>
      </c>
      <c r="E5967" s="11" t="str">
        <f t="shared" si="2"/>
        <v> </v>
      </c>
    </row>
    <row r="5968" ht="15.75" customHeight="1">
      <c r="A5968" s="11">
        <v>16527.0</v>
      </c>
      <c r="B5968" s="11" t="s">
        <v>5950</v>
      </c>
      <c r="C5968" s="12">
        <v>22233.0</v>
      </c>
      <c r="D5968" s="11" t="str">
        <f t="shared" si="1"/>
        <v> </v>
      </c>
      <c r="E5968" s="11" t="str">
        <f t="shared" si="2"/>
        <v>Repeat</v>
      </c>
    </row>
    <row r="5969" ht="15.75" customHeight="1">
      <c r="A5969" s="11">
        <v>17826.0</v>
      </c>
      <c r="B5969" s="11" t="s">
        <v>5951</v>
      </c>
      <c r="C5969" s="12">
        <v>23296.0</v>
      </c>
      <c r="D5969" s="11" t="str">
        <f t="shared" si="1"/>
        <v> </v>
      </c>
      <c r="E5969" s="11" t="str">
        <f t="shared" si="2"/>
        <v> </v>
      </c>
    </row>
    <row r="5970" ht="15.75" customHeight="1">
      <c r="A5970" s="11">
        <v>17106.0</v>
      </c>
      <c r="B5970" s="11" t="s">
        <v>5952</v>
      </c>
      <c r="C5970" s="12">
        <v>11696.0</v>
      </c>
      <c r="D5970" s="11" t="str">
        <f t="shared" si="1"/>
        <v> </v>
      </c>
      <c r="E5970" s="11" t="str">
        <f t="shared" si="2"/>
        <v>Repeat</v>
      </c>
    </row>
    <row r="5971" ht="15.75" customHeight="1">
      <c r="A5971" s="11">
        <v>17642.0</v>
      </c>
      <c r="B5971" s="11" t="s">
        <v>5953</v>
      </c>
      <c r="C5971" s="12">
        <v>47017.0</v>
      </c>
      <c r="D5971" s="11" t="str">
        <f t="shared" si="1"/>
        <v> </v>
      </c>
      <c r="E5971" s="11" t="str">
        <f t="shared" si="2"/>
        <v>Repeat</v>
      </c>
    </row>
    <row r="5972" ht="15.75" customHeight="1">
      <c r="A5972" s="11">
        <v>17186.0</v>
      </c>
      <c r="B5972" s="11" t="s">
        <v>5954</v>
      </c>
      <c r="C5972" s="12">
        <v>32887.0</v>
      </c>
      <c r="D5972" s="11" t="str">
        <f t="shared" si="1"/>
        <v> </v>
      </c>
      <c r="E5972" s="11" t="str">
        <f t="shared" si="2"/>
        <v>Repeat</v>
      </c>
    </row>
    <row r="5973" ht="15.75" customHeight="1">
      <c r="A5973" s="11">
        <v>16871.0</v>
      </c>
      <c r="B5973" s="11" t="s">
        <v>5955</v>
      </c>
      <c r="C5973" s="12">
        <v>19460.0</v>
      </c>
      <c r="D5973" s="11" t="str">
        <f t="shared" si="1"/>
        <v> </v>
      </c>
      <c r="E5973" s="11" t="str">
        <f t="shared" si="2"/>
        <v>Repeat</v>
      </c>
    </row>
    <row r="5974" ht="15.75" customHeight="1">
      <c r="A5974" s="11">
        <v>17737.0</v>
      </c>
      <c r="B5974" s="11" t="s">
        <v>5956</v>
      </c>
      <c r="C5974" s="12">
        <v>20591.0</v>
      </c>
      <c r="D5974" s="11" t="str">
        <f t="shared" si="1"/>
        <v> </v>
      </c>
      <c r="E5974" s="11" t="str">
        <f t="shared" si="2"/>
        <v>Repeat</v>
      </c>
    </row>
    <row r="5975" ht="15.75" customHeight="1">
      <c r="A5975" s="11">
        <v>17760.0</v>
      </c>
      <c r="B5975" s="11" t="s">
        <v>5957</v>
      </c>
      <c r="C5975" s="12">
        <v>23841.0</v>
      </c>
      <c r="D5975" s="11" t="str">
        <f t="shared" si="1"/>
        <v> </v>
      </c>
      <c r="E5975" s="11" t="str">
        <f t="shared" si="2"/>
        <v> </v>
      </c>
    </row>
    <row r="5976" ht="15.75" customHeight="1">
      <c r="A5976" s="11">
        <v>17824.0</v>
      </c>
      <c r="B5976" s="11" t="s">
        <v>5958</v>
      </c>
      <c r="C5976" s="12">
        <v>34075.0</v>
      </c>
      <c r="D5976" s="11" t="str">
        <f t="shared" si="1"/>
        <v> </v>
      </c>
      <c r="E5976" s="11" t="str">
        <f t="shared" si="2"/>
        <v> </v>
      </c>
    </row>
    <row r="5977" ht="15.75" customHeight="1">
      <c r="A5977" s="11">
        <v>15556.0</v>
      </c>
      <c r="B5977" s="11" t="s">
        <v>5959</v>
      </c>
      <c r="C5977" s="12">
        <v>12814.0</v>
      </c>
      <c r="D5977" s="11" t="str">
        <f t="shared" si="1"/>
        <v> </v>
      </c>
      <c r="E5977" s="11" t="str">
        <f t="shared" si="2"/>
        <v>Repeat</v>
      </c>
    </row>
    <row r="5978" ht="15.75" customHeight="1">
      <c r="A5978" s="11">
        <v>16039.0</v>
      </c>
      <c r="B5978" s="11" t="s">
        <v>5960</v>
      </c>
      <c r="C5978" s="12">
        <v>23742.0</v>
      </c>
      <c r="D5978" s="11" t="str">
        <f t="shared" si="1"/>
        <v> </v>
      </c>
      <c r="E5978" s="11" t="str">
        <f t="shared" si="2"/>
        <v>Repeat</v>
      </c>
    </row>
    <row r="5979" ht="15.75" customHeight="1">
      <c r="A5979" s="11">
        <v>17796.0</v>
      </c>
      <c r="B5979" s="11" t="s">
        <v>5903</v>
      </c>
      <c r="C5979" s="12">
        <v>47448.0</v>
      </c>
      <c r="D5979" s="11" t="str">
        <f t="shared" si="1"/>
        <v>Repeat</v>
      </c>
      <c r="E5979" s="11" t="str">
        <f t="shared" si="2"/>
        <v>Repeat</v>
      </c>
    </row>
    <row r="5980" ht="15.75" customHeight="1">
      <c r="A5980" s="11">
        <v>17788.0</v>
      </c>
      <c r="B5980" s="11" t="s">
        <v>5961</v>
      </c>
      <c r="C5980" s="12">
        <v>11506.0</v>
      </c>
      <c r="D5980" s="11" t="str">
        <f t="shared" si="1"/>
        <v> </v>
      </c>
      <c r="E5980" s="11" t="str">
        <f t="shared" si="2"/>
        <v>Repeat</v>
      </c>
    </row>
    <row r="5981" ht="15.75" customHeight="1">
      <c r="A5981" s="11">
        <v>17098.0</v>
      </c>
      <c r="B5981" s="11" t="s">
        <v>5200</v>
      </c>
      <c r="C5981" s="12">
        <v>47296.0</v>
      </c>
      <c r="D5981" s="11" t="str">
        <f t="shared" si="1"/>
        <v>Repeat</v>
      </c>
      <c r="E5981" s="11" t="str">
        <f t="shared" si="2"/>
        <v>Repeat</v>
      </c>
    </row>
    <row r="5982" ht="15.75" customHeight="1">
      <c r="A5982" s="11">
        <v>13604.0</v>
      </c>
      <c r="B5982" s="11" t="s">
        <v>5670</v>
      </c>
      <c r="C5982" s="12">
        <v>24561.0</v>
      </c>
      <c r="D5982" s="11" t="str">
        <f t="shared" si="1"/>
        <v>Repeat</v>
      </c>
      <c r="E5982" s="11" t="str">
        <f t="shared" si="2"/>
        <v> </v>
      </c>
    </row>
    <row r="5983" ht="15.75" customHeight="1">
      <c r="A5983" s="11">
        <v>17843.0</v>
      </c>
      <c r="B5983" s="11" t="s">
        <v>5962</v>
      </c>
      <c r="C5983" s="12">
        <v>36148.0</v>
      </c>
      <c r="D5983" s="11" t="str">
        <f t="shared" si="1"/>
        <v> </v>
      </c>
      <c r="E5983" s="11" t="str">
        <f t="shared" si="2"/>
        <v> </v>
      </c>
    </row>
    <row r="5984" ht="15.75" customHeight="1">
      <c r="A5984" s="11">
        <v>17461.0</v>
      </c>
      <c r="B5984" s="11" t="s">
        <v>5963</v>
      </c>
      <c r="C5984" s="12">
        <v>27036.0</v>
      </c>
      <c r="D5984" s="11" t="str">
        <f t="shared" si="1"/>
        <v> </v>
      </c>
      <c r="E5984" s="11" t="str">
        <f t="shared" si="2"/>
        <v>Repeat</v>
      </c>
    </row>
    <row r="5985" ht="15.75" customHeight="1">
      <c r="A5985" s="11">
        <v>17622.0</v>
      </c>
      <c r="B5985" s="11" t="s">
        <v>5589</v>
      </c>
      <c r="C5985" s="12">
        <v>25548.0</v>
      </c>
      <c r="D5985" s="11" t="str">
        <f t="shared" si="1"/>
        <v>Repeat</v>
      </c>
      <c r="E5985" s="11" t="str">
        <f t="shared" si="2"/>
        <v>Repeat</v>
      </c>
    </row>
    <row r="5986" ht="15.75" customHeight="1">
      <c r="A5986" s="11">
        <v>17469.0</v>
      </c>
      <c r="B5986" s="11" t="s">
        <v>5964</v>
      </c>
      <c r="C5986" s="12">
        <v>24017.0</v>
      </c>
      <c r="D5986" s="11" t="str">
        <f t="shared" si="1"/>
        <v> </v>
      </c>
      <c r="E5986" s="11" t="str">
        <f t="shared" si="2"/>
        <v>Repeat</v>
      </c>
    </row>
    <row r="5987" ht="15.75" customHeight="1">
      <c r="A5987" s="11">
        <v>17119.0</v>
      </c>
      <c r="B5987" s="11" t="s">
        <v>5965</v>
      </c>
      <c r="C5987" s="12">
        <v>22189.0</v>
      </c>
      <c r="D5987" s="11" t="str">
        <f t="shared" si="1"/>
        <v> </v>
      </c>
      <c r="E5987" s="11" t="str">
        <f t="shared" si="2"/>
        <v>Repeat</v>
      </c>
    </row>
    <row r="5988" ht="15.75" customHeight="1">
      <c r="A5988" s="11">
        <v>17613.0</v>
      </c>
      <c r="B5988" s="11" t="s">
        <v>5966</v>
      </c>
      <c r="C5988" s="12">
        <v>23779.0</v>
      </c>
      <c r="D5988" s="11" t="str">
        <f t="shared" si="1"/>
        <v> </v>
      </c>
      <c r="E5988" s="11" t="str">
        <f t="shared" si="2"/>
        <v>Repeat</v>
      </c>
    </row>
    <row r="5989" ht="15.75" customHeight="1">
      <c r="A5989" s="11">
        <v>17704.0</v>
      </c>
      <c r="B5989" s="11" t="s">
        <v>5967</v>
      </c>
      <c r="C5989" s="12">
        <v>26847.0</v>
      </c>
      <c r="D5989" s="11" t="str">
        <f t="shared" si="1"/>
        <v> </v>
      </c>
      <c r="E5989" s="11" t="str">
        <f t="shared" si="2"/>
        <v>Repeat</v>
      </c>
    </row>
    <row r="5990" ht="15.75" customHeight="1">
      <c r="A5990" s="11">
        <v>17303.0</v>
      </c>
      <c r="B5990" s="11" t="s">
        <v>5968</v>
      </c>
      <c r="C5990" s="12">
        <v>13916.0</v>
      </c>
      <c r="D5990" s="11" t="str">
        <f t="shared" si="1"/>
        <v> </v>
      </c>
      <c r="E5990" s="11" t="str">
        <f t="shared" si="2"/>
        <v>Repeat</v>
      </c>
    </row>
    <row r="5991" ht="15.75" customHeight="1">
      <c r="A5991" s="11" t="s">
        <v>5969</v>
      </c>
      <c r="B5991" s="11" t="s">
        <v>4970</v>
      </c>
      <c r="C5991" s="12">
        <v>13461.0</v>
      </c>
      <c r="D5991" s="11" t="str">
        <f t="shared" si="1"/>
        <v>Repeat</v>
      </c>
      <c r="E5991" s="11" t="str">
        <f t="shared" si="2"/>
        <v> </v>
      </c>
    </row>
    <row r="5992" ht="15.75" customHeight="1">
      <c r="A5992" s="11">
        <v>13187.0</v>
      </c>
      <c r="B5992" s="11" t="s">
        <v>5970</v>
      </c>
      <c r="C5992" s="12">
        <v>20156.0</v>
      </c>
      <c r="D5992" s="11" t="str">
        <f t="shared" si="1"/>
        <v> </v>
      </c>
      <c r="E5992" s="11" t="str">
        <f t="shared" si="2"/>
        <v>Repeat</v>
      </c>
    </row>
    <row r="5993" ht="15.75" customHeight="1">
      <c r="A5993" s="11">
        <v>17834.0</v>
      </c>
      <c r="B5993" s="11" t="s">
        <v>5971</v>
      </c>
      <c r="C5993" s="12">
        <v>10266.0</v>
      </c>
      <c r="D5993" s="11" t="str">
        <f t="shared" si="1"/>
        <v>Repeat</v>
      </c>
      <c r="E5993" s="11" t="str">
        <f t="shared" si="2"/>
        <v>Repeat</v>
      </c>
    </row>
    <row r="5994" ht="15.75" customHeight="1">
      <c r="A5994" s="11">
        <v>17846.0</v>
      </c>
      <c r="B5994" s="11" t="s">
        <v>5972</v>
      </c>
      <c r="C5994" s="12">
        <v>19720.0</v>
      </c>
      <c r="D5994" s="11" t="str">
        <f t="shared" si="1"/>
        <v> </v>
      </c>
      <c r="E5994" s="11" t="str">
        <f t="shared" si="2"/>
        <v> </v>
      </c>
    </row>
    <row r="5995" ht="15.75" customHeight="1">
      <c r="A5995" s="11">
        <v>12051.0</v>
      </c>
      <c r="B5995" s="11" t="s">
        <v>5973</v>
      </c>
      <c r="C5995" s="12">
        <v>19608.0</v>
      </c>
      <c r="D5995" s="11" t="str">
        <f t="shared" si="1"/>
        <v> </v>
      </c>
      <c r="E5995" s="11" t="str">
        <f t="shared" si="2"/>
        <v> </v>
      </c>
    </row>
    <row r="5996" ht="15.75" customHeight="1">
      <c r="A5996" s="11">
        <v>17821.0</v>
      </c>
      <c r="B5996" s="11" t="s">
        <v>5974</v>
      </c>
      <c r="C5996" s="12">
        <v>20126.0</v>
      </c>
      <c r="D5996" s="11" t="str">
        <f t="shared" si="1"/>
        <v> </v>
      </c>
      <c r="E5996" s="11" t="str">
        <f t="shared" si="2"/>
        <v> </v>
      </c>
    </row>
    <row r="5997" ht="15.75" customHeight="1">
      <c r="A5997" s="11">
        <v>17848.0</v>
      </c>
      <c r="B5997" s="11" t="s">
        <v>5975</v>
      </c>
      <c r="C5997" s="12">
        <v>19261.0</v>
      </c>
      <c r="D5997" s="11" t="str">
        <f t="shared" si="1"/>
        <v> </v>
      </c>
      <c r="E5997" s="11" t="str">
        <f t="shared" si="2"/>
        <v> </v>
      </c>
    </row>
    <row r="5998" ht="15.75" customHeight="1">
      <c r="A5998" s="11">
        <v>17831.0</v>
      </c>
      <c r="B5998" s="11" t="s">
        <v>5976</v>
      </c>
      <c r="C5998" s="12">
        <v>18671.0</v>
      </c>
      <c r="D5998" s="11" t="str">
        <f t="shared" si="1"/>
        <v> </v>
      </c>
      <c r="E5998" s="11" t="str">
        <f t="shared" si="2"/>
        <v> </v>
      </c>
    </row>
    <row r="5999" ht="15.75" customHeight="1">
      <c r="A5999" s="11">
        <v>17832.0</v>
      </c>
      <c r="B5999" s="11" t="s">
        <v>5977</v>
      </c>
      <c r="C5999" s="12">
        <v>16496.0</v>
      </c>
      <c r="D5999" s="11" t="str">
        <f t="shared" si="1"/>
        <v> </v>
      </c>
      <c r="E5999" s="11" t="str">
        <f t="shared" si="2"/>
        <v> </v>
      </c>
    </row>
    <row r="6000" ht="15.75" customHeight="1">
      <c r="A6000" s="11">
        <v>17872.0</v>
      </c>
      <c r="B6000" s="11" t="s">
        <v>5978</v>
      </c>
      <c r="C6000" s="12">
        <v>11312.0</v>
      </c>
      <c r="D6000" s="11" t="str">
        <f t="shared" si="1"/>
        <v> </v>
      </c>
      <c r="E6000" s="11" t="str">
        <f t="shared" si="2"/>
        <v> </v>
      </c>
    </row>
    <row r="6001" ht="15.75" customHeight="1">
      <c r="A6001" s="11">
        <v>17890.0</v>
      </c>
      <c r="B6001" s="11" t="s">
        <v>5979</v>
      </c>
      <c r="C6001" s="12">
        <v>20526.0</v>
      </c>
      <c r="D6001" s="11" t="str">
        <f t="shared" si="1"/>
        <v> </v>
      </c>
      <c r="E6001" s="11" t="str">
        <f t="shared" si="2"/>
        <v> </v>
      </c>
    </row>
    <row r="6002" ht="15.75" customHeight="1">
      <c r="A6002" s="11">
        <v>17853.0</v>
      </c>
      <c r="B6002" s="11" t="s">
        <v>5980</v>
      </c>
      <c r="C6002" s="12">
        <v>27562.0</v>
      </c>
      <c r="D6002" s="11" t="str">
        <f t="shared" si="1"/>
        <v> </v>
      </c>
      <c r="E6002" s="11" t="str">
        <f t="shared" si="2"/>
        <v> </v>
      </c>
    </row>
    <row r="6003" ht="15.75" customHeight="1">
      <c r="A6003" s="11">
        <v>14113.0</v>
      </c>
      <c r="B6003" s="11" t="s">
        <v>5981</v>
      </c>
      <c r="C6003" s="12">
        <v>21851.0</v>
      </c>
      <c r="D6003" s="11" t="str">
        <f t="shared" si="1"/>
        <v> </v>
      </c>
      <c r="E6003" s="11" t="str">
        <f t="shared" si="2"/>
        <v>Repeat</v>
      </c>
    </row>
    <row r="6004" ht="15.75" customHeight="1">
      <c r="A6004" s="11">
        <v>17794.0</v>
      </c>
      <c r="B6004" s="11" t="s">
        <v>5982</v>
      </c>
      <c r="C6004" s="12">
        <v>16034.0</v>
      </c>
      <c r="D6004" s="11" t="str">
        <f t="shared" si="1"/>
        <v> </v>
      </c>
      <c r="E6004" s="11" t="str">
        <f t="shared" si="2"/>
        <v> </v>
      </c>
    </row>
    <row r="6005" ht="15.75" customHeight="1">
      <c r="A6005" s="11">
        <v>17793.0</v>
      </c>
      <c r="B6005" s="11" t="s">
        <v>5983</v>
      </c>
      <c r="C6005" s="12">
        <v>20823.0</v>
      </c>
      <c r="D6005" s="11" t="str">
        <f t="shared" si="1"/>
        <v> </v>
      </c>
      <c r="E6005" s="11" t="str">
        <f t="shared" si="2"/>
        <v> </v>
      </c>
    </row>
    <row r="6006" ht="15.75" customHeight="1">
      <c r="A6006" s="11">
        <v>17757.0</v>
      </c>
      <c r="B6006" s="11" t="s">
        <v>5984</v>
      </c>
      <c r="C6006" s="12">
        <v>19937.0</v>
      </c>
      <c r="D6006" s="11" t="str">
        <f t="shared" si="1"/>
        <v> </v>
      </c>
      <c r="E6006" s="11" t="str">
        <f t="shared" si="2"/>
        <v> </v>
      </c>
    </row>
    <row r="6007" ht="15.75" customHeight="1">
      <c r="A6007" s="11">
        <v>15237.0</v>
      </c>
      <c r="B6007" s="11" t="s">
        <v>5985</v>
      </c>
      <c r="C6007" s="12">
        <v>29803.0</v>
      </c>
      <c r="D6007" s="11" t="str">
        <f t="shared" si="1"/>
        <v> </v>
      </c>
      <c r="E6007" s="11" t="str">
        <f t="shared" si="2"/>
        <v> </v>
      </c>
    </row>
    <row r="6008" ht="15.75" customHeight="1">
      <c r="A6008" s="11">
        <v>17562.0</v>
      </c>
      <c r="B6008" s="11" t="s">
        <v>5986</v>
      </c>
      <c r="C6008" s="12">
        <v>14131.0</v>
      </c>
      <c r="D6008" s="11" t="str">
        <f t="shared" si="1"/>
        <v> </v>
      </c>
      <c r="E6008" s="11" t="str">
        <f t="shared" si="2"/>
        <v>Repeat</v>
      </c>
    </row>
    <row r="6009" ht="15.75" customHeight="1">
      <c r="A6009" s="11">
        <v>17608.0</v>
      </c>
      <c r="B6009" s="11" t="s">
        <v>5987</v>
      </c>
      <c r="C6009" s="12">
        <v>29429.0</v>
      </c>
      <c r="D6009" s="11" t="str">
        <f t="shared" si="1"/>
        <v> </v>
      </c>
      <c r="E6009" s="11" t="str">
        <f t="shared" si="2"/>
        <v> </v>
      </c>
    </row>
    <row r="6010" ht="15.75" customHeight="1">
      <c r="A6010" s="11">
        <v>15652.0</v>
      </c>
      <c r="B6010" s="11" t="s">
        <v>5988</v>
      </c>
      <c r="C6010" s="12">
        <v>21214.0</v>
      </c>
      <c r="D6010" s="11" t="str">
        <f t="shared" si="1"/>
        <v> </v>
      </c>
      <c r="E6010" s="11" t="str">
        <f t="shared" si="2"/>
        <v>Repeat</v>
      </c>
    </row>
    <row r="6011" ht="15.75" customHeight="1">
      <c r="A6011" s="11">
        <v>17880.0</v>
      </c>
      <c r="B6011" s="11" t="s">
        <v>5989</v>
      </c>
      <c r="C6011" s="12">
        <v>19527.0</v>
      </c>
      <c r="D6011" s="11" t="str">
        <f t="shared" si="1"/>
        <v> </v>
      </c>
      <c r="E6011" s="11" t="str">
        <f t="shared" si="2"/>
        <v> </v>
      </c>
    </row>
    <row r="6012" ht="15.75" customHeight="1">
      <c r="A6012" s="11">
        <v>17894.0</v>
      </c>
      <c r="B6012" s="11" t="s">
        <v>5990</v>
      </c>
      <c r="C6012" s="12">
        <v>21383.0</v>
      </c>
      <c r="D6012" s="11" t="str">
        <f t="shared" si="1"/>
        <v> </v>
      </c>
      <c r="E6012" s="11" t="str">
        <f t="shared" si="2"/>
        <v> </v>
      </c>
    </row>
    <row r="6013" ht="15.75" customHeight="1">
      <c r="A6013" s="11">
        <v>17850.0</v>
      </c>
      <c r="B6013" s="11" t="s">
        <v>5991</v>
      </c>
      <c r="C6013" s="12">
        <v>21645.0</v>
      </c>
      <c r="D6013" s="11" t="str">
        <f t="shared" si="1"/>
        <v> </v>
      </c>
      <c r="E6013" s="11" t="str">
        <f t="shared" si="2"/>
        <v> </v>
      </c>
    </row>
    <row r="6014" ht="15.75" customHeight="1">
      <c r="A6014" s="11">
        <v>17855.0</v>
      </c>
      <c r="B6014" s="11" t="s">
        <v>5992</v>
      </c>
      <c r="C6014" s="12">
        <v>20194.0</v>
      </c>
      <c r="D6014" s="11" t="str">
        <f t="shared" si="1"/>
        <v> </v>
      </c>
      <c r="E6014" s="11" t="str">
        <f t="shared" si="2"/>
        <v> </v>
      </c>
    </row>
    <row r="6015" ht="15.75" customHeight="1">
      <c r="A6015" s="11">
        <v>16016.0</v>
      </c>
      <c r="B6015" s="11" t="s">
        <v>4350</v>
      </c>
      <c r="C6015" s="12">
        <v>9139.0</v>
      </c>
      <c r="D6015" s="11" t="str">
        <f t="shared" si="1"/>
        <v>Repeat</v>
      </c>
      <c r="E6015" s="11" t="str">
        <f t="shared" si="2"/>
        <v>Repeat</v>
      </c>
    </row>
    <row r="6016" ht="15.75" customHeight="1">
      <c r="A6016" s="11">
        <v>17893.0</v>
      </c>
      <c r="B6016" s="11" t="s">
        <v>5993</v>
      </c>
      <c r="C6016" s="12">
        <v>17174.0</v>
      </c>
      <c r="D6016" s="11" t="str">
        <f t="shared" si="1"/>
        <v> </v>
      </c>
      <c r="E6016" s="11" t="str">
        <f t="shared" si="2"/>
        <v> </v>
      </c>
    </row>
    <row r="6017" ht="15.75" customHeight="1">
      <c r="A6017" s="11">
        <v>17945.0</v>
      </c>
      <c r="B6017" s="11" t="s">
        <v>5994</v>
      </c>
      <c r="C6017" s="12">
        <v>33072.0</v>
      </c>
      <c r="D6017" s="11" t="str">
        <f t="shared" si="1"/>
        <v> </v>
      </c>
      <c r="E6017" s="11" t="str">
        <f t="shared" si="2"/>
        <v> </v>
      </c>
    </row>
    <row r="6018" ht="15.75" customHeight="1">
      <c r="A6018" s="11">
        <v>17840.0</v>
      </c>
      <c r="B6018" s="11" t="s">
        <v>5995</v>
      </c>
      <c r="C6018" s="12">
        <v>10590.0</v>
      </c>
      <c r="D6018" s="11" t="str">
        <f t="shared" si="1"/>
        <v> </v>
      </c>
      <c r="E6018" s="11" t="str">
        <f t="shared" si="2"/>
        <v> </v>
      </c>
    </row>
    <row r="6019" ht="15.75" customHeight="1">
      <c r="A6019" s="11">
        <v>17830.0</v>
      </c>
      <c r="B6019" s="11" t="s">
        <v>5996</v>
      </c>
      <c r="C6019" s="12">
        <v>25200.0</v>
      </c>
      <c r="D6019" s="11" t="str">
        <f t="shared" si="1"/>
        <v> </v>
      </c>
      <c r="E6019" s="11" t="str">
        <f t="shared" si="2"/>
        <v> </v>
      </c>
    </row>
    <row r="6020" ht="15.75" customHeight="1">
      <c r="A6020" s="11">
        <v>17882.0</v>
      </c>
      <c r="B6020" s="11" t="s">
        <v>5997</v>
      </c>
      <c r="C6020" s="12">
        <v>29239.0</v>
      </c>
      <c r="D6020" s="11" t="str">
        <f t="shared" si="1"/>
        <v> </v>
      </c>
      <c r="E6020" s="11" t="str">
        <f t="shared" si="2"/>
        <v> </v>
      </c>
    </row>
    <row r="6021" ht="15.75" customHeight="1">
      <c r="A6021" s="11">
        <v>17844.0</v>
      </c>
      <c r="B6021" s="11" t="s">
        <v>5998</v>
      </c>
      <c r="C6021" s="12">
        <v>30422.0</v>
      </c>
      <c r="D6021" s="11" t="str">
        <f t="shared" si="1"/>
        <v> </v>
      </c>
      <c r="E6021" s="11" t="str">
        <f t="shared" si="2"/>
        <v> </v>
      </c>
    </row>
    <row r="6022" ht="15.75" customHeight="1">
      <c r="A6022" s="11">
        <v>17867.0</v>
      </c>
      <c r="B6022" s="11" t="s">
        <v>5999</v>
      </c>
      <c r="C6022" s="12">
        <v>20298.0</v>
      </c>
      <c r="D6022" s="11" t="str">
        <f t="shared" si="1"/>
        <v> </v>
      </c>
      <c r="E6022" s="11" t="str">
        <f t="shared" si="2"/>
        <v> </v>
      </c>
    </row>
    <row r="6023" ht="15.75" customHeight="1">
      <c r="A6023" s="11">
        <v>17835.0</v>
      </c>
      <c r="B6023" s="11" t="s">
        <v>6000</v>
      </c>
      <c r="C6023" s="12">
        <v>23741.0</v>
      </c>
      <c r="D6023" s="11" t="str">
        <f t="shared" si="1"/>
        <v> </v>
      </c>
      <c r="E6023" s="11" t="str">
        <f t="shared" si="2"/>
        <v> </v>
      </c>
    </row>
    <row r="6024" ht="15.75" customHeight="1">
      <c r="A6024" s="11">
        <v>17836.0</v>
      </c>
      <c r="B6024" s="11" t="s">
        <v>6001</v>
      </c>
      <c r="C6024" s="12">
        <v>36797.0</v>
      </c>
      <c r="D6024" s="11" t="str">
        <f t="shared" si="1"/>
        <v> </v>
      </c>
      <c r="E6024" s="11" t="str">
        <f t="shared" si="2"/>
        <v> </v>
      </c>
    </row>
    <row r="6025" ht="15.75" customHeight="1">
      <c r="A6025" s="11">
        <v>17854.0</v>
      </c>
      <c r="B6025" s="11" t="s">
        <v>6002</v>
      </c>
      <c r="C6025" s="12">
        <v>22029.0</v>
      </c>
      <c r="D6025" s="11" t="str">
        <f t="shared" si="1"/>
        <v> </v>
      </c>
      <c r="E6025" s="11" t="str">
        <f t="shared" si="2"/>
        <v> </v>
      </c>
    </row>
    <row r="6026" ht="15.75" customHeight="1">
      <c r="A6026" s="11">
        <v>17849.0</v>
      </c>
      <c r="B6026" s="11" t="s">
        <v>6003</v>
      </c>
      <c r="C6026" s="12">
        <v>26237.0</v>
      </c>
      <c r="D6026" s="11" t="str">
        <f t="shared" si="1"/>
        <v> </v>
      </c>
      <c r="E6026" s="11" t="str">
        <f t="shared" si="2"/>
        <v>Repeat</v>
      </c>
    </row>
    <row r="6027" ht="15.75" customHeight="1">
      <c r="A6027" s="11">
        <v>17660.0</v>
      </c>
      <c r="B6027" s="11" t="s">
        <v>6004</v>
      </c>
      <c r="C6027" s="12">
        <v>25150.0</v>
      </c>
      <c r="D6027" s="11" t="str">
        <f t="shared" si="1"/>
        <v> </v>
      </c>
      <c r="E6027" s="11" t="str">
        <f t="shared" si="2"/>
        <v> </v>
      </c>
    </row>
    <row r="6028" ht="15.75" customHeight="1">
      <c r="A6028" s="11">
        <v>17073.0</v>
      </c>
      <c r="B6028" s="11" t="s">
        <v>6005</v>
      </c>
      <c r="C6028" s="12">
        <v>36313.0</v>
      </c>
      <c r="D6028" s="11" t="str">
        <f t="shared" si="1"/>
        <v> </v>
      </c>
      <c r="E6028" s="11" t="str">
        <f t="shared" si="2"/>
        <v> </v>
      </c>
    </row>
    <row r="6029" ht="15.75" customHeight="1">
      <c r="A6029" s="11">
        <v>17566.0</v>
      </c>
      <c r="B6029" s="11" t="s">
        <v>6006</v>
      </c>
      <c r="C6029" s="12">
        <v>22520.0</v>
      </c>
      <c r="D6029" s="11" t="str">
        <f t="shared" si="1"/>
        <v> </v>
      </c>
      <c r="E6029" s="11" t="str">
        <f t="shared" si="2"/>
        <v>Repeat</v>
      </c>
    </row>
    <row r="6030" ht="15.75" customHeight="1">
      <c r="A6030" s="11">
        <v>17833.0</v>
      </c>
      <c r="B6030" s="11" t="s">
        <v>6007</v>
      </c>
      <c r="C6030" s="12">
        <v>16597.0</v>
      </c>
      <c r="D6030" s="11" t="str">
        <f t="shared" si="1"/>
        <v> </v>
      </c>
      <c r="E6030" s="11" t="str">
        <f t="shared" si="2"/>
        <v> </v>
      </c>
    </row>
    <row r="6031" ht="15.75" customHeight="1">
      <c r="A6031" s="11" t="s">
        <v>6008</v>
      </c>
      <c r="B6031" s="11" t="s">
        <v>5734</v>
      </c>
      <c r="C6031" s="12">
        <v>26420.0</v>
      </c>
      <c r="D6031" s="11" t="str">
        <f t="shared" si="1"/>
        <v>Repeat</v>
      </c>
      <c r="E6031" s="11" t="str">
        <f t="shared" si="2"/>
        <v> </v>
      </c>
    </row>
    <row r="6032" ht="15.75" customHeight="1">
      <c r="A6032" s="11">
        <v>17328.0</v>
      </c>
      <c r="B6032" s="11" t="s">
        <v>6009</v>
      </c>
      <c r="C6032" s="12">
        <v>15964.0</v>
      </c>
      <c r="D6032" s="11" t="str">
        <f t="shared" si="1"/>
        <v> </v>
      </c>
      <c r="E6032" s="11" t="str">
        <f t="shared" si="2"/>
        <v>Repeat</v>
      </c>
    </row>
    <row r="6033" ht="15.75" customHeight="1">
      <c r="A6033" s="11">
        <v>17280.0</v>
      </c>
      <c r="B6033" s="11" t="s">
        <v>6010</v>
      </c>
      <c r="C6033" s="12">
        <v>29439.0</v>
      </c>
      <c r="D6033" s="11" t="str">
        <f t="shared" si="1"/>
        <v> </v>
      </c>
      <c r="E6033" s="11" t="str">
        <f t="shared" si="2"/>
        <v>Repeat</v>
      </c>
    </row>
    <row r="6034" ht="15.75" customHeight="1">
      <c r="A6034" s="11">
        <v>17525.0</v>
      </c>
      <c r="B6034" s="11" t="s">
        <v>6011</v>
      </c>
      <c r="C6034" s="12">
        <v>23101.0</v>
      </c>
      <c r="D6034" s="11" t="str">
        <f t="shared" si="1"/>
        <v> </v>
      </c>
      <c r="E6034" s="11" t="str">
        <f t="shared" si="2"/>
        <v>Repeat</v>
      </c>
    </row>
    <row r="6035" ht="15.75" customHeight="1">
      <c r="A6035" s="11">
        <v>17238.0</v>
      </c>
      <c r="B6035" s="11" t="s">
        <v>6012</v>
      </c>
      <c r="C6035" s="12">
        <v>13756.0</v>
      </c>
      <c r="D6035" s="11" t="str">
        <f t="shared" si="1"/>
        <v> </v>
      </c>
      <c r="E6035" s="11" t="str">
        <f t="shared" si="2"/>
        <v>Repeat</v>
      </c>
    </row>
    <row r="6036" ht="15.75" customHeight="1">
      <c r="A6036" s="11">
        <v>17771.0</v>
      </c>
      <c r="B6036" s="11" t="s">
        <v>6013</v>
      </c>
      <c r="C6036" s="12">
        <v>14316.0</v>
      </c>
      <c r="D6036" s="11" t="str">
        <f t="shared" si="1"/>
        <v> </v>
      </c>
      <c r="E6036" s="11" t="str">
        <f t="shared" si="2"/>
        <v>Repeat</v>
      </c>
    </row>
    <row r="6037" ht="15.75" customHeight="1">
      <c r="A6037" s="11">
        <v>17606.0</v>
      </c>
      <c r="B6037" s="11" t="s">
        <v>6014</v>
      </c>
      <c r="C6037" s="12">
        <v>17098.0</v>
      </c>
      <c r="D6037" s="11" t="str">
        <f t="shared" si="1"/>
        <v> </v>
      </c>
      <c r="E6037" s="11" t="str">
        <f t="shared" si="2"/>
        <v>Repeat</v>
      </c>
    </row>
    <row r="6038" ht="15.75" customHeight="1">
      <c r="A6038" s="11">
        <v>17610.0</v>
      </c>
      <c r="B6038" s="11" t="s">
        <v>6015</v>
      </c>
      <c r="C6038" s="12">
        <v>18834.0</v>
      </c>
      <c r="D6038" s="11" t="str">
        <f t="shared" si="1"/>
        <v> </v>
      </c>
      <c r="E6038" s="11" t="str">
        <f t="shared" si="2"/>
        <v>Repeat</v>
      </c>
    </row>
    <row r="6039" ht="15.75" customHeight="1">
      <c r="A6039" s="11">
        <v>17342.0</v>
      </c>
      <c r="B6039" s="11" t="s">
        <v>6016</v>
      </c>
      <c r="C6039" s="12">
        <v>20034.0</v>
      </c>
      <c r="D6039" s="11" t="str">
        <f t="shared" si="1"/>
        <v> </v>
      </c>
      <c r="E6039" s="11" t="str">
        <f t="shared" si="2"/>
        <v> </v>
      </c>
    </row>
    <row r="6040" ht="15.75" customHeight="1">
      <c r="A6040" s="11">
        <v>9945.0</v>
      </c>
      <c r="B6040" s="11" t="s">
        <v>6017</v>
      </c>
      <c r="C6040" s="12">
        <v>21443.0</v>
      </c>
      <c r="D6040" s="11" t="str">
        <f t="shared" si="1"/>
        <v> </v>
      </c>
      <c r="E6040" s="11" t="str">
        <f t="shared" si="2"/>
        <v>Repeat</v>
      </c>
    </row>
    <row r="6041" ht="15.75" customHeight="1">
      <c r="A6041" s="11">
        <v>17720.0</v>
      </c>
      <c r="B6041" s="11" t="s">
        <v>6018</v>
      </c>
      <c r="C6041" s="12">
        <v>28016.0</v>
      </c>
      <c r="D6041" s="11" t="str">
        <f t="shared" si="1"/>
        <v> </v>
      </c>
      <c r="E6041" s="11" t="str">
        <f t="shared" si="2"/>
        <v>Repeat</v>
      </c>
    </row>
    <row r="6042" ht="15.75" customHeight="1">
      <c r="A6042" s="11">
        <v>17782.0</v>
      </c>
      <c r="B6042" s="11" t="s">
        <v>6019</v>
      </c>
      <c r="C6042" s="12">
        <v>14015.0</v>
      </c>
      <c r="D6042" s="11" t="str">
        <f t="shared" si="1"/>
        <v> </v>
      </c>
      <c r="E6042" s="11" t="str">
        <f t="shared" si="2"/>
        <v>Repeat</v>
      </c>
    </row>
    <row r="6043" ht="15.75" customHeight="1">
      <c r="A6043" s="11">
        <v>17806.0</v>
      </c>
      <c r="B6043" s="11" t="s">
        <v>6020</v>
      </c>
      <c r="C6043" s="12">
        <v>17363.0</v>
      </c>
      <c r="D6043" s="11" t="str">
        <f t="shared" si="1"/>
        <v> </v>
      </c>
      <c r="E6043" s="11" t="str">
        <f t="shared" si="2"/>
        <v>Repeat</v>
      </c>
    </row>
    <row r="6044" ht="15.75" customHeight="1">
      <c r="A6044" s="11">
        <v>17837.0</v>
      </c>
      <c r="B6044" s="11" t="s">
        <v>6021</v>
      </c>
      <c r="C6044" s="12">
        <v>38166.0</v>
      </c>
      <c r="D6044" s="11" t="str">
        <f t="shared" si="1"/>
        <v> </v>
      </c>
      <c r="E6044" s="11" t="str">
        <f t="shared" si="2"/>
        <v> </v>
      </c>
    </row>
    <row r="6045" ht="15.75" customHeight="1">
      <c r="A6045" s="11">
        <v>17851.0</v>
      </c>
      <c r="B6045" s="11" t="s">
        <v>6022</v>
      </c>
      <c r="C6045" s="12">
        <v>23405.0</v>
      </c>
      <c r="D6045" s="11" t="str">
        <f t="shared" si="1"/>
        <v> </v>
      </c>
      <c r="E6045" s="11" t="str">
        <f t="shared" si="2"/>
        <v> </v>
      </c>
    </row>
    <row r="6046" ht="15.75" customHeight="1">
      <c r="A6046" s="11">
        <v>17825.0</v>
      </c>
      <c r="B6046" s="11" t="s">
        <v>6023</v>
      </c>
      <c r="C6046" s="12">
        <v>15882.0</v>
      </c>
      <c r="D6046" s="11" t="str">
        <f t="shared" si="1"/>
        <v> </v>
      </c>
      <c r="E6046" s="11" t="str">
        <f t="shared" si="2"/>
        <v> </v>
      </c>
    </row>
    <row r="6047" ht="15.75" customHeight="1">
      <c r="A6047" s="11">
        <v>9778.0</v>
      </c>
      <c r="B6047" s="11" t="s">
        <v>6024</v>
      </c>
      <c r="C6047" s="12">
        <v>32095.0</v>
      </c>
      <c r="D6047" s="11" t="str">
        <f t="shared" si="1"/>
        <v> </v>
      </c>
      <c r="E6047" s="11" t="str">
        <f t="shared" si="2"/>
        <v> </v>
      </c>
    </row>
    <row r="6048" ht="15.75" customHeight="1">
      <c r="A6048" s="11">
        <v>17822.0</v>
      </c>
      <c r="B6048" s="11" t="s">
        <v>6025</v>
      </c>
      <c r="C6048" s="12">
        <v>28711.0</v>
      </c>
      <c r="D6048" s="11" t="str">
        <f t="shared" si="1"/>
        <v> </v>
      </c>
      <c r="E6048" s="11" t="str">
        <f t="shared" si="2"/>
        <v> </v>
      </c>
    </row>
    <row r="6049" ht="15.75" customHeight="1">
      <c r="A6049" s="11">
        <v>17857.0</v>
      </c>
      <c r="B6049" s="11" t="s">
        <v>6026</v>
      </c>
      <c r="C6049" s="12">
        <v>23488.0</v>
      </c>
      <c r="D6049" s="11" t="str">
        <f t="shared" si="1"/>
        <v> </v>
      </c>
      <c r="E6049" s="11" t="str">
        <f t="shared" si="2"/>
        <v> </v>
      </c>
    </row>
    <row r="6050" ht="15.75" customHeight="1">
      <c r="A6050" s="11">
        <v>17865.0</v>
      </c>
      <c r="B6050" s="11" t="s">
        <v>6027</v>
      </c>
      <c r="C6050" s="12">
        <v>24537.0</v>
      </c>
      <c r="D6050" s="11" t="str">
        <f t="shared" si="1"/>
        <v> </v>
      </c>
      <c r="E6050" s="11" t="str">
        <f t="shared" si="2"/>
        <v> </v>
      </c>
    </row>
    <row r="6051" ht="15.75" customHeight="1">
      <c r="A6051" s="11">
        <v>17866.0</v>
      </c>
      <c r="B6051" s="11" t="s">
        <v>6028</v>
      </c>
      <c r="C6051" s="12">
        <v>25015.0</v>
      </c>
      <c r="D6051" s="11" t="str">
        <f t="shared" si="1"/>
        <v> </v>
      </c>
      <c r="E6051" s="11" t="str">
        <f t="shared" si="2"/>
        <v> </v>
      </c>
    </row>
    <row r="6052" ht="15.75" customHeight="1">
      <c r="A6052" s="11">
        <v>17870.0</v>
      </c>
      <c r="B6052" s="11" t="s">
        <v>6029</v>
      </c>
      <c r="C6052" s="12">
        <v>12848.0</v>
      </c>
      <c r="D6052" s="11" t="str">
        <f t="shared" si="1"/>
        <v> </v>
      </c>
      <c r="E6052" s="11" t="str">
        <f t="shared" si="2"/>
        <v> </v>
      </c>
    </row>
    <row r="6053" ht="15.75" customHeight="1">
      <c r="A6053" s="11">
        <v>17871.0</v>
      </c>
      <c r="B6053" s="11" t="s">
        <v>6030</v>
      </c>
      <c r="C6053" s="12">
        <v>19611.0</v>
      </c>
      <c r="D6053" s="11" t="str">
        <f t="shared" si="1"/>
        <v> </v>
      </c>
      <c r="E6053" s="11" t="str">
        <f t="shared" si="2"/>
        <v> </v>
      </c>
    </row>
    <row r="6054" ht="15.75" customHeight="1">
      <c r="A6054" s="11">
        <v>17875.0</v>
      </c>
      <c r="B6054" s="11" t="s">
        <v>6031</v>
      </c>
      <c r="C6054" s="12">
        <v>21630.0</v>
      </c>
      <c r="D6054" s="11" t="str">
        <f t="shared" si="1"/>
        <v> </v>
      </c>
      <c r="E6054" s="11" t="str">
        <f t="shared" si="2"/>
        <v> </v>
      </c>
    </row>
    <row r="6055" ht="15.75" customHeight="1">
      <c r="A6055" s="11">
        <v>17858.0</v>
      </c>
      <c r="B6055" s="11" t="s">
        <v>6032</v>
      </c>
      <c r="C6055" s="12">
        <v>15062.0</v>
      </c>
      <c r="D6055" s="11" t="str">
        <f t="shared" si="1"/>
        <v> </v>
      </c>
      <c r="E6055" s="11" t="str">
        <f t="shared" si="2"/>
        <v> </v>
      </c>
    </row>
    <row r="6056" ht="15.75" customHeight="1">
      <c r="A6056" s="11">
        <v>17847.0</v>
      </c>
      <c r="B6056" s="11" t="s">
        <v>6033</v>
      </c>
      <c r="C6056" s="12">
        <v>14077.0</v>
      </c>
      <c r="D6056" s="11" t="str">
        <f t="shared" si="1"/>
        <v> </v>
      </c>
      <c r="E6056" s="11" t="str">
        <f t="shared" si="2"/>
        <v> </v>
      </c>
    </row>
    <row r="6057" ht="15.75" customHeight="1">
      <c r="A6057" s="11">
        <v>17884.0</v>
      </c>
      <c r="B6057" s="11" t="s">
        <v>6034</v>
      </c>
      <c r="C6057" s="12">
        <v>22699.0</v>
      </c>
      <c r="D6057" s="11" t="str">
        <f t="shared" si="1"/>
        <v> </v>
      </c>
      <c r="E6057" s="11" t="str">
        <f t="shared" si="2"/>
        <v> </v>
      </c>
    </row>
    <row r="6058" ht="15.75" customHeight="1">
      <c r="A6058" s="11">
        <v>17886.0</v>
      </c>
      <c r="B6058" s="11" t="s">
        <v>6035</v>
      </c>
      <c r="C6058" s="12">
        <v>20387.0</v>
      </c>
      <c r="D6058" s="11" t="str">
        <f t="shared" si="1"/>
        <v> </v>
      </c>
      <c r="E6058" s="11" t="str">
        <f t="shared" si="2"/>
        <v> </v>
      </c>
    </row>
    <row r="6059" ht="15.75" customHeight="1">
      <c r="A6059" s="11">
        <v>17888.0</v>
      </c>
      <c r="B6059" s="11" t="s">
        <v>6036</v>
      </c>
      <c r="C6059" s="12">
        <v>14755.0</v>
      </c>
      <c r="D6059" s="11" t="str">
        <f t="shared" si="1"/>
        <v> </v>
      </c>
      <c r="E6059" s="11" t="str">
        <f t="shared" si="2"/>
        <v> </v>
      </c>
    </row>
    <row r="6060" ht="15.75" customHeight="1">
      <c r="A6060" s="11">
        <v>17896.0</v>
      </c>
      <c r="B6060" s="11" t="s">
        <v>6037</v>
      </c>
      <c r="C6060" s="12">
        <v>19176.0</v>
      </c>
      <c r="D6060" s="11" t="str">
        <f t="shared" si="1"/>
        <v> </v>
      </c>
      <c r="E6060" s="11" t="str">
        <f t="shared" si="2"/>
        <v> </v>
      </c>
    </row>
    <row r="6061" ht="15.75" customHeight="1">
      <c r="A6061" s="11">
        <v>17900.0</v>
      </c>
      <c r="B6061" s="11" t="s">
        <v>6038</v>
      </c>
      <c r="C6061" s="12">
        <v>25539.0</v>
      </c>
      <c r="D6061" s="11" t="str">
        <f t="shared" si="1"/>
        <v> </v>
      </c>
      <c r="E6061" s="11" t="str">
        <f t="shared" si="2"/>
        <v> </v>
      </c>
    </row>
    <row r="6062" ht="15.75" customHeight="1">
      <c r="A6062" s="11">
        <v>17902.0</v>
      </c>
      <c r="B6062" s="11" t="s">
        <v>6039</v>
      </c>
      <c r="C6062" s="12">
        <v>14212.0</v>
      </c>
      <c r="D6062" s="11" t="str">
        <f t="shared" si="1"/>
        <v> </v>
      </c>
      <c r="E6062" s="11" t="str">
        <f t="shared" si="2"/>
        <v> </v>
      </c>
    </row>
    <row r="6063" ht="15.75" customHeight="1">
      <c r="A6063" s="11">
        <v>17903.0</v>
      </c>
      <c r="B6063" s="11" t="s">
        <v>6040</v>
      </c>
      <c r="C6063" s="12">
        <v>12274.0</v>
      </c>
      <c r="D6063" s="11" t="str">
        <f t="shared" si="1"/>
        <v> </v>
      </c>
      <c r="E6063" s="11" t="str">
        <f t="shared" si="2"/>
        <v> </v>
      </c>
    </row>
    <row r="6064" ht="15.75" customHeight="1">
      <c r="A6064" s="11">
        <v>17751.0</v>
      </c>
      <c r="B6064" s="11" t="s">
        <v>6041</v>
      </c>
      <c r="C6064" s="12">
        <v>23030.0</v>
      </c>
      <c r="D6064" s="11" t="str">
        <f t="shared" si="1"/>
        <v> </v>
      </c>
      <c r="E6064" s="11" t="str">
        <f t="shared" si="2"/>
        <v> </v>
      </c>
    </row>
    <row r="6065" ht="15.75" customHeight="1">
      <c r="A6065" s="11">
        <v>17910.0</v>
      </c>
      <c r="B6065" s="11" t="s">
        <v>6042</v>
      </c>
      <c r="C6065" s="12">
        <v>18039.0</v>
      </c>
      <c r="D6065" s="11" t="str">
        <f t="shared" si="1"/>
        <v> </v>
      </c>
      <c r="E6065" s="11" t="str">
        <f t="shared" si="2"/>
        <v> </v>
      </c>
    </row>
    <row r="6066" ht="15.75" customHeight="1">
      <c r="A6066" s="11">
        <v>17930.0</v>
      </c>
      <c r="B6066" s="11" t="s">
        <v>6043</v>
      </c>
      <c r="C6066" s="12">
        <v>21107.0</v>
      </c>
      <c r="D6066" s="11" t="str">
        <f t="shared" si="1"/>
        <v> </v>
      </c>
      <c r="E6066" s="11" t="str">
        <f t="shared" si="2"/>
        <v> </v>
      </c>
    </row>
    <row r="6067" ht="15.75" customHeight="1">
      <c r="A6067" s="11">
        <v>17948.0</v>
      </c>
      <c r="B6067" s="11" t="s">
        <v>6044</v>
      </c>
      <c r="C6067" s="12">
        <v>21335.0</v>
      </c>
      <c r="D6067" s="11" t="str">
        <f t="shared" si="1"/>
        <v> </v>
      </c>
      <c r="E6067" s="11" t="str">
        <f t="shared" si="2"/>
        <v> </v>
      </c>
    </row>
    <row r="6068" ht="15.75" customHeight="1">
      <c r="A6068" s="11">
        <v>17954.0</v>
      </c>
      <c r="B6068" s="11" t="s">
        <v>6045</v>
      </c>
      <c r="C6068" s="12">
        <v>13621.0</v>
      </c>
      <c r="D6068" s="11" t="str">
        <f t="shared" si="1"/>
        <v> </v>
      </c>
      <c r="E6068" s="11" t="str">
        <f t="shared" si="2"/>
        <v> </v>
      </c>
    </row>
    <row r="6069" ht="15.75" customHeight="1">
      <c r="A6069" s="11">
        <v>17940.0</v>
      </c>
      <c r="B6069" s="11" t="s">
        <v>6046</v>
      </c>
      <c r="C6069" s="12">
        <v>12708.0</v>
      </c>
      <c r="D6069" s="11" t="str">
        <f t="shared" si="1"/>
        <v> </v>
      </c>
      <c r="E6069" s="11" t="str">
        <f t="shared" si="2"/>
        <v> </v>
      </c>
    </row>
    <row r="6070" ht="15.75" customHeight="1">
      <c r="A6070" s="11">
        <v>17957.0</v>
      </c>
      <c r="B6070" s="11" t="s">
        <v>6047</v>
      </c>
      <c r="C6070" s="12">
        <v>19296.0</v>
      </c>
      <c r="D6070" s="11" t="str">
        <f t="shared" si="1"/>
        <v> </v>
      </c>
      <c r="E6070" s="11" t="str">
        <f t="shared" si="2"/>
        <v> </v>
      </c>
    </row>
    <row r="6071" ht="15.75" customHeight="1">
      <c r="A6071" s="11">
        <v>17909.0</v>
      </c>
      <c r="B6071" s="11" t="s">
        <v>6048</v>
      </c>
      <c r="C6071" s="12">
        <v>17693.0</v>
      </c>
      <c r="D6071" s="11" t="str">
        <f t="shared" si="1"/>
        <v> </v>
      </c>
      <c r="E6071" s="11" t="str">
        <f t="shared" si="2"/>
        <v>Repeat</v>
      </c>
    </row>
    <row r="6072" ht="15.75" customHeight="1">
      <c r="A6072" s="11">
        <v>17913.0</v>
      </c>
      <c r="B6072" s="11" t="s">
        <v>6049</v>
      </c>
      <c r="C6072" s="12">
        <v>15556.0</v>
      </c>
      <c r="D6072" s="11" t="str">
        <f t="shared" si="1"/>
        <v> </v>
      </c>
      <c r="E6072" s="11" t="str">
        <f t="shared" si="2"/>
        <v> </v>
      </c>
    </row>
    <row r="6073" ht="15.75" customHeight="1">
      <c r="A6073" s="11">
        <v>17952.0</v>
      </c>
      <c r="B6073" s="11" t="s">
        <v>6050</v>
      </c>
      <c r="C6073" s="12">
        <v>20021.0</v>
      </c>
      <c r="D6073" s="11" t="str">
        <f t="shared" si="1"/>
        <v> </v>
      </c>
      <c r="E6073" s="11" t="str">
        <f t="shared" si="2"/>
        <v> </v>
      </c>
    </row>
    <row r="6074" ht="15.75" customHeight="1">
      <c r="A6074" s="11">
        <v>16094.0</v>
      </c>
      <c r="B6074" s="11" t="s">
        <v>6051</v>
      </c>
      <c r="C6074" s="12">
        <v>22960.0</v>
      </c>
      <c r="D6074" s="11" t="str">
        <f t="shared" si="1"/>
        <v> </v>
      </c>
      <c r="E6074" s="11" t="str">
        <f t="shared" si="2"/>
        <v>Repeat</v>
      </c>
    </row>
    <row r="6075" ht="15.75" customHeight="1">
      <c r="A6075" s="11">
        <v>16840.0</v>
      </c>
      <c r="B6075" s="11" t="s">
        <v>6052</v>
      </c>
      <c r="C6075" s="12">
        <v>23491.0</v>
      </c>
      <c r="D6075" s="11" t="str">
        <f t="shared" si="1"/>
        <v> </v>
      </c>
      <c r="E6075" s="11" t="str">
        <f t="shared" si="2"/>
        <v>Repeat</v>
      </c>
    </row>
    <row r="6076" ht="15.75" customHeight="1">
      <c r="A6076" s="11">
        <v>17197.0</v>
      </c>
      <c r="B6076" s="11" t="s">
        <v>6053</v>
      </c>
      <c r="C6076" s="12">
        <v>20092.0</v>
      </c>
      <c r="D6076" s="11" t="str">
        <f t="shared" si="1"/>
        <v> </v>
      </c>
      <c r="E6076" s="11" t="str">
        <f t="shared" si="2"/>
        <v>Repeat</v>
      </c>
    </row>
    <row r="6077" ht="15.75" customHeight="1">
      <c r="A6077" s="11">
        <v>13405.0</v>
      </c>
      <c r="B6077" s="11" t="s">
        <v>6054</v>
      </c>
      <c r="C6077" s="12">
        <v>23929.0</v>
      </c>
      <c r="D6077" s="11" t="str">
        <f t="shared" si="1"/>
        <v> </v>
      </c>
      <c r="E6077" s="11" t="str">
        <f t="shared" si="2"/>
        <v>Repeat</v>
      </c>
    </row>
    <row r="6078" ht="15.75" customHeight="1">
      <c r="A6078" s="11">
        <v>11626.0</v>
      </c>
      <c r="B6078" s="11" t="s">
        <v>6055</v>
      </c>
      <c r="C6078" s="12">
        <v>24025.0</v>
      </c>
      <c r="D6078" s="11" t="str">
        <f t="shared" si="1"/>
        <v> </v>
      </c>
      <c r="E6078" s="11" t="str">
        <f t="shared" si="2"/>
        <v>Repeat</v>
      </c>
    </row>
    <row r="6079" ht="15.75" customHeight="1">
      <c r="A6079" s="11" t="s">
        <v>6056</v>
      </c>
      <c r="B6079" s="11" t="s">
        <v>5247</v>
      </c>
      <c r="C6079" s="12">
        <v>21989.0</v>
      </c>
      <c r="D6079" s="11" t="str">
        <f t="shared" si="1"/>
        <v>Repeat</v>
      </c>
      <c r="E6079" s="11" t="str">
        <f t="shared" si="2"/>
        <v> </v>
      </c>
    </row>
    <row r="6080" ht="15.75" customHeight="1">
      <c r="A6080" s="11">
        <v>17845.0</v>
      </c>
      <c r="B6080" s="11" t="s">
        <v>6057</v>
      </c>
      <c r="C6080" s="12">
        <v>20315.0</v>
      </c>
      <c r="D6080" s="11" t="str">
        <f t="shared" si="1"/>
        <v> </v>
      </c>
      <c r="E6080" s="11" t="str">
        <f t="shared" si="2"/>
        <v> </v>
      </c>
    </row>
    <row r="6081" ht="15.75" customHeight="1">
      <c r="A6081" s="11">
        <v>17863.0</v>
      </c>
      <c r="B6081" s="11" t="s">
        <v>6058</v>
      </c>
      <c r="C6081" s="12">
        <v>27703.0</v>
      </c>
      <c r="D6081" s="11" t="str">
        <f t="shared" si="1"/>
        <v> </v>
      </c>
      <c r="E6081" s="11" t="str">
        <f t="shared" si="2"/>
        <v> </v>
      </c>
    </row>
    <row r="6082" ht="15.75" customHeight="1">
      <c r="A6082" s="11">
        <v>17869.0</v>
      </c>
      <c r="B6082" s="11" t="s">
        <v>6059</v>
      </c>
      <c r="C6082" s="12">
        <v>14526.0</v>
      </c>
      <c r="D6082" s="11" t="str">
        <f t="shared" si="1"/>
        <v> </v>
      </c>
      <c r="E6082" s="11" t="str">
        <f t="shared" si="2"/>
        <v>Repeat</v>
      </c>
    </row>
    <row r="6083" ht="15.75" customHeight="1">
      <c r="A6083" s="11">
        <v>17336.0</v>
      </c>
      <c r="B6083" s="11" t="s">
        <v>6060</v>
      </c>
      <c r="C6083" s="12">
        <v>12784.0</v>
      </c>
      <c r="D6083" s="11" t="str">
        <f t="shared" si="1"/>
        <v> </v>
      </c>
      <c r="E6083" s="11" t="str">
        <f t="shared" si="2"/>
        <v>Repeat</v>
      </c>
    </row>
    <row r="6084" ht="15.75" customHeight="1">
      <c r="A6084" s="11">
        <v>17820.0</v>
      </c>
      <c r="B6084" s="11" t="s">
        <v>6061</v>
      </c>
      <c r="C6084" s="12">
        <v>30625.0</v>
      </c>
      <c r="D6084" s="11" t="str">
        <f t="shared" si="1"/>
        <v> </v>
      </c>
      <c r="E6084" s="11" t="str">
        <f t="shared" si="2"/>
        <v> </v>
      </c>
    </row>
    <row r="6085" ht="15.75" customHeight="1">
      <c r="A6085" s="11">
        <v>17891.0</v>
      </c>
      <c r="B6085" s="11" t="s">
        <v>6062</v>
      </c>
      <c r="C6085" s="12">
        <v>17366.0</v>
      </c>
      <c r="D6085" s="11" t="str">
        <f t="shared" si="1"/>
        <v> </v>
      </c>
      <c r="E6085" s="11" t="str">
        <f t="shared" si="2"/>
        <v>Repeat</v>
      </c>
    </row>
    <row r="6086" ht="15.75" customHeight="1">
      <c r="A6086" s="11">
        <v>17892.0</v>
      </c>
      <c r="B6086" s="11" t="s">
        <v>6063</v>
      </c>
      <c r="C6086" s="12">
        <v>33326.0</v>
      </c>
      <c r="D6086" s="11" t="str">
        <f t="shared" si="1"/>
        <v> </v>
      </c>
      <c r="E6086" s="11" t="str">
        <f t="shared" si="2"/>
        <v> </v>
      </c>
    </row>
    <row r="6087" ht="15.75" customHeight="1">
      <c r="A6087" s="11">
        <v>17895.0</v>
      </c>
      <c r="B6087" s="11" t="s">
        <v>6064</v>
      </c>
      <c r="C6087" s="12">
        <v>25491.0</v>
      </c>
      <c r="D6087" s="11" t="str">
        <f t="shared" si="1"/>
        <v> </v>
      </c>
      <c r="E6087" s="11" t="str">
        <f t="shared" si="2"/>
        <v> </v>
      </c>
    </row>
    <row r="6088" ht="15.75" customHeight="1">
      <c r="A6088" s="11">
        <v>17905.0</v>
      </c>
      <c r="B6088" s="11" t="s">
        <v>6065</v>
      </c>
      <c r="C6088" s="12">
        <v>25479.0</v>
      </c>
      <c r="D6088" s="11" t="str">
        <f t="shared" si="1"/>
        <v> </v>
      </c>
      <c r="E6088" s="11" t="str">
        <f t="shared" si="2"/>
        <v>Repeat</v>
      </c>
    </row>
    <row r="6089" ht="15.75" customHeight="1">
      <c r="A6089" s="11">
        <v>17889.0</v>
      </c>
      <c r="B6089" s="11" t="s">
        <v>6066</v>
      </c>
      <c r="C6089" s="12">
        <v>29350.0</v>
      </c>
      <c r="D6089" s="11" t="str">
        <f t="shared" si="1"/>
        <v> </v>
      </c>
      <c r="E6089" s="11" t="str">
        <f t="shared" si="2"/>
        <v> </v>
      </c>
    </row>
    <row r="6090" ht="15.75" customHeight="1">
      <c r="A6090" s="11">
        <v>17928.0</v>
      </c>
      <c r="B6090" s="11" t="s">
        <v>6067</v>
      </c>
      <c r="C6090" s="12">
        <v>17455.0</v>
      </c>
      <c r="D6090" s="11" t="str">
        <f t="shared" si="1"/>
        <v> </v>
      </c>
      <c r="E6090" s="11" t="str">
        <f t="shared" si="2"/>
        <v>Repeat</v>
      </c>
    </row>
    <row r="6091" ht="15.75" customHeight="1">
      <c r="A6091" s="11">
        <v>17929.0</v>
      </c>
      <c r="B6091" s="11" t="s">
        <v>6068</v>
      </c>
      <c r="C6091" s="12">
        <v>15674.0</v>
      </c>
      <c r="D6091" s="11" t="str">
        <f t="shared" si="1"/>
        <v> </v>
      </c>
      <c r="E6091" s="11" t="str">
        <f t="shared" si="2"/>
        <v> </v>
      </c>
    </row>
    <row r="6092" ht="15.75" customHeight="1">
      <c r="A6092" s="11">
        <v>17921.0</v>
      </c>
      <c r="B6092" s="11" t="s">
        <v>6069</v>
      </c>
      <c r="C6092" s="12">
        <v>19439.0</v>
      </c>
      <c r="D6092" s="11" t="str">
        <f t="shared" si="1"/>
        <v> </v>
      </c>
      <c r="E6092" s="11" t="str">
        <f t="shared" si="2"/>
        <v> </v>
      </c>
    </row>
    <row r="6093" ht="15.75" customHeight="1">
      <c r="A6093" s="11">
        <v>17887.0</v>
      </c>
      <c r="B6093" s="11" t="s">
        <v>6070</v>
      </c>
      <c r="C6093" s="12">
        <v>20748.0</v>
      </c>
      <c r="D6093" s="11" t="str">
        <f t="shared" si="1"/>
        <v> </v>
      </c>
      <c r="E6093" s="11" t="str">
        <f t="shared" si="2"/>
        <v>Repeat</v>
      </c>
    </row>
    <row r="6094" ht="15.75" customHeight="1">
      <c r="A6094" s="11">
        <v>17810.0</v>
      </c>
      <c r="B6094" s="11" t="s">
        <v>6071</v>
      </c>
      <c r="C6094" s="12">
        <v>20621.0</v>
      </c>
      <c r="D6094" s="11" t="str">
        <f t="shared" si="1"/>
        <v> </v>
      </c>
      <c r="E6094" s="11" t="str">
        <f t="shared" si="2"/>
        <v> </v>
      </c>
    </row>
    <row r="6095" ht="15.75" customHeight="1">
      <c r="A6095" s="11" t="s">
        <v>6072</v>
      </c>
      <c r="B6095" s="11" t="s">
        <v>6073</v>
      </c>
      <c r="C6095" s="12">
        <v>37161.0</v>
      </c>
      <c r="D6095" s="11" t="str">
        <f t="shared" si="1"/>
        <v> </v>
      </c>
      <c r="E6095" s="11" t="str">
        <f t="shared" si="2"/>
        <v> </v>
      </c>
    </row>
    <row r="6096" ht="15.75" customHeight="1">
      <c r="A6096" s="11">
        <v>17787.0</v>
      </c>
      <c r="B6096" s="11" t="s">
        <v>6074</v>
      </c>
      <c r="C6096" s="12">
        <v>17915.0</v>
      </c>
      <c r="D6096" s="11" t="str">
        <f t="shared" si="1"/>
        <v> </v>
      </c>
      <c r="E6096" s="11" t="str">
        <f t="shared" si="2"/>
        <v>Repeat</v>
      </c>
    </row>
    <row r="6097" ht="15.75" customHeight="1">
      <c r="A6097" s="11">
        <v>17920.0</v>
      </c>
      <c r="B6097" s="11" t="s">
        <v>6075</v>
      </c>
      <c r="C6097" s="12">
        <v>19210.0</v>
      </c>
      <c r="D6097" s="11" t="str">
        <f t="shared" si="1"/>
        <v> </v>
      </c>
      <c r="E6097" s="11" t="str">
        <f t="shared" si="2"/>
        <v> </v>
      </c>
    </row>
    <row r="6098" ht="15.75" customHeight="1">
      <c r="A6098" s="11">
        <v>17922.0</v>
      </c>
      <c r="B6098" s="11" t="s">
        <v>6076</v>
      </c>
      <c r="C6098" s="12">
        <v>22308.0</v>
      </c>
      <c r="D6098" s="11" t="str">
        <f t="shared" si="1"/>
        <v> </v>
      </c>
      <c r="E6098" s="11" t="str">
        <f t="shared" si="2"/>
        <v> </v>
      </c>
    </row>
    <row r="6099" ht="15.75" customHeight="1">
      <c r="A6099" s="11">
        <v>17937.0</v>
      </c>
      <c r="B6099" s="11" t="s">
        <v>6077</v>
      </c>
      <c r="C6099" s="12">
        <v>30382.0</v>
      </c>
      <c r="D6099" s="11" t="str">
        <f t="shared" si="1"/>
        <v> </v>
      </c>
      <c r="E6099" s="11" t="str">
        <f t="shared" si="2"/>
        <v> </v>
      </c>
    </row>
    <row r="6100" ht="15.75" customHeight="1">
      <c r="A6100" s="11">
        <v>17505.0</v>
      </c>
      <c r="B6100" s="11" t="s">
        <v>6078</v>
      </c>
      <c r="C6100" s="12">
        <v>26394.0</v>
      </c>
      <c r="D6100" s="11" t="str">
        <f t="shared" si="1"/>
        <v> </v>
      </c>
      <c r="E6100" s="11" t="str">
        <f t="shared" si="2"/>
        <v> </v>
      </c>
    </row>
    <row r="6101" ht="15.75" customHeight="1">
      <c r="A6101" s="11">
        <v>17914.0</v>
      </c>
      <c r="B6101" s="11" t="s">
        <v>6079</v>
      </c>
      <c r="C6101" s="12">
        <v>20388.0</v>
      </c>
      <c r="D6101" s="11" t="str">
        <f t="shared" si="1"/>
        <v> </v>
      </c>
      <c r="E6101" s="11" t="str">
        <f t="shared" si="2"/>
        <v> </v>
      </c>
    </row>
    <row r="6102" ht="15.75" customHeight="1">
      <c r="A6102" s="11">
        <v>17874.0</v>
      </c>
      <c r="B6102" s="11" t="s">
        <v>6080</v>
      </c>
      <c r="C6102" s="12">
        <v>25944.0</v>
      </c>
      <c r="D6102" s="11" t="str">
        <f t="shared" si="1"/>
        <v> </v>
      </c>
      <c r="E6102" s="11" t="str">
        <f t="shared" si="2"/>
        <v> </v>
      </c>
    </row>
    <row r="6103" ht="15.75" customHeight="1">
      <c r="A6103" s="11">
        <v>17933.0</v>
      </c>
      <c r="B6103" s="11" t="s">
        <v>6081</v>
      </c>
      <c r="C6103" s="12">
        <v>24450.0</v>
      </c>
      <c r="D6103" s="11" t="str">
        <f t="shared" si="1"/>
        <v> </v>
      </c>
      <c r="E6103" s="11" t="str">
        <f t="shared" si="2"/>
        <v> </v>
      </c>
    </row>
    <row r="6104" ht="15.75" customHeight="1">
      <c r="A6104" s="11">
        <v>17938.0</v>
      </c>
      <c r="B6104" s="11" t="s">
        <v>6082</v>
      </c>
      <c r="C6104" s="12">
        <v>21414.0</v>
      </c>
      <c r="D6104" s="11" t="str">
        <f t="shared" si="1"/>
        <v> </v>
      </c>
      <c r="E6104" s="11" t="str">
        <f t="shared" si="2"/>
        <v> </v>
      </c>
    </row>
    <row r="6105" ht="15.75" customHeight="1">
      <c r="A6105" s="11">
        <v>17885.0</v>
      </c>
      <c r="B6105" s="11" t="s">
        <v>6083</v>
      </c>
      <c r="C6105" s="12">
        <v>31016.0</v>
      </c>
      <c r="D6105" s="11" t="str">
        <f t="shared" si="1"/>
        <v> </v>
      </c>
      <c r="E6105" s="11" t="str">
        <f t="shared" si="2"/>
        <v> </v>
      </c>
    </row>
    <row r="6106" ht="15.75" customHeight="1">
      <c r="A6106" s="11">
        <v>17915.0</v>
      </c>
      <c r="B6106" s="11" t="s">
        <v>6084</v>
      </c>
      <c r="C6106" s="12">
        <v>21364.0</v>
      </c>
      <c r="D6106" s="11" t="str">
        <f t="shared" si="1"/>
        <v> </v>
      </c>
      <c r="E6106" s="11" t="str">
        <f t="shared" si="2"/>
        <v> </v>
      </c>
    </row>
    <row r="6107" ht="15.75" customHeight="1">
      <c r="A6107" s="11">
        <v>17936.0</v>
      </c>
      <c r="B6107" s="11" t="s">
        <v>6085</v>
      </c>
      <c r="C6107" s="12">
        <v>18488.0</v>
      </c>
      <c r="D6107" s="11" t="str">
        <f t="shared" si="1"/>
        <v> </v>
      </c>
      <c r="E6107" s="11" t="str">
        <f t="shared" si="2"/>
        <v> </v>
      </c>
    </row>
    <row r="6108" ht="15.75" customHeight="1">
      <c r="A6108" s="11">
        <v>17906.0</v>
      </c>
      <c r="B6108" s="11" t="s">
        <v>6086</v>
      </c>
      <c r="C6108" s="12">
        <v>32482.0</v>
      </c>
      <c r="D6108" s="11" t="str">
        <f t="shared" si="1"/>
        <v> </v>
      </c>
      <c r="E6108" s="11" t="str">
        <f t="shared" si="2"/>
        <v> </v>
      </c>
    </row>
    <row r="6109" ht="15.75" customHeight="1">
      <c r="A6109" s="11">
        <v>17964.0</v>
      </c>
      <c r="B6109" s="11" t="s">
        <v>6087</v>
      </c>
      <c r="C6109" s="12">
        <v>23564.0</v>
      </c>
      <c r="D6109" s="11" t="str">
        <f t="shared" si="1"/>
        <v> </v>
      </c>
      <c r="E6109" s="11" t="str">
        <f t="shared" si="2"/>
        <v> </v>
      </c>
    </row>
    <row r="6110" ht="15.75" customHeight="1">
      <c r="A6110" s="11">
        <v>17943.0</v>
      </c>
      <c r="B6110" s="11" t="s">
        <v>6088</v>
      </c>
      <c r="C6110" s="12">
        <v>35363.0</v>
      </c>
      <c r="D6110" s="11" t="str">
        <f t="shared" si="1"/>
        <v> </v>
      </c>
      <c r="E6110" s="11" t="str">
        <f t="shared" si="2"/>
        <v> </v>
      </c>
    </row>
    <row r="6111" ht="15.75" customHeight="1">
      <c r="A6111" s="11">
        <v>10199.0</v>
      </c>
      <c r="B6111" s="11" t="s">
        <v>5016</v>
      </c>
      <c r="C6111" s="12">
        <v>14188.0</v>
      </c>
      <c r="D6111" s="11" t="str">
        <f t="shared" si="1"/>
        <v>Repeat</v>
      </c>
      <c r="E6111" s="11" t="str">
        <f t="shared" si="2"/>
        <v> </v>
      </c>
    </row>
    <row r="6112" ht="15.75" customHeight="1">
      <c r="A6112" s="11">
        <v>17316.0</v>
      </c>
      <c r="B6112" s="11" t="s">
        <v>6089</v>
      </c>
      <c r="C6112" s="12">
        <v>21188.0</v>
      </c>
      <c r="D6112" s="11" t="str">
        <f t="shared" si="1"/>
        <v> </v>
      </c>
      <c r="E6112" s="11" t="str">
        <f t="shared" si="2"/>
        <v>Repeat</v>
      </c>
    </row>
    <row r="6113" ht="15.75" customHeight="1">
      <c r="A6113" s="11">
        <v>17946.0</v>
      </c>
      <c r="B6113" s="11" t="s">
        <v>6090</v>
      </c>
      <c r="C6113" s="12">
        <v>28061.0</v>
      </c>
      <c r="D6113" s="11" t="str">
        <f t="shared" si="1"/>
        <v> </v>
      </c>
      <c r="E6113" s="11" t="str">
        <f t="shared" si="2"/>
        <v> </v>
      </c>
    </row>
    <row r="6114" ht="15.75" customHeight="1">
      <c r="A6114" s="11">
        <v>17834.0</v>
      </c>
      <c r="B6114" s="11" t="s">
        <v>5971</v>
      </c>
      <c r="C6114" s="12">
        <v>46791.0</v>
      </c>
      <c r="D6114" s="11" t="str">
        <f t="shared" si="1"/>
        <v>Repeat</v>
      </c>
      <c r="E6114" s="11" t="str">
        <f t="shared" si="2"/>
        <v>Repeat</v>
      </c>
    </row>
    <row r="6115" ht="15.75" customHeight="1">
      <c r="A6115" s="11">
        <v>17911.0</v>
      </c>
      <c r="B6115" s="11" t="s">
        <v>6091</v>
      </c>
      <c r="C6115" s="12">
        <v>24230.0</v>
      </c>
      <c r="D6115" s="11" t="str">
        <f t="shared" si="1"/>
        <v> </v>
      </c>
      <c r="E6115" s="11" t="str">
        <f t="shared" si="2"/>
        <v> </v>
      </c>
    </row>
    <row r="6116" ht="15.75" customHeight="1">
      <c r="A6116" s="11">
        <v>17887.0</v>
      </c>
      <c r="B6116" s="11" t="s">
        <v>6092</v>
      </c>
      <c r="C6116" s="12">
        <v>20748.0</v>
      </c>
      <c r="D6116" s="11" t="str">
        <f t="shared" si="1"/>
        <v> </v>
      </c>
      <c r="E6116" s="11" t="str">
        <f t="shared" si="2"/>
        <v>Repeat</v>
      </c>
    </row>
    <row r="6117" ht="15.75" customHeight="1">
      <c r="A6117" s="11">
        <v>17916.0</v>
      </c>
      <c r="B6117" s="11" t="s">
        <v>6093</v>
      </c>
      <c r="C6117" s="12">
        <v>19228.0</v>
      </c>
      <c r="D6117" s="11" t="str">
        <f t="shared" si="1"/>
        <v> </v>
      </c>
      <c r="E6117" s="11" t="str">
        <f t="shared" si="2"/>
        <v> </v>
      </c>
    </row>
    <row r="6118" ht="15.75" customHeight="1">
      <c r="A6118" s="11" t="s">
        <v>6094</v>
      </c>
      <c r="B6118" s="11" t="s">
        <v>6095</v>
      </c>
      <c r="C6118" s="12">
        <v>36131.0</v>
      </c>
      <c r="D6118" s="11" t="str">
        <f t="shared" si="1"/>
        <v> </v>
      </c>
      <c r="E6118" s="11" t="str">
        <f t="shared" si="2"/>
        <v> </v>
      </c>
    </row>
    <row r="6119" ht="15.75" customHeight="1">
      <c r="A6119" s="11" t="s">
        <v>6096</v>
      </c>
      <c r="B6119" s="11" t="s">
        <v>4834</v>
      </c>
      <c r="C6119" s="12">
        <v>29866.0</v>
      </c>
      <c r="D6119" s="11" t="str">
        <f t="shared" si="1"/>
        <v>Repeat</v>
      </c>
      <c r="E6119" s="11" t="str">
        <f t="shared" si="2"/>
        <v> </v>
      </c>
    </row>
    <row r="6120" ht="15.75" customHeight="1">
      <c r="A6120" s="11">
        <v>17961.0</v>
      </c>
      <c r="B6120" s="11" t="s">
        <v>6097</v>
      </c>
      <c r="C6120" s="12">
        <v>19763.0</v>
      </c>
      <c r="D6120" s="11" t="str">
        <f t="shared" si="1"/>
        <v> </v>
      </c>
      <c r="E6120" s="11" t="str">
        <f t="shared" si="2"/>
        <v> </v>
      </c>
    </row>
    <row r="6121" ht="15.75" customHeight="1">
      <c r="A6121" s="11">
        <v>14970.0</v>
      </c>
      <c r="B6121" s="11" t="s">
        <v>6098</v>
      </c>
      <c r="C6121" s="12">
        <v>21041.0</v>
      </c>
      <c r="D6121" s="11" t="str">
        <f t="shared" si="1"/>
        <v> </v>
      </c>
      <c r="E6121" s="11" t="str">
        <f t="shared" si="2"/>
        <v> </v>
      </c>
    </row>
    <row r="6122" ht="15.75" customHeight="1">
      <c r="A6122" s="11">
        <v>17968.0</v>
      </c>
      <c r="B6122" s="11" t="s">
        <v>6099</v>
      </c>
      <c r="C6122" s="12">
        <v>30725.0</v>
      </c>
      <c r="D6122" s="11" t="str">
        <f t="shared" si="1"/>
        <v> </v>
      </c>
      <c r="E6122" s="11" t="str">
        <f t="shared" si="2"/>
        <v> </v>
      </c>
    </row>
    <row r="6123" ht="15.75" customHeight="1">
      <c r="A6123" s="11">
        <v>17989.0</v>
      </c>
      <c r="B6123" s="11" t="s">
        <v>6100</v>
      </c>
      <c r="C6123" s="12">
        <v>19432.0</v>
      </c>
      <c r="D6123" s="11" t="str">
        <f t="shared" si="1"/>
        <v> </v>
      </c>
      <c r="E6123" s="11" t="str">
        <f t="shared" si="2"/>
        <v> </v>
      </c>
    </row>
    <row r="6124" ht="15.75" customHeight="1">
      <c r="A6124" s="11">
        <v>17917.0</v>
      </c>
      <c r="B6124" s="11" t="s">
        <v>6101</v>
      </c>
      <c r="C6124" s="12">
        <v>22565.0</v>
      </c>
      <c r="D6124" s="11" t="str">
        <f t="shared" si="1"/>
        <v> </v>
      </c>
      <c r="E6124" s="11" t="str">
        <f t="shared" si="2"/>
        <v> </v>
      </c>
    </row>
    <row r="6125" ht="15.75" customHeight="1">
      <c r="A6125" s="11">
        <v>17976.0</v>
      </c>
      <c r="B6125" s="11" t="s">
        <v>6102</v>
      </c>
      <c r="C6125" s="12">
        <v>23174.0</v>
      </c>
      <c r="D6125" s="11" t="str">
        <f t="shared" si="1"/>
        <v> </v>
      </c>
      <c r="E6125" s="11" t="str">
        <f t="shared" si="2"/>
        <v> </v>
      </c>
    </row>
    <row r="6126" ht="15.75" customHeight="1">
      <c r="A6126" s="11">
        <v>17972.0</v>
      </c>
      <c r="B6126" s="11" t="s">
        <v>6103</v>
      </c>
      <c r="C6126" s="12">
        <v>35149.0</v>
      </c>
      <c r="D6126" s="11" t="str">
        <f t="shared" si="1"/>
        <v> </v>
      </c>
      <c r="E6126" s="11" t="str">
        <f t="shared" si="2"/>
        <v> </v>
      </c>
    </row>
    <row r="6127" ht="15.75" customHeight="1">
      <c r="A6127" s="11" t="s">
        <v>6104</v>
      </c>
      <c r="B6127" s="11" t="s">
        <v>988</v>
      </c>
      <c r="C6127" s="12">
        <v>19283.0</v>
      </c>
      <c r="D6127" s="11" t="str">
        <f t="shared" si="1"/>
        <v>Repeat</v>
      </c>
      <c r="E6127" s="11" t="str">
        <f t="shared" si="2"/>
        <v> </v>
      </c>
    </row>
    <row r="6128" ht="15.75" customHeight="1">
      <c r="A6128" s="11">
        <v>17944.0</v>
      </c>
      <c r="B6128" s="11" t="s">
        <v>6105</v>
      </c>
      <c r="C6128" s="12">
        <v>23947.0</v>
      </c>
      <c r="D6128" s="11" t="str">
        <f t="shared" si="1"/>
        <v> </v>
      </c>
      <c r="E6128" s="11" t="str">
        <f t="shared" si="2"/>
        <v> </v>
      </c>
    </row>
    <row r="6129" ht="15.75" customHeight="1">
      <c r="A6129" s="11">
        <v>17898.0</v>
      </c>
      <c r="B6129" s="11" t="s">
        <v>2215</v>
      </c>
      <c r="C6129" s="12">
        <v>26311.0</v>
      </c>
      <c r="D6129" s="11" t="str">
        <f t="shared" si="1"/>
        <v>Repeat</v>
      </c>
      <c r="E6129" s="11" t="str">
        <f t="shared" si="2"/>
        <v> </v>
      </c>
    </row>
    <row r="6130" ht="15.75" customHeight="1">
      <c r="A6130" s="11">
        <v>17927.0</v>
      </c>
      <c r="B6130" s="11" t="s">
        <v>6106</v>
      </c>
      <c r="C6130" s="12">
        <v>33140.0</v>
      </c>
      <c r="D6130" s="11" t="str">
        <f t="shared" si="1"/>
        <v> </v>
      </c>
      <c r="E6130" s="11" t="str">
        <f t="shared" si="2"/>
        <v> </v>
      </c>
    </row>
    <row r="6131" ht="15.75" customHeight="1">
      <c r="A6131" s="11">
        <v>17934.0</v>
      </c>
      <c r="B6131" s="11" t="s">
        <v>1568</v>
      </c>
      <c r="C6131" s="12">
        <v>18228.0</v>
      </c>
      <c r="D6131" s="11" t="str">
        <f t="shared" si="1"/>
        <v>Repeat</v>
      </c>
      <c r="E6131" s="11" t="str">
        <f t="shared" si="2"/>
        <v> </v>
      </c>
    </row>
    <row r="6132" ht="15.75" customHeight="1">
      <c r="A6132" s="11">
        <v>17766.0</v>
      </c>
      <c r="B6132" s="11" t="s">
        <v>6107</v>
      </c>
      <c r="C6132" s="12">
        <v>14154.0</v>
      </c>
      <c r="D6132" s="11" t="str">
        <f t="shared" si="1"/>
        <v> </v>
      </c>
      <c r="E6132" s="11" t="str">
        <f t="shared" si="2"/>
        <v> </v>
      </c>
    </row>
    <row r="6133" ht="15.75" customHeight="1">
      <c r="A6133" s="11">
        <v>11252.0</v>
      </c>
      <c r="B6133" s="11" t="s">
        <v>878</v>
      </c>
      <c r="C6133" s="12">
        <v>47467.0</v>
      </c>
      <c r="D6133" s="11" t="str">
        <f t="shared" si="1"/>
        <v>Repeat</v>
      </c>
      <c r="E6133" s="11" t="str">
        <f t="shared" si="2"/>
        <v>Repeat</v>
      </c>
    </row>
    <row r="6134" ht="15.75" customHeight="1">
      <c r="A6134" s="11">
        <v>17925.0</v>
      </c>
      <c r="B6134" s="11" t="s">
        <v>6108</v>
      </c>
      <c r="C6134" s="12">
        <v>29719.0</v>
      </c>
      <c r="D6134" s="11" t="str">
        <f t="shared" si="1"/>
        <v> </v>
      </c>
      <c r="E6134" s="11" t="str">
        <f t="shared" si="2"/>
        <v> </v>
      </c>
    </row>
    <row r="6135" ht="15.75" customHeight="1">
      <c r="A6135" s="11">
        <v>17907.0</v>
      </c>
      <c r="B6135" s="11" t="s">
        <v>6109</v>
      </c>
      <c r="C6135" s="12">
        <v>20103.0</v>
      </c>
      <c r="D6135" s="11" t="str">
        <f t="shared" si="1"/>
        <v> </v>
      </c>
      <c r="E6135" s="11" t="str">
        <f t="shared" si="2"/>
        <v> </v>
      </c>
    </row>
    <row r="6136" ht="15.75" customHeight="1">
      <c r="A6136" s="11">
        <v>17932.0</v>
      </c>
      <c r="B6136" s="11" t="s">
        <v>6110</v>
      </c>
      <c r="C6136" s="12">
        <v>33533.0</v>
      </c>
      <c r="D6136" s="11" t="str">
        <f t="shared" si="1"/>
        <v> </v>
      </c>
      <c r="E6136" s="11" t="str">
        <f t="shared" si="2"/>
        <v> </v>
      </c>
    </row>
    <row r="6137" ht="15.75" customHeight="1">
      <c r="A6137" s="11">
        <v>17899.0</v>
      </c>
      <c r="B6137" s="11" t="s">
        <v>6111</v>
      </c>
      <c r="C6137" s="12">
        <v>29778.0</v>
      </c>
      <c r="D6137" s="11" t="str">
        <f t="shared" si="1"/>
        <v> </v>
      </c>
      <c r="E6137" s="11" t="str">
        <f t="shared" si="2"/>
        <v> </v>
      </c>
    </row>
    <row r="6138" ht="15.75" customHeight="1">
      <c r="A6138" s="11">
        <v>17918.0</v>
      </c>
      <c r="B6138" s="11" t="s">
        <v>6112</v>
      </c>
      <c r="C6138" s="12">
        <v>15623.0</v>
      </c>
      <c r="D6138" s="11" t="str">
        <f t="shared" si="1"/>
        <v> </v>
      </c>
      <c r="E6138" s="11" t="str">
        <f t="shared" si="2"/>
        <v> </v>
      </c>
    </row>
    <row r="6139" ht="15.75" customHeight="1">
      <c r="A6139" s="11">
        <v>17829.0</v>
      </c>
      <c r="B6139" s="11" t="s">
        <v>6113</v>
      </c>
      <c r="C6139" s="12">
        <v>20919.0</v>
      </c>
      <c r="D6139" s="11" t="str">
        <f t="shared" si="1"/>
        <v> </v>
      </c>
      <c r="E6139" s="11" t="str">
        <f t="shared" si="2"/>
        <v> </v>
      </c>
    </row>
    <row r="6140" ht="15.75" customHeight="1">
      <c r="A6140" s="11">
        <v>17908.0</v>
      </c>
      <c r="B6140" s="11" t="s">
        <v>6114</v>
      </c>
      <c r="C6140" s="12">
        <v>22882.0</v>
      </c>
      <c r="D6140" s="11" t="str">
        <f t="shared" si="1"/>
        <v> </v>
      </c>
      <c r="E6140" s="11" t="str">
        <f t="shared" si="2"/>
        <v> </v>
      </c>
    </row>
    <row r="6141" ht="15.75" customHeight="1">
      <c r="A6141" s="11">
        <v>17926.0</v>
      </c>
      <c r="B6141" s="11" t="s">
        <v>6115</v>
      </c>
      <c r="C6141" s="12">
        <v>28481.0</v>
      </c>
      <c r="D6141" s="11" t="str">
        <f t="shared" si="1"/>
        <v> </v>
      </c>
      <c r="E6141" s="11" t="str">
        <f t="shared" si="2"/>
        <v> </v>
      </c>
    </row>
    <row r="6142" ht="15.75" customHeight="1">
      <c r="A6142" s="11" t="s">
        <v>6116</v>
      </c>
      <c r="B6142" s="11" t="s">
        <v>3598</v>
      </c>
      <c r="C6142" s="12">
        <v>26794.0</v>
      </c>
      <c r="D6142" s="11" t="str">
        <f t="shared" si="1"/>
        <v>Repeat</v>
      </c>
      <c r="E6142" s="11" t="str">
        <f t="shared" si="2"/>
        <v> </v>
      </c>
    </row>
    <row r="6143" ht="15.75" customHeight="1">
      <c r="A6143" s="11">
        <v>17842.0</v>
      </c>
      <c r="B6143" s="11" t="s">
        <v>6117</v>
      </c>
      <c r="C6143" s="12">
        <v>32715.0</v>
      </c>
      <c r="D6143" s="11" t="str">
        <f t="shared" si="1"/>
        <v> </v>
      </c>
      <c r="E6143" s="11" t="str">
        <f t="shared" si="2"/>
        <v> </v>
      </c>
    </row>
    <row r="6144" ht="15.75" customHeight="1">
      <c r="A6144" s="11">
        <v>17746.0</v>
      </c>
      <c r="B6144" s="11" t="s">
        <v>6118</v>
      </c>
      <c r="C6144" s="12">
        <v>23814.0</v>
      </c>
      <c r="D6144" s="11" t="str">
        <f t="shared" si="1"/>
        <v> </v>
      </c>
      <c r="E6144" s="11" t="str">
        <f t="shared" si="2"/>
        <v> </v>
      </c>
    </row>
    <row r="6145" ht="15.75" customHeight="1">
      <c r="A6145" s="11">
        <v>17905.0</v>
      </c>
      <c r="B6145" s="11" t="s">
        <v>6119</v>
      </c>
      <c r="C6145" s="12">
        <v>25479.0</v>
      </c>
      <c r="D6145" s="11" t="str">
        <f t="shared" si="1"/>
        <v> </v>
      </c>
      <c r="E6145" s="11" t="str">
        <f t="shared" si="2"/>
        <v>Repeat</v>
      </c>
    </row>
    <row r="6146" ht="15.75" customHeight="1">
      <c r="A6146" s="11">
        <v>17950.0</v>
      </c>
      <c r="B6146" s="11" t="s">
        <v>6120</v>
      </c>
      <c r="C6146" s="12">
        <v>28008.0</v>
      </c>
      <c r="D6146" s="11" t="str">
        <f t="shared" si="1"/>
        <v> </v>
      </c>
      <c r="E6146" s="11" t="str">
        <f t="shared" si="2"/>
        <v> </v>
      </c>
    </row>
    <row r="6147" ht="15.75" customHeight="1">
      <c r="A6147" s="11">
        <v>17978.0</v>
      </c>
      <c r="B6147" s="11" t="s">
        <v>6121</v>
      </c>
      <c r="C6147" s="12">
        <v>19055.0</v>
      </c>
      <c r="D6147" s="11" t="str">
        <f t="shared" si="1"/>
        <v> </v>
      </c>
      <c r="E6147" s="11" t="str">
        <f t="shared" si="2"/>
        <v> </v>
      </c>
    </row>
    <row r="6148" ht="15.75" customHeight="1">
      <c r="A6148" s="11">
        <v>17891.0</v>
      </c>
      <c r="B6148" s="11" t="s">
        <v>6122</v>
      </c>
      <c r="C6148" s="12">
        <v>17366.0</v>
      </c>
      <c r="D6148" s="11" t="str">
        <f t="shared" si="1"/>
        <v> </v>
      </c>
      <c r="E6148" s="11" t="str">
        <f t="shared" si="2"/>
        <v>Repeat</v>
      </c>
    </row>
    <row r="6149" ht="15.75" customHeight="1">
      <c r="A6149" s="11">
        <v>17979.0</v>
      </c>
      <c r="B6149" s="11" t="s">
        <v>6123</v>
      </c>
      <c r="C6149" s="12">
        <v>14807.0</v>
      </c>
      <c r="D6149" s="11" t="str">
        <f t="shared" si="1"/>
        <v> </v>
      </c>
      <c r="E6149" s="11" t="str">
        <f t="shared" si="2"/>
        <v> </v>
      </c>
    </row>
    <row r="6150" ht="15.75" customHeight="1">
      <c r="A6150" s="11">
        <v>17942.0</v>
      </c>
      <c r="B6150" s="11" t="s">
        <v>6124</v>
      </c>
      <c r="C6150" s="12">
        <v>23407.0</v>
      </c>
      <c r="D6150" s="11" t="str">
        <f t="shared" si="1"/>
        <v> </v>
      </c>
      <c r="E6150" s="11" t="str">
        <f t="shared" si="2"/>
        <v> </v>
      </c>
    </row>
    <row r="6151" ht="15.75" customHeight="1">
      <c r="A6151" s="11">
        <v>17619.0</v>
      </c>
      <c r="B6151" s="11" t="s">
        <v>6125</v>
      </c>
      <c r="C6151" s="12">
        <v>22908.0</v>
      </c>
      <c r="D6151" s="11" t="str">
        <f t="shared" si="1"/>
        <v> </v>
      </c>
      <c r="E6151" s="11" t="str">
        <f t="shared" si="2"/>
        <v> </v>
      </c>
    </row>
    <row r="6152" ht="15.75" customHeight="1">
      <c r="A6152" s="11" t="s">
        <v>6126</v>
      </c>
      <c r="B6152" s="11" t="s">
        <v>4101</v>
      </c>
      <c r="C6152" s="12">
        <v>27398.0</v>
      </c>
      <c r="D6152" s="11" t="str">
        <f t="shared" si="1"/>
        <v>Repeat</v>
      </c>
      <c r="E6152" s="11" t="str">
        <f t="shared" si="2"/>
        <v> </v>
      </c>
    </row>
    <row r="6153" ht="15.75" customHeight="1">
      <c r="A6153" s="11" t="s">
        <v>6127</v>
      </c>
      <c r="B6153" s="11" t="s">
        <v>862</v>
      </c>
      <c r="C6153" s="12">
        <v>24298.0</v>
      </c>
      <c r="D6153" s="11" t="str">
        <f t="shared" si="1"/>
        <v>Repeat</v>
      </c>
      <c r="E6153" s="11" t="str">
        <f t="shared" si="2"/>
        <v> </v>
      </c>
    </row>
    <row r="6154" ht="15.75" customHeight="1">
      <c r="A6154" s="11">
        <v>9660.0</v>
      </c>
      <c r="B6154" s="11" t="s">
        <v>6128</v>
      </c>
      <c r="C6154" s="12">
        <v>26603.0</v>
      </c>
      <c r="D6154" s="11" t="str">
        <f t="shared" si="1"/>
        <v> </v>
      </c>
      <c r="E6154" s="11" t="str">
        <f t="shared" si="2"/>
        <v> </v>
      </c>
    </row>
    <row r="6155" ht="15.75" customHeight="1">
      <c r="A6155" s="11" t="s">
        <v>6129</v>
      </c>
      <c r="B6155" s="11" t="s">
        <v>4495</v>
      </c>
      <c r="C6155" s="12">
        <v>16346.0</v>
      </c>
      <c r="D6155" s="11" t="str">
        <f t="shared" si="1"/>
        <v>Repeat</v>
      </c>
      <c r="E6155" s="11" t="str">
        <f t="shared" si="2"/>
        <v> </v>
      </c>
    </row>
    <row r="6156" ht="15.75" customHeight="1">
      <c r="A6156" s="11">
        <v>17935.0</v>
      </c>
      <c r="B6156" s="11" t="s">
        <v>6130</v>
      </c>
      <c r="C6156" s="12">
        <v>29638.0</v>
      </c>
      <c r="D6156" s="11" t="str">
        <f t="shared" si="1"/>
        <v> </v>
      </c>
      <c r="E6156" s="11" t="str">
        <f t="shared" si="2"/>
        <v> </v>
      </c>
    </row>
    <row r="6157" ht="15.75" customHeight="1">
      <c r="A6157" s="11">
        <v>17744.0</v>
      </c>
      <c r="B6157" s="11" t="s">
        <v>5927</v>
      </c>
      <c r="C6157" s="12">
        <v>22150.0</v>
      </c>
      <c r="D6157" s="11" t="str">
        <f t="shared" si="1"/>
        <v>Repeat</v>
      </c>
      <c r="E6157" s="11" t="str">
        <f t="shared" si="2"/>
        <v>Repeat</v>
      </c>
    </row>
    <row r="6158" ht="15.75" customHeight="1">
      <c r="A6158" s="11">
        <v>16700.0</v>
      </c>
      <c r="B6158" s="11" t="s">
        <v>4886</v>
      </c>
      <c r="C6158" s="12">
        <v>46348.0</v>
      </c>
      <c r="D6158" s="11" t="str">
        <f t="shared" si="1"/>
        <v>Repeat</v>
      </c>
      <c r="E6158" s="11" t="str">
        <f t="shared" si="2"/>
        <v>Repeat</v>
      </c>
    </row>
    <row r="6159" ht="15.75" customHeight="1">
      <c r="A6159" s="11">
        <v>17924.0</v>
      </c>
      <c r="B6159" s="11" t="s">
        <v>6131</v>
      </c>
      <c r="C6159" s="12">
        <v>15003.0</v>
      </c>
      <c r="D6159" s="11" t="str">
        <f t="shared" si="1"/>
        <v> </v>
      </c>
      <c r="E6159" s="11" t="str">
        <f t="shared" si="2"/>
        <v> </v>
      </c>
    </row>
    <row r="6160" ht="15.75" customHeight="1">
      <c r="A6160" s="11">
        <v>17999.0</v>
      </c>
      <c r="B6160" s="11" t="s">
        <v>6132</v>
      </c>
      <c r="C6160" s="12">
        <v>23637.0</v>
      </c>
      <c r="D6160" s="11" t="str">
        <f t="shared" si="1"/>
        <v> </v>
      </c>
      <c r="E6160" s="11" t="str">
        <f t="shared" si="2"/>
        <v> </v>
      </c>
    </row>
    <row r="6161" ht="15.75" customHeight="1">
      <c r="A6161" s="11" t="s">
        <v>6133</v>
      </c>
      <c r="B6161" s="11" t="s">
        <v>4246</v>
      </c>
      <c r="C6161" s="12">
        <v>30701.0</v>
      </c>
      <c r="D6161" s="11" t="str">
        <f t="shared" si="1"/>
        <v>Repeat</v>
      </c>
      <c r="E6161" s="11" t="str">
        <f t="shared" si="2"/>
        <v> </v>
      </c>
    </row>
    <row r="6162" ht="15.75" customHeight="1">
      <c r="A6162" s="11">
        <v>17121.0</v>
      </c>
      <c r="B6162" s="11" t="s">
        <v>5221</v>
      </c>
      <c r="C6162" s="12">
        <v>46610.0</v>
      </c>
      <c r="D6162" s="11" t="str">
        <f t="shared" si="1"/>
        <v>Repeat</v>
      </c>
      <c r="E6162" s="11" t="str">
        <f t="shared" si="2"/>
        <v>Repeat</v>
      </c>
    </row>
    <row r="6163" ht="15.75" customHeight="1">
      <c r="A6163" s="11" t="s">
        <v>6134</v>
      </c>
      <c r="B6163" s="11" t="s">
        <v>43</v>
      </c>
      <c r="C6163" s="12">
        <v>29032.0</v>
      </c>
      <c r="D6163" s="11" t="str">
        <f t="shared" si="1"/>
        <v>Repeat</v>
      </c>
      <c r="E6163" s="11" t="str">
        <f t="shared" si="2"/>
        <v> </v>
      </c>
    </row>
    <row r="6164" ht="15.75" customHeight="1">
      <c r="A6164" s="11">
        <v>17985.0</v>
      </c>
      <c r="B6164" s="11" t="s">
        <v>6135</v>
      </c>
      <c r="C6164" s="12">
        <v>25416.0</v>
      </c>
      <c r="D6164" s="11" t="str">
        <f t="shared" si="1"/>
        <v> </v>
      </c>
      <c r="E6164" s="11" t="str">
        <f t="shared" si="2"/>
        <v> </v>
      </c>
    </row>
    <row r="6165" ht="15.75" customHeight="1">
      <c r="A6165" s="11">
        <v>17973.0</v>
      </c>
      <c r="B6165" s="11" t="s">
        <v>6136</v>
      </c>
      <c r="C6165" s="12">
        <v>19160.0</v>
      </c>
      <c r="D6165" s="11" t="str">
        <f t="shared" si="1"/>
        <v> </v>
      </c>
      <c r="E6165" s="11" t="str">
        <f t="shared" si="2"/>
        <v> </v>
      </c>
    </row>
    <row r="6166" ht="15.75" customHeight="1">
      <c r="A6166" s="11">
        <v>17963.0</v>
      </c>
      <c r="B6166" s="11" t="s">
        <v>6137</v>
      </c>
      <c r="C6166" s="12">
        <v>19664.0</v>
      </c>
      <c r="D6166" s="11" t="str">
        <f t="shared" si="1"/>
        <v> </v>
      </c>
      <c r="E6166" s="11" t="str">
        <f t="shared" si="2"/>
        <v> </v>
      </c>
    </row>
    <row r="6167" ht="15.75" customHeight="1">
      <c r="A6167" s="11" t="s">
        <v>6138</v>
      </c>
      <c r="B6167" s="11" t="s">
        <v>158</v>
      </c>
      <c r="C6167" s="12">
        <v>20558.0</v>
      </c>
      <c r="D6167" s="11" t="str">
        <f t="shared" si="1"/>
        <v>Repeat</v>
      </c>
      <c r="E6167" s="11" t="str">
        <f t="shared" si="2"/>
        <v> </v>
      </c>
    </row>
    <row r="6168" ht="15.75" customHeight="1">
      <c r="A6168" s="11">
        <v>17995.0</v>
      </c>
      <c r="B6168" s="11" t="s">
        <v>6139</v>
      </c>
      <c r="C6168" s="12">
        <v>19167.0</v>
      </c>
      <c r="D6168" s="11" t="str">
        <f t="shared" si="1"/>
        <v> </v>
      </c>
      <c r="E6168" s="11" t="str">
        <f t="shared" si="2"/>
        <v> </v>
      </c>
    </row>
    <row r="6169" ht="15.75" customHeight="1">
      <c r="A6169" s="11">
        <v>9290.0</v>
      </c>
      <c r="B6169" s="11" t="s">
        <v>6140</v>
      </c>
      <c r="C6169" s="12">
        <v>30719.0</v>
      </c>
      <c r="D6169" s="11" t="str">
        <f t="shared" si="1"/>
        <v> </v>
      </c>
      <c r="E6169" s="11" t="str">
        <f t="shared" si="2"/>
        <v> </v>
      </c>
    </row>
    <row r="6170" ht="15.75" customHeight="1">
      <c r="A6170" s="11">
        <v>17659.0</v>
      </c>
      <c r="B6170" s="11" t="s">
        <v>6141</v>
      </c>
      <c r="C6170" s="12">
        <v>19776.0</v>
      </c>
      <c r="D6170" s="11" t="str">
        <f t="shared" si="1"/>
        <v> </v>
      </c>
      <c r="E6170" s="11" t="str">
        <f t="shared" si="2"/>
        <v>Repeat</v>
      </c>
    </row>
    <row r="6171" ht="15.75" customHeight="1">
      <c r="A6171" s="11">
        <v>17665.0</v>
      </c>
      <c r="B6171" s="11" t="s">
        <v>6142</v>
      </c>
      <c r="C6171" s="12">
        <v>11991.0</v>
      </c>
      <c r="D6171" s="11" t="str">
        <f t="shared" si="1"/>
        <v> </v>
      </c>
      <c r="E6171" s="11" t="str">
        <f t="shared" si="2"/>
        <v>Repeat</v>
      </c>
    </row>
    <row r="6172" ht="15.75" customHeight="1">
      <c r="A6172" s="11" t="s">
        <v>6143</v>
      </c>
      <c r="B6172" s="11" t="s">
        <v>3114</v>
      </c>
      <c r="C6172" s="12">
        <v>25774.0</v>
      </c>
      <c r="D6172" s="11" t="str">
        <f t="shared" si="1"/>
        <v>Repeat</v>
      </c>
      <c r="E6172" s="11" t="str">
        <f t="shared" si="2"/>
        <v> </v>
      </c>
    </row>
    <row r="6173" ht="15.75" customHeight="1">
      <c r="A6173" s="11">
        <v>11571.0</v>
      </c>
      <c r="B6173" s="11" t="s">
        <v>1010</v>
      </c>
      <c r="C6173" s="12">
        <v>45194.0</v>
      </c>
      <c r="D6173" s="11" t="str">
        <f t="shared" si="1"/>
        <v>Repeat</v>
      </c>
      <c r="E6173" s="11" t="str">
        <f t="shared" si="2"/>
        <v>Repeat</v>
      </c>
    </row>
    <row r="6174" ht="15.75" customHeight="1">
      <c r="A6174" s="11">
        <v>17422.0</v>
      </c>
      <c r="B6174" s="11" t="s">
        <v>6144</v>
      </c>
      <c r="C6174" s="12">
        <v>25496.0</v>
      </c>
      <c r="D6174" s="11" t="str">
        <f t="shared" si="1"/>
        <v> </v>
      </c>
      <c r="E6174" s="11" t="str">
        <f t="shared" si="2"/>
        <v>Repeat</v>
      </c>
    </row>
    <row r="6175" ht="15.75" customHeight="1">
      <c r="A6175" s="11">
        <v>17876.0</v>
      </c>
      <c r="B6175" s="11" t="s">
        <v>6145</v>
      </c>
      <c r="C6175" s="12">
        <v>31859.0</v>
      </c>
      <c r="D6175" s="11" t="str">
        <f t="shared" si="1"/>
        <v> </v>
      </c>
      <c r="E6175" s="11" t="str">
        <f t="shared" si="2"/>
        <v> </v>
      </c>
    </row>
    <row r="6176" ht="15.75" customHeight="1">
      <c r="A6176" s="11">
        <v>17345.0</v>
      </c>
      <c r="B6176" s="11" t="s">
        <v>6146</v>
      </c>
      <c r="C6176" s="12">
        <v>30508.0</v>
      </c>
      <c r="D6176" s="11" t="str">
        <f t="shared" si="1"/>
        <v> </v>
      </c>
      <c r="E6176" s="11" t="str">
        <f t="shared" si="2"/>
        <v> </v>
      </c>
    </row>
    <row r="6177" ht="15.75" customHeight="1">
      <c r="A6177" s="11">
        <v>17145.0</v>
      </c>
      <c r="B6177" s="11" t="s">
        <v>6147</v>
      </c>
      <c r="C6177" s="12">
        <v>30612.0</v>
      </c>
      <c r="D6177" s="11" t="str">
        <f t="shared" si="1"/>
        <v> </v>
      </c>
      <c r="E6177" s="11" t="str">
        <f t="shared" si="2"/>
        <v>Repeat</v>
      </c>
    </row>
    <row r="6178" ht="15.75" customHeight="1">
      <c r="A6178" s="11">
        <v>17861.0</v>
      </c>
      <c r="B6178" s="11" t="s">
        <v>6148</v>
      </c>
      <c r="C6178" s="12">
        <v>21685.0</v>
      </c>
      <c r="D6178" s="11" t="str">
        <f t="shared" si="1"/>
        <v> </v>
      </c>
      <c r="E6178" s="11" t="str">
        <f t="shared" si="2"/>
        <v> </v>
      </c>
    </row>
    <row r="6179" ht="15.75" customHeight="1">
      <c r="A6179" s="11">
        <v>17993.0</v>
      </c>
      <c r="B6179" s="11" t="s">
        <v>6149</v>
      </c>
      <c r="C6179" s="12">
        <v>31738.0</v>
      </c>
      <c r="D6179" s="11" t="str">
        <f t="shared" si="1"/>
        <v> </v>
      </c>
      <c r="E6179" s="11" t="str">
        <f t="shared" si="2"/>
        <v> </v>
      </c>
    </row>
    <row r="6180" ht="15.75" customHeight="1">
      <c r="A6180" s="11">
        <v>17988.0</v>
      </c>
      <c r="B6180" s="11" t="s">
        <v>6150</v>
      </c>
      <c r="C6180" s="12">
        <v>27091.0</v>
      </c>
      <c r="D6180" s="11" t="str">
        <f t="shared" si="1"/>
        <v> </v>
      </c>
      <c r="E6180" s="11" t="str">
        <f t="shared" si="2"/>
        <v> </v>
      </c>
    </row>
    <row r="6181" ht="15.75" customHeight="1">
      <c r="A6181" s="11">
        <v>17996.0</v>
      </c>
      <c r="B6181" s="11" t="s">
        <v>6151</v>
      </c>
      <c r="C6181" s="12">
        <v>27883.0</v>
      </c>
      <c r="D6181" s="11" t="str">
        <f t="shared" si="1"/>
        <v> </v>
      </c>
      <c r="E6181" s="11" t="str">
        <f t="shared" si="2"/>
        <v> </v>
      </c>
    </row>
    <row r="6182" ht="15.75" customHeight="1">
      <c r="A6182" s="11">
        <v>17998.0</v>
      </c>
      <c r="B6182" s="11" t="s">
        <v>6152</v>
      </c>
      <c r="C6182" s="12">
        <v>24226.0</v>
      </c>
      <c r="D6182" s="11" t="str">
        <f t="shared" si="1"/>
        <v> </v>
      </c>
      <c r="E6182" s="11" t="str">
        <f t="shared" si="2"/>
        <v> </v>
      </c>
    </row>
    <row r="6183" ht="15.75" customHeight="1">
      <c r="A6183" s="11">
        <v>17980.0</v>
      </c>
      <c r="B6183" s="11" t="s">
        <v>6153</v>
      </c>
      <c r="C6183" s="12">
        <v>23385.0</v>
      </c>
      <c r="D6183" s="11" t="str">
        <f t="shared" si="1"/>
        <v> </v>
      </c>
      <c r="E6183" s="11" t="str">
        <f t="shared" si="2"/>
        <v> </v>
      </c>
    </row>
    <row r="6184" ht="15.75" customHeight="1">
      <c r="A6184" s="11">
        <v>17974.0</v>
      </c>
      <c r="B6184" s="11" t="s">
        <v>6154</v>
      </c>
      <c r="C6184" s="12">
        <v>28070.0</v>
      </c>
      <c r="D6184" s="11" t="str">
        <f t="shared" si="1"/>
        <v> </v>
      </c>
      <c r="E6184" s="11" t="str">
        <f t="shared" si="2"/>
        <v> </v>
      </c>
    </row>
    <row r="6185" ht="15.75" customHeight="1">
      <c r="A6185" s="11">
        <v>17982.0</v>
      </c>
      <c r="B6185" s="11" t="s">
        <v>6155</v>
      </c>
      <c r="C6185" s="12">
        <v>31771.0</v>
      </c>
      <c r="D6185" s="11" t="str">
        <f t="shared" si="1"/>
        <v> </v>
      </c>
      <c r="E6185" s="11" t="str">
        <f t="shared" si="2"/>
        <v>Repeat</v>
      </c>
    </row>
    <row r="6186" ht="15.75" customHeight="1">
      <c r="A6186" s="11">
        <v>17981.0</v>
      </c>
      <c r="B6186" s="11" t="s">
        <v>6156</v>
      </c>
      <c r="C6186" s="12">
        <v>20710.0</v>
      </c>
      <c r="D6186" s="11" t="str">
        <f t="shared" si="1"/>
        <v> </v>
      </c>
      <c r="E6186" s="11" t="str">
        <f t="shared" si="2"/>
        <v> </v>
      </c>
    </row>
    <row r="6187" ht="15.75" customHeight="1">
      <c r="A6187" s="11">
        <v>17977.0</v>
      </c>
      <c r="B6187" s="11" t="s">
        <v>6157</v>
      </c>
      <c r="C6187" s="12">
        <v>18052.0</v>
      </c>
      <c r="D6187" s="11" t="str">
        <f t="shared" si="1"/>
        <v> </v>
      </c>
      <c r="E6187" s="11" t="str">
        <f t="shared" si="2"/>
        <v> </v>
      </c>
    </row>
    <row r="6188" ht="15.75" customHeight="1">
      <c r="A6188" s="11">
        <v>17955.0</v>
      </c>
      <c r="B6188" s="11" t="s">
        <v>6158</v>
      </c>
      <c r="C6188" s="12">
        <v>18420.0</v>
      </c>
      <c r="D6188" s="11" t="str">
        <f t="shared" si="1"/>
        <v> </v>
      </c>
      <c r="E6188" s="11" t="str">
        <f t="shared" si="2"/>
        <v> </v>
      </c>
    </row>
    <row r="6189" ht="15.75" customHeight="1">
      <c r="A6189" s="11">
        <v>17970.0</v>
      </c>
      <c r="B6189" s="11" t="s">
        <v>6159</v>
      </c>
      <c r="C6189" s="12">
        <v>25789.0</v>
      </c>
      <c r="D6189" s="11" t="str">
        <f t="shared" si="1"/>
        <v> </v>
      </c>
      <c r="E6189" s="11" t="str">
        <f t="shared" si="2"/>
        <v> </v>
      </c>
    </row>
    <row r="6190" ht="15.75" customHeight="1">
      <c r="A6190" s="11">
        <v>17994.0</v>
      </c>
      <c r="B6190" s="11" t="s">
        <v>6160</v>
      </c>
      <c r="C6190" s="12">
        <v>19846.0</v>
      </c>
      <c r="D6190" s="11" t="str">
        <f t="shared" si="1"/>
        <v> </v>
      </c>
      <c r="E6190" s="11" t="str">
        <f t="shared" si="2"/>
        <v> </v>
      </c>
    </row>
    <row r="6191" ht="15.75" customHeight="1">
      <c r="A6191" s="11">
        <v>17928.0</v>
      </c>
      <c r="B6191" s="11" t="s">
        <v>6161</v>
      </c>
      <c r="C6191" s="12">
        <v>17455.0</v>
      </c>
      <c r="D6191" s="11" t="str">
        <f t="shared" si="1"/>
        <v> </v>
      </c>
      <c r="E6191" s="11" t="str">
        <f t="shared" si="2"/>
        <v>Repeat</v>
      </c>
    </row>
    <row r="6192" ht="15.75" customHeight="1">
      <c r="A6192" s="11">
        <v>17869.0</v>
      </c>
      <c r="B6192" s="11" t="s">
        <v>6162</v>
      </c>
      <c r="C6192" s="12">
        <v>14526.0</v>
      </c>
      <c r="D6192" s="11" t="str">
        <f t="shared" si="1"/>
        <v> </v>
      </c>
      <c r="E6192" s="11" t="str">
        <f t="shared" si="2"/>
        <v>Repeat</v>
      </c>
    </row>
    <row r="6193" ht="15.75" customHeight="1">
      <c r="A6193" s="11">
        <v>17947.0</v>
      </c>
      <c r="B6193" s="11" t="s">
        <v>6163</v>
      </c>
      <c r="C6193" s="12">
        <v>22055.0</v>
      </c>
      <c r="D6193" s="11" t="str">
        <f t="shared" si="1"/>
        <v> </v>
      </c>
      <c r="E6193" s="11" t="str">
        <f t="shared" si="2"/>
        <v> </v>
      </c>
    </row>
    <row r="6194" ht="15.75" customHeight="1">
      <c r="A6194" s="11">
        <v>16985.0</v>
      </c>
      <c r="B6194" s="11" t="s">
        <v>6164</v>
      </c>
      <c r="C6194" s="12">
        <v>22406.0</v>
      </c>
      <c r="D6194" s="11" t="str">
        <f t="shared" si="1"/>
        <v> </v>
      </c>
      <c r="E6194" s="11" t="str">
        <f t="shared" si="2"/>
        <v>Repeat</v>
      </c>
    </row>
    <row r="6195" ht="15.75" customHeight="1">
      <c r="A6195" s="11">
        <v>17909.0</v>
      </c>
      <c r="B6195" s="11" t="s">
        <v>6165</v>
      </c>
      <c r="C6195" s="12">
        <v>17693.0</v>
      </c>
      <c r="D6195" s="11" t="str">
        <f t="shared" si="1"/>
        <v> </v>
      </c>
      <c r="E6195" s="11" t="str">
        <f t="shared" si="2"/>
        <v>Repeat</v>
      </c>
    </row>
    <row r="6196" ht="15.75" customHeight="1">
      <c r="A6196" s="11">
        <v>18128.0</v>
      </c>
      <c r="B6196" s="11" t="s">
        <v>6166</v>
      </c>
      <c r="C6196" s="12">
        <v>12964.0</v>
      </c>
      <c r="D6196" s="11" t="str">
        <f t="shared" si="1"/>
        <v> </v>
      </c>
      <c r="E6196" s="11" t="str">
        <f t="shared" si="2"/>
        <v> </v>
      </c>
    </row>
    <row r="6197" ht="15.75" customHeight="1">
      <c r="A6197" s="11">
        <v>18133.0</v>
      </c>
      <c r="B6197" s="11" t="s">
        <v>6167</v>
      </c>
      <c r="C6197" s="12">
        <v>20467.0</v>
      </c>
      <c r="D6197" s="11" t="str">
        <f t="shared" si="1"/>
        <v> </v>
      </c>
      <c r="E6197" s="11" t="str">
        <f t="shared" si="2"/>
        <v> </v>
      </c>
    </row>
    <row r="6198" ht="15.75" customHeight="1">
      <c r="A6198" s="11">
        <v>18011.0</v>
      </c>
      <c r="B6198" s="11" t="s">
        <v>6168</v>
      </c>
      <c r="C6198" s="12">
        <v>20295.0</v>
      </c>
      <c r="D6198" s="11" t="str">
        <f t="shared" si="1"/>
        <v> </v>
      </c>
      <c r="E6198" s="11" t="str">
        <f t="shared" si="2"/>
        <v> </v>
      </c>
    </row>
    <row r="6199" ht="15.75" customHeight="1">
      <c r="A6199" s="11">
        <v>18122.0</v>
      </c>
      <c r="B6199" s="11" t="s">
        <v>6169</v>
      </c>
      <c r="C6199" s="12">
        <v>26185.0</v>
      </c>
      <c r="D6199" s="11" t="str">
        <f t="shared" si="1"/>
        <v> </v>
      </c>
      <c r="E6199" s="11" t="str">
        <f t="shared" si="2"/>
        <v> </v>
      </c>
    </row>
    <row r="6200" ht="15.75" customHeight="1">
      <c r="A6200" s="11">
        <v>18130.0</v>
      </c>
      <c r="B6200" s="11" t="s">
        <v>6170</v>
      </c>
      <c r="C6200" s="12">
        <v>23798.0</v>
      </c>
      <c r="D6200" s="11" t="str">
        <f t="shared" si="1"/>
        <v> </v>
      </c>
      <c r="E6200" s="11" t="str">
        <f t="shared" si="2"/>
        <v> </v>
      </c>
    </row>
    <row r="6201" ht="15.75" customHeight="1">
      <c r="A6201" s="11">
        <v>18143.0</v>
      </c>
      <c r="B6201" s="11" t="s">
        <v>6171</v>
      </c>
      <c r="C6201" s="12">
        <v>18582.0</v>
      </c>
      <c r="D6201" s="11" t="str">
        <f t="shared" si="1"/>
        <v> </v>
      </c>
      <c r="E6201" s="11" t="str">
        <f t="shared" si="2"/>
        <v> </v>
      </c>
    </row>
    <row r="6202" ht="15.75" customHeight="1">
      <c r="A6202" s="11">
        <v>18116.0</v>
      </c>
      <c r="B6202" s="11" t="s">
        <v>6172</v>
      </c>
      <c r="C6202" s="12">
        <v>30559.0</v>
      </c>
      <c r="D6202" s="11" t="str">
        <f t="shared" si="1"/>
        <v> </v>
      </c>
      <c r="E6202" s="11" t="str">
        <f t="shared" si="2"/>
        <v> </v>
      </c>
    </row>
    <row r="6203" ht="15.75" customHeight="1">
      <c r="A6203" s="11">
        <v>18125.0</v>
      </c>
      <c r="B6203" s="11" t="s">
        <v>6173</v>
      </c>
      <c r="C6203" s="12">
        <v>29910.0</v>
      </c>
      <c r="D6203" s="11" t="str">
        <f t="shared" si="1"/>
        <v> </v>
      </c>
      <c r="E6203" s="11" t="str">
        <f t="shared" si="2"/>
        <v> </v>
      </c>
    </row>
    <row r="6204" ht="15.75" customHeight="1">
      <c r="A6204" s="11">
        <v>18127.0</v>
      </c>
      <c r="B6204" s="11" t="s">
        <v>6174</v>
      </c>
      <c r="C6204" s="12">
        <v>31549.0</v>
      </c>
      <c r="D6204" s="11" t="str">
        <f t="shared" si="1"/>
        <v> </v>
      </c>
      <c r="E6204" s="11" t="str">
        <f t="shared" si="2"/>
        <v> </v>
      </c>
    </row>
    <row r="6205" ht="15.75" customHeight="1">
      <c r="A6205" s="11">
        <v>18178.0</v>
      </c>
      <c r="B6205" s="11" t="s">
        <v>6175</v>
      </c>
      <c r="C6205" s="12">
        <v>30404.0</v>
      </c>
      <c r="D6205" s="11" t="str">
        <f t="shared" si="1"/>
        <v> </v>
      </c>
      <c r="E6205" s="11" t="str">
        <f t="shared" si="2"/>
        <v> </v>
      </c>
    </row>
    <row r="6206" ht="15.75" customHeight="1">
      <c r="A6206" s="11">
        <v>18039.0</v>
      </c>
      <c r="B6206" s="11" t="s">
        <v>6176</v>
      </c>
      <c r="C6206" s="12">
        <v>16982.0</v>
      </c>
      <c r="D6206" s="11" t="str">
        <f t="shared" si="1"/>
        <v> </v>
      </c>
      <c r="E6206" s="11" t="str">
        <f t="shared" si="2"/>
        <v> </v>
      </c>
    </row>
    <row r="6207" ht="15.75" customHeight="1">
      <c r="A6207" s="11">
        <v>18062.0</v>
      </c>
      <c r="B6207" s="11" t="s">
        <v>6177</v>
      </c>
      <c r="C6207" s="12">
        <v>23039.0</v>
      </c>
      <c r="D6207" s="11" t="str">
        <f t="shared" si="1"/>
        <v> </v>
      </c>
      <c r="E6207" s="11" t="str">
        <f t="shared" si="2"/>
        <v> </v>
      </c>
    </row>
    <row r="6208" ht="15.75" customHeight="1">
      <c r="A6208" s="11">
        <v>18023.0</v>
      </c>
      <c r="B6208" s="11" t="s">
        <v>6178</v>
      </c>
      <c r="C6208" s="12">
        <v>36140.0</v>
      </c>
      <c r="D6208" s="11" t="str">
        <f t="shared" si="1"/>
        <v> </v>
      </c>
      <c r="E6208" s="11" t="str">
        <f t="shared" si="2"/>
        <v> </v>
      </c>
    </row>
    <row r="6209" ht="15.75" customHeight="1">
      <c r="A6209" s="11">
        <v>18027.0</v>
      </c>
      <c r="B6209" s="11" t="s">
        <v>6179</v>
      </c>
      <c r="C6209" s="12">
        <v>17411.0</v>
      </c>
      <c r="D6209" s="11" t="str">
        <f t="shared" si="1"/>
        <v> </v>
      </c>
      <c r="E6209" s="11" t="str">
        <f t="shared" si="2"/>
        <v> </v>
      </c>
    </row>
    <row r="6210" ht="15.75" customHeight="1">
      <c r="A6210" s="11">
        <v>18002.0</v>
      </c>
      <c r="B6210" s="11" t="s">
        <v>6180</v>
      </c>
      <c r="C6210" s="12">
        <v>19647.0</v>
      </c>
      <c r="D6210" s="11" t="str">
        <f t="shared" si="1"/>
        <v> </v>
      </c>
      <c r="E6210" s="11" t="str">
        <f t="shared" si="2"/>
        <v> </v>
      </c>
    </row>
    <row r="6211" ht="15.75" customHeight="1">
      <c r="A6211" s="11">
        <v>16034.0</v>
      </c>
      <c r="B6211" s="11" t="s">
        <v>6181</v>
      </c>
      <c r="C6211" s="12">
        <v>17158.0</v>
      </c>
      <c r="D6211" s="11" t="str">
        <f t="shared" si="1"/>
        <v> </v>
      </c>
      <c r="E6211" s="11" t="str">
        <f t="shared" si="2"/>
        <v>Repeat</v>
      </c>
    </row>
    <row r="6212" ht="15.75" customHeight="1">
      <c r="A6212" s="11">
        <v>12781.0</v>
      </c>
      <c r="B6212" s="11" t="s">
        <v>6182</v>
      </c>
      <c r="C6212" s="12">
        <v>19260.0</v>
      </c>
      <c r="D6212" s="11" t="str">
        <f t="shared" si="1"/>
        <v> </v>
      </c>
      <c r="E6212" s="11" t="str">
        <f t="shared" si="2"/>
        <v>Repeat</v>
      </c>
    </row>
    <row r="6213" ht="15.75" customHeight="1">
      <c r="A6213" s="11">
        <v>17136.0</v>
      </c>
      <c r="B6213" s="11" t="s">
        <v>6183</v>
      </c>
      <c r="C6213" s="12">
        <v>28830.0</v>
      </c>
      <c r="D6213" s="11" t="str">
        <f t="shared" si="1"/>
        <v> </v>
      </c>
      <c r="E6213" s="11" t="str">
        <f t="shared" si="2"/>
        <v>Repeat</v>
      </c>
    </row>
    <row r="6214" ht="15.75" customHeight="1">
      <c r="A6214" s="11">
        <v>18144.0</v>
      </c>
      <c r="B6214" s="11" t="s">
        <v>6184</v>
      </c>
      <c r="C6214" s="12">
        <v>19469.0</v>
      </c>
      <c r="D6214" s="11" t="str">
        <f t="shared" si="1"/>
        <v> </v>
      </c>
      <c r="E6214" s="11" t="str">
        <f t="shared" si="2"/>
        <v> </v>
      </c>
    </row>
    <row r="6215" ht="15.75" customHeight="1">
      <c r="A6215" s="11">
        <v>18111.0</v>
      </c>
      <c r="B6215" s="11" t="s">
        <v>1088</v>
      </c>
      <c r="C6215" s="12">
        <v>15159.0</v>
      </c>
      <c r="D6215" s="11" t="str">
        <f t="shared" si="1"/>
        <v>Repeat</v>
      </c>
      <c r="E6215" s="11" t="str">
        <f t="shared" si="2"/>
        <v> </v>
      </c>
    </row>
    <row r="6216" ht="15.75" customHeight="1">
      <c r="A6216" s="11">
        <v>17982.0</v>
      </c>
      <c r="B6216" s="11" t="s">
        <v>6185</v>
      </c>
      <c r="C6216" s="12">
        <v>31771.0</v>
      </c>
      <c r="D6216" s="11" t="str">
        <f t="shared" si="1"/>
        <v> </v>
      </c>
      <c r="E6216" s="11" t="str">
        <f t="shared" si="2"/>
        <v>Repeat</v>
      </c>
    </row>
    <row r="6217" ht="15.75" customHeight="1">
      <c r="A6217" s="11">
        <v>18094.0</v>
      </c>
      <c r="B6217" s="11" t="s">
        <v>6186</v>
      </c>
      <c r="C6217" s="12">
        <v>26421.0</v>
      </c>
      <c r="D6217" s="11" t="str">
        <f t="shared" si="1"/>
        <v> </v>
      </c>
      <c r="E6217" s="11" t="str">
        <f t="shared" si="2"/>
        <v> </v>
      </c>
    </row>
    <row r="6218" ht="15.75" customHeight="1">
      <c r="A6218" s="11">
        <v>17951.0</v>
      </c>
      <c r="B6218" s="11" t="s">
        <v>6187</v>
      </c>
      <c r="C6218" s="12">
        <v>17003.0</v>
      </c>
      <c r="D6218" s="11" t="str">
        <f t="shared" si="1"/>
        <v> </v>
      </c>
      <c r="E6218" s="11" t="str">
        <f t="shared" si="2"/>
        <v> </v>
      </c>
    </row>
    <row r="6219" ht="15.75" customHeight="1">
      <c r="A6219" s="11">
        <v>17581.0</v>
      </c>
      <c r="B6219" s="11" t="s">
        <v>6188</v>
      </c>
      <c r="C6219" s="12">
        <v>29340.0</v>
      </c>
      <c r="D6219" s="11" t="str">
        <f t="shared" si="1"/>
        <v> </v>
      </c>
      <c r="E6219" s="11" t="str">
        <f t="shared" si="2"/>
        <v>Repeat</v>
      </c>
    </row>
    <row r="6220" ht="15.75" customHeight="1">
      <c r="A6220" s="11">
        <v>14256.0</v>
      </c>
      <c r="B6220" s="11" t="s">
        <v>6189</v>
      </c>
      <c r="C6220" s="12">
        <v>9908.0</v>
      </c>
      <c r="D6220" s="11" t="str">
        <f t="shared" si="1"/>
        <v> </v>
      </c>
      <c r="E6220" s="11" t="str">
        <f t="shared" si="2"/>
        <v>Repeat</v>
      </c>
    </row>
    <row r="6221" ht="15.75" customHeight="1">
      <c r="A6221" s="11">
        <v>18159.0</v>
      </c>
      <c r="B6221" s="11" t="s">
        <v>6190</v>
      </c>
      <c r="C6221" s="12">
        <v>32054.0</v>
      </c>
      <c r="D6221" s="11" t="str">
        <f t="shared" si="1"/>
        <v> </v>
      </c>
      <c r="E6221" s="11" t="str">
        <f t="shared" si="2"/>
        <v> </v>
      </c>
    </row>
    <row r="6222" ht="15.75" customHeight="1">
      <c r="A6222" s="11">
        <v>18096.0</v>
      </c>
      <c r="B6222" s="11" t="s">
        <v>6191</v>
      </c>
      <c r="C6222" s="12">
        <v>36297.0</v>
      </c>
      <c r="D6222" s="11" t="str">
        <f t="shared" si="1"/>
        <v> </v>
      </c>
      <c r="E6222" s="11" t="str">
        <f t="shared" si="2"/>
        <v> </v>
      </c>
    </row>
    <row r="6223" ht="15.75" customHeight="1">
      <c r="A6223" s="11">
        <v>18132.0</v>
      </c>
      <c r="B6223" s="11" t="s">
        <v>6192</v>
      </c>
      <c r="C6223" s="12">
        <v>18736.0</v>
      </c>
      <c r="D6223" s="11" t="str">
        <f t="shared" si="1"/>
        <v> </v>
      </c>
      <c r="E6223" s="11" t="str">
        <f t="shared" si="2"/>
        <v> </v>
      </c>
    </row>
    <row r="6224" ht="15.75" customHeight="1">
      <c r="A6224" s="11">
        <v>18060.0</v>
      </c>
      <c r="B6224" s="11" t="s">
        <v>6193</v>
      </c>
      <c r="C6224" s="12">
        <v>19866.0</v>
      </c>
      <c r="D6224" s="11" t="str">
        <f t="shared" si="1"/>
        <v> </v>
      </c>
      <c r="E6224" s="11" t="str">
        <f t="shared" si="2"/>
        <v> </v>
      </c>
    </row>
    <row r="6225" ht="15.75" customHeight="1">
      <c r="A6225" s="11">
        <v>18006.0</v>
      </c>
      <c r="B6225" s="11" t="s">
        <v>6194</v>
      </c>
      <c r="C6225" s="12">
        <v>20785.0</v>
      </c>
      <c r="D6225" s="11" t="str">
        <f t="shared" si="1"/>
        <v> </v>
      </c>
      <c r="E6225" s="11" t="str">
        <f t="shared" si="2"/>
        <v> </v>
      </c>
    </row>
    <row r="6226" ht="15.75" customHeight="1">
      <c r="A6226" s="11">
        <v>18012.0</v>
      </c>
      <c r="B6226" s="11" t="s">
        <v>6195</v>
      </c>
      <c r="C6226" s="12">
        <v>15815.0</v>
      </c>
      <c r="D6226" s="11" t="str">
        <f t="shared" si="1"/>
        <v> </v>
      </c>
      <c r="E6226" s="11" t="str">
        <f t="shared" si="2"/>
        <v> </v>
      </c>
    </row>
    <row r="6227" ht="15.75" customHeight="1">
      <c r="A6227" s="11">
        <v>17849.0</v>
      </c>
      <c r="B6227" s="11" t="s">
        <v>6196</v>
      </c>
      <c r="C6227" s="12">
        <v>26237.0</v>
      </c>
      <c r="D6227" s="11" t="str">
        <f t="shared" si="1"/>
        <v> </v>
      </c>
      <c r="E6227" s="11" t="str">
        <f t="shared" si="2"/>
        <v>Repeat</v>
      </c>
    </row>
    <row r="6228" ht="15.75" customHeight="1">
      <c r="A6228" s="11">
        <v>18173.0</v>
      </c>
      <c r="B6228" s="11" t="s">
        <v>6197</v>
      </c>
      <c r="C6228" s="12">
        <v>15794.0</v>
      </c>
      <c r="D6228" s="11" t="str">
        <f t="shared" si="1"/>
        <v> </v>
      </c>
      <c r="E6228" s="11" t="str">
        <f t="shared" si="2"/>
        <v> </v>
      </c>
    </row>
    <row r="6229" ht="15.75" customHeight="1">
      <c r="A6229" s="11">
        <v>18157.0</v>
      </c>
      <c r="B6229" s="11" t="s">
        <v>6198</v>
      </c>
      <c r="C6229" s="12">
        <v>20071.0</v>
      </c>
      <c r="D6229" s="11" t="str">
        <f t="shared" si="1"/>
        <v> </v>
      </c>
      <c r="E6229" s="11" t="str">
        <f t="shared" si="2"/>
        <v> </v>
      </c>
    </row>
    <row r="6230" ht="15.75" customHeight="1">
      <c r="A6230" s="11">
        <v>17804.0</v>
      </c>
      <c r="B6230" s="11" t="s">
        <v>6199</v>
      </c>
      <c r="C6230" s="12">
        <v>26496.0</v>
      </c>
      <c r="D6230" s="11" t="str">
        <f t="shared" si="1"/>
        <v> </v>
      </c>
      <c r="E6230" s="11" t="str">
        <f t="shared" si="2"/>
        <v> </v>
      </c>
    </row>
    <row r="6231" ht="15.75" customHeight="1">
      <c r="A6231" s="11">
        <v>18168.0</v>
      </c>
      <c r="B6231" s="11" t="s">
        <v>6200</v>
      </c>
      <c r="C6231" s="12">
        <v>19508.0</v>
      </c>
      <c r="D6231" s="11" t="str">
        <f t="shared" si="1"/>
        <v> </v>
      </c>
      <c r="E6231" s="11" t="str">
        <f t="shared" si="2"/>
        <v> </v>
      </c>
    </row>
    <row r="6232" ht="15.75" customHeight="1">
      <c r="A6232" s="11">
        <v>18185.0</v>
      </c>
      <c r="B6232" s="11" t="s">
        <v>6201</v>
      </c>
      <c r="C6232" s="12">
        <v>29783.0</v>
      </c>
      <c r="D6232" s="11" t="str">
        <f t="shared" si="1"/>
        <v> </v>
      </c>
      <c r="E6232" s="11" t="str">
        <f t="shared" si="2"/>
        <v> </v>
      </c>
    </row>
    <row r="6233" ht="15.75" customHeight="1">
      <c r="A6233" s="11">
        <v>18179.0</v>
      </c>
      <c r="B6233" s="11" t="s">
        <v>6202</v>
      </c>
      <c r="C6233" s="12">
        <v>20924.0</v>
      </c>
      <c r="D6233" s="11" t="str">
        <f t="shared" si="1"/>
        <v> </v>
      </c>
      <c r="E6233" s="11" t="str">
        <f t="shared" si="2"/>
        <v> </v>
      </c>
    </row>
    <row r="6234" ht="15.75" customHeight="1">
      <c r="A6234" s="11">
        <v>18160.0</v>
      </c>
      <c r="B6234" s="11" t="s">
        <v>6203</v>
      </c>
      <c r="C6234" s="12">
        <v>24722.0</v>
      </c>
      <c r="D6234" s="11" t="str">
        <f t="shared" si="1"/>
        <v> </v>
      </c>
      <c r="E6234" s="11" t="str">
        <f t="shared" si="2"/>
        <v> </v>
      </c>
    </row>
    <row r="6235" ht="15.75" customHeight="1">
      <c r="A6235" s="11">
        <v>17392.0</v>
      </c>
      <c r="B6235" s="11" t="s">
        <v>6204</v>
      </c>
      <c r="C6235" s="12">
        <v>15475.0</v>
      </c>
      <c r="D6235" s="11" t="str">
        <f t="shared" si="1"/>
        <v> </v>
      </c>
      <c r="E6235" s="11" t="str">
        <f t="shared" si="2"/>
        <v>Repeat</v>
      </c>
    </row>
    <row r="6236" ht="15.75" customHeight="1">
      <c r="A6236" s="11">
        <v>18142.0</v>
      </c>
      <c r="B6236" s="11" t="s">
        <v>6205</v>
      </c>
      <c r="C6236" s="12">
        <v>23091.0</v>
      </c>
      <c r="D6236" s="11" t="str">
        <f t="shared" si="1"/>
        <v> </v>
      </c>
      <c r="E6236" s="11" t="str">
        <f t="shared" si="2"/>
        <v> </v>
      </c>
    </row>
    <row r="6237" ht="15.75" customHeight="1">
      <c r="A6237" s="11">
        <v>18151.0</v>
      </c>
      <c r="B6237" s="11" t="s">
        <v>6206</v>
      </c>
      <c r="C6237" s="12">
        <v>26969.0</v>
      </c>
      <c r="D6237" s="11" t="str">
        <f t="shared" si="1"/>
        <v> </v>
      </c>
      <c r="E6237" s="11" t="str">
        <f t="shared" si="2"/>
        <v> </v>
      </c>
    </row>
    <row r="6238" ht="15.75" customHeight="1">
      <c r="A6238" s="11">
        <v>15907.0</v>
      </c>
      <c r="B6238" s="11" t="s">
        <v>6207</v>
      </c>
      <c r="C6238" s="12">
        <v>31056.0</v>
      </c>
      <c r="D6238" s="11" t="str">
        <f t="shared" si="1"/>
        <v> </v>
      </c>
      <c r="E6238" s="11" t="str">
        <f t="shared" si="2"/>
        <v>Repeat</v>
      </c>
    </row>
    <row r="6239" ht="15.75" customHeight="1">
      <c r="A6239" s="11">
        <v>17432.0</v>
      </c>
      <c r="B6239" s="11" t="s">
        <v>6208</v>
      </c>
      <c r="C6239" s="12">
        <v>28960.0</v>
      </c>
      <c r="D6239" s="11" t="str">
        <f t="shared" si="1"/>
        <v> </v>
      </c>
      <c r="E6239" s="11" t="str">
        <f t="shared" si="2"/>
        <v>Repeat</v>
      </c>
    </row>
    <row r="6240" ht="15.75" customHeight="1">
      <c r="A6240" s="11">
        <v>16479.0</v>
      </c>
      <c r="B6240" s="11" t="s">
        <v>6209</v>
      </c>
      <c r="C6240" s="12">
        <v>21080.0</v>
      </c>
      <c r="D6240" s="11" t="str">
        <f t="shared" si="1"/>
        <v> </v>
      </c>
      <c r="E6240" s="11" t="str">
        <f t="shared" si="2"/>
        <v> </v>
      </c>
    </row>
    <row r="6241" ht="15.75" customHeight="1">
      <c r="A6241" s="11">
        <v>18063.0</v>
      </c>
      <c r="B6241" s="11" t="s">
        <v>6210</v>
      </c>
      <c r="C6241" s="12">
        <v>20233.0</v>
      </c>
      <c r="D6241" s="11" t="str">
        <f t="shared" si="1"/>
        <v> </v>
      </c>
      <c r="E6241" s="11" t="str">
        <f t="shared" si="2"/>
        <v> </v>
      </c>
    </row>
    <row r="6242" ht="15.75" customHeight="1">
      <c r="A6242" s="11">
        <v>18083.0</v>
      </c>
      <c r="B6242" s="11" t="s">
        <v>6211</v>
      </c>
      <c r="C6242" s="12">
        <v>19211.0</v>
      </c>
      <c r="D6242" s="11" t="str">
        <f t="shared" si="1"/>
        <v> </v>
      </c>
      <c r="E6242" s="11" t="str">
        <f t="shared" si="2"/>
        <v> </v>
      </c>
    </row>
    <row r="6243" ht="15.75" customHeight="1">
      <c r="A6243" s="11" t="s">
        <v>6212</v>
      </c>
      <c r="B6243" s="11" t="s">
        <v>5564</v>
      </c>
      <c r="C6243" s="12">
        <v>22600.0</v>
      </c>
      <c r="D6243" s="11" t="str">
        <f t="shared" si="1"/>
        <v>Repeat</v>
      </c>
      <c r="E6243" s="11" t="str">
        <f t="shared" si="2"/>
        <v> </v>
      </c>
    </row>
    <row r="6244" ht="15.75" customHeight="1">
      <c r="A6244" s="11">
        <v>18167.0</v>
      </c>
      <c r="B6244" s="11" t="s">
        <v>6213</v>
      </c>
      <c r="C6244" s="12">
        <v>24539.0</v>
      </c>
      <c r="D6244" s="11" t="str">
        <f t="shared" si="1"/>
        <v> </v>
      </c>
      <c r="E6244" s="11" t="str">
        <f t="shared" si="2"/>
        <v> </v>
      </c>
    </row>
    <row r="6245" ht="15.75" customHeight="1">
      <c r="A6245" s="11">
        <v>17290.0</v>
      </c>
      <c r="B6245" s="11" t="s">
        <v>6214</v>
      </c>
      <c r="C6245" s="12">
        <v>15125.0</v>
      </c>
      <c r="D6245" s="11" t="str">
        <f t="shared" si="1"/>
        <v> </v>
      </c>
      <c r="E6245" s="11" t="str">
        <f t="shared" si="2"/>
        <v>Repeat</v>
      </c>
    </row>
    <row r="6246" ht="15.75" customHeight="1">
      <c r="A6246" s="11">
        <v>17800.0</v>
      </c>
      <c r="B6246" s="11" t="s">
        <v>6215</v>
      </c>
      <c r="C6246" s="12">
        <v>30848.0</v>
      </c>
      <c r="D6246" s="11" t="str">
        <f t="shared" si="1"/>
        <v> </v>
      </c>
      <c r="E6246" s="11" t="str">
        <f t="shared" si="2"/>
        <v>Repeat</v>
      </c>
    </row>
    <row r="6247" ht="15.75" customHeight="1">
      <c r="A6247" s="11">
        <v>18158.0</v>
      </c>
      <c r="B6247" s="11" t="s">
        <v>6216</v>
      </c>
      <c r="C6247" s="12">
        <v>20169.0</v>
      </c>
      <c r="D6247" s="11" t="str">
        <f t="shared" si="1"/>
        <v> </v>
      </c>
      <c r="E6247" s="11" t="str">
        <f t="shared" si="2"/>
        <v> </v>
      </c>
    </row>
    <row r="6248" ht="15.75" customHeight="1">
      <c r="A6248" s="11">
        <v>18101.0</v>
      </c>
      <c r="B6248" s="11" t="s">
        <v>6217</v>
      </c>
      <c r="C6248" s="12">
        <v>18715.0</v>
      </c>
      <c r="D6248" s="11" t="str">
        <f t="shared" si="1"/>
        <v> </v>
      </c>
      <c r="E6248" s="11" t="str">
        <f t="shared" si="2"/>
        <v> </v>
      </c>
    </row>
    <row r="6249" ht="15.75" customHeight="1">
      <c r="A6249" s="11">
        <v>18017.0</v>
      </c>
      <c r="B6249" s="11" t="s">
        <v>6218</v>
      </c>
      <c r="C6249" s="12">
        <v>24651.0</v>
      </c>
      <c r="D6249" s="11" t="str">
        <f t="shared" si="1"/>
        <v> </v>
      </c>
      <c r="E6249" s="11" t="str">
        <f t="shared" si="2"/>
        <v> </v>
      </c>
    </row>
    <row r="6250" ht="15.75" customHeight="1">
      <c r="A6250" s="11">
        <v>18070.0</v>
      </c>
      <c r="B6250" s="11" t="s">
        <v>6219</v>
      </c>
      <c r="C6250" s="12">
        <v>29140.0</v>
      </c>
      <c r="D6250" s="11" t="str">
        <f t="shared" si="1"/>
        <v> </v>
      </c>
      <c r="E6250" s="11" t="str">
        <f t="shared" si="2"/>
        <v> </v>
      </c>
    </row>
    <row r="6251" ht="15.75" customHeight="1">
      <c r="A6251" s="11">
        <v>18165.0</v>
      </c>
      <c r="B6251" s="11" t="s">
        <v>6220</v>
      </c>
      <c r="C6251" s="12">
        <v>21830.0</v>
      </c>
      <c r="D6251" s="11" t="str">
        <f t="shared" si="1"/>
        <v> </v>
      </c>
      <c r="E6251" s="11" t="str">
        <f t="shared" si="2"/>
        <v> </v>
      </c>
    </row>
    <row r="6252" ht="15.75" customHeight="1">
      <c r="A6252" s="11">
        <v>18149.0</v>
      </c>
      <c r="B6252" s="11" t="s">
        <v>6221</v>
      </c>
      <c r="C6252" s="12">
        <v>34389.0</v>
      </c>
      <c r="D6252" s="11" t="str">
        <f t="shared" si="1"/>
        <v> </v>
      </c>
      <c r="E6252" s="11" t="str">
        <f t="shared" si="2"/>
        <v> </v>
      </c>
    </row>
    <row r="6253" ht="15.75" customHeight="1">
      <c r="A6253" s="11">
        <v>18154.0</v>
      </c>
      <c r="B6253" s="11" t="s">
        <v>6222</v>
      </c>
      <c r="C6253" s="12">
        <v>16024.0</v>
      </c>
      <c r="D6253" s="11" t="str">
        <f t="shared" si="1"/>
        <v> </v>
      </c>
      <c r="E6253" s="11" t="str">
        <f t="shared" si="2"/>
        <v> </v>
      </c>
    </row>
    <row r="6254" ht="15.75" customHeight="1">
      <c r="A6254" s="11">
        <v>17692.0</v>
      </c>
      <c r="B6254" s="11" t="s">
        <v>6223</v>
      </c>
      <c r="C6254" s="12">
        <v>23476.0</v>
      </c>
      <c r="D6254" s="11" t="str">
        <f t="shared" si="1"/>
        <v> </v>
      </c>
      <c r="E6254" s="11" t="str">
        <f t="shared" si="2"/>
        <v>Repeat</v>
      </c>
    </row>
    <row r="6255" ht="15.75" customHeight="1">
      <c r="A6255" s="11">
        <v>18001.0</v>
      </c>
      <c r="B6255" s="11" t="s">
        <v>6224</v>
      </c>
      <c r="C6255" s="12">
        <v>23710.0</v>
      </c>
      <c r="D6255" s="11" t="str">
        <f t="shared" si="1"/>
        <v> </v>
      </c>
      <c r="E6255" s="11" t="str">
        <f t="shared" si="2"/>
        <v> </v>
      </c>
    </row>
    <row r="6256" ht="15.75" customHeight="1">
      <c r="A6256" s="11">
        <v>18174.0</v>
      </c>
      <c r="B6256" s="11" t="s">
        <v>6225</v>
      </c>
      <c r="C6256" s="12">
        <v>18472.0</v>
      </c>
      <c r="D6256" s="11" t="str">
        <f t="shared" si="1"/>
        <v> </v>
      </c>
      <c r="E6256" s="11" t="str">
        <f t="shared" si="2"/>
        <v> </v>
      </c>
    </row>
    <row r="6257" ht="15.75" customHeight="1">
      <c r="A6257" s="11">
        <v>18184.0</v>
      </c>
      <c r="B6257" s="11" t="s">
        <v>6226</v>
      </c>
      <c r="C6257" s="12">
        <v>21431.0</v>
      </c>
      <c r="D6257" s="11" t="str">
        <f t="shared" si="1"/>
        <v> </v>
      </c>
      <c r="E6257" s="11" t="str">
        <f t="shared" si="2"/>
        <v> </v>
      </c>
    </row>
    <row r="6258" ht="15.75" customHeight="1">
      <c r="A6258" s="11">
        <v>18191.0</v>
      </c>
      <c r="B6258" s="11" t="s">
        <v>6227</v>
      </c>
      <c r="C6258" s="12">
        <v>32359.0</v>
      </c>
      <c r="D6258" s="11" t="str">
        <f t="shared" si="1"/>
        <v> </v>
      </c>
      <c r="E6258" s="11" t="str">
        <f t="shared" si="2"/>
        <v> </v>
      </c>
    </row>
    <row r="6259" ht="15.75" customHeight="1">
      <c r="A6259" s="11">
        <v>18053.0</v>
      </c>
      <c r="B6259" s="11" t="s">
        <v>6228</v>
      </c>
      <c r="C6259" s="12">
        <v>20907.0</v>
      </c>
      <c r="D6259" s="11" t="str">
        <f t="shared" si="1"/>
        <v> </v>
      </c>
      <c r="E6259" s="11" t="str">
        <f t="shared" si="2"/>
        <v> </v>
      </c>
    </row>
    <row r="6260" ht="15.75" customHeight="1">
      <c r="A6260" s="11">
        <v>18207.0</v>
      </c>
      <c r="B6260" s="11" t="s">
        <v>6229</v>
      </c>
      <c r="C6260" s="12">
        <v>37315.0</v>
      </c>
      <c r="D6260" s="11" t="str">
        <f t="shared" si="1"/>
        <v>Repeat</v>
      </c>
      <c r="E6260" s="11" t="str">
        <f t="shared" si="2"/>
        <v> </v>
      </c>
    </row>
    <row r="6261" ht="15.75" customHeight="1">
      <c r="A6261" s="11">
        <v>18121.0</v>
      </c>
      <c r="B6261" s="11" t="s">
        <v>6230</v>
      </c>
      <c r="C6261" s="12">
        <v>22064.0</v>
      </c>
      <c r="D6261" s="11" t="str">
        <f t="shared" si="1"/>
        <v> </v>
      </c>
      <c r="E6261" s="11" t="str">
        <f t="shared" si="2"/>
        <v> </v>
      </c>
    </row>
    <row r="6262" ht="15.75" customHeight="1">
      <c r="A6262" s="11">
        <v>18009.0</v>
      </c>
      <c r="B6262" s="11" t="s">
        <v>6231</v>
      </c>
      <c r="C6262" s="12">
        <v>21752.0</v>
      </c>
      <c r="D6262" s="11" t="str">
        <f t="shared" si="1"/>
        <v> </v>
      </c>
      <c r="E6262" s="11" t="str">
        <f t="shared" si="2"/>
        <v> </v>
      </c>
    </row>
    <row r="6263" ht="15.75" customHeight="1">
      <c r="A6263" s="11">
        <v>18176.0</v>
      </c>
      <c r="B6263" s="11" t="s">
        <v>562</v>
      </c>
      <c r="C6263" s="12">
        <v>23907.0</v>
      </c>
      <c r="D6263" s="11" t="str">
        <f t="shared" si="1"/>
        <v>Repeat</v>
      </c>
      <c r="E6263" s="11" t="str">
        <f t="shared" si="2"/>
        <v> </v>
      </c>
    </row>
    <row r="6264" ht="15.75" customHeight="1">
      <c r="A6264" s="11">
        <v>18192.0</v>
      </c>
      <c r="B6264" s="11" t="s">
        <v>6232</v>
      </c>
      <c r="C6264" s="12">
        <v>22602.0</v>
      </c>
      <c r="D6264" s="11" t="str">
        <f t="shared" si="1"/>
        <v> </v>
      </c>
      <c r="E6264" s="11" t="str">
        <f t="shared" si="2"/>
        <v> </v>
      </c>
    </row>
    <row r="6265" ht="15.75" customHeight="1">
      <c r="A6265" s="11">
        <v>18189.0</v>
      </c>
      <c r="B6265" s="11" t="s">
        <v>6233</v>
      </c>
      <c r="C6265" s="12">
        <v>29148.0</v>
      </c>
      <c r="D6265" s="11" t="str">
        <f t="shared" si="1"/>
        <v> </v>
      </c>
      <c r="E6265" s="11" t="str">
        <f t="shared" si="2"/>
        <v> </v>
      </c>
    </row>
    <row r="6266" ht="15.75" customHeight="1">
      <c r="A6266" s="11">
        <v>18175.0</v>
      </c>
      <c r="B6266" s="11" t="s">
        <v>6234</v>
      </c>
      <c r="C6266" s="12">
        <v>12583.0</v>
      </c>
      <c r="D6266" s="11" t="str">
        <f t="shared" si="1"/>
        <v> </v>
      </c>
      <c r="E6266" s="11" t="str">
        <f t="shared" si="2"/>
        <v> </v>
      </c>
    </row>
    <row r="6267" ht="15.75" customHeight="1">
      <c r="A6267" s="11">
        <v>11801.0</v>
      </c>
      <c r="B6267" s="11" t="s">
        <v>6235</v>
      </c>
      <c r="C6267" s="12">
        <v>9862.0</v>
      </c>
      <c r="D6267" s="11" t="str">
        <f t="shared" si="1"/>
        <v> </v>
      </c>
      <c r="E6267" s="11" t="str">
        <f t="shared" si="2"/>
        <v> </v>
      </c>
    </row>
    <row r="6268" ht="15.75" customHeight="1">
      <c r="A6268" s="11">
        <v>14283.0</v>
      </c>
      <c r="B6268" s="11" t="s">
        <v>6236</v>
      </c>
      <c r="C6268" s="12">
        <v>19698.0</v>
      </c>
      <c r="D6268" s="11" t="str">
        <f t="shared" si="1"/>
        <v> </v>
      </c>
      <c r="E6268" s="11" t="str">
        <f t="shared" si="2"/>
        <v> </v>
      </c>
    </row>
    <row r="6269" ht="15.75" customHeight="1">
      <c r="A6269" s="11">
        <v>18016.0</v>
      </c>
      <c r="B6269" s="11" t="s">
        <v>6237</v>
      </c>
      <c r="C6269" s="12">
        <v>21543.0</v>
      </c>
      <c r="D6269" s="11" t="str">
        <f t="shared" si="1"/>
        <v> </v>
      </c>
      <c r="E6269" s="11" t="str">
        <f t="shared" si="2"/>
        <v> </v>
      </c>
    </row>
    <row r="6270" ht="15.75" customHeight="1">
      <c r="A6270" s="11">
        <v>16704.0</v>
      </c>
      <c r="B6270" s="11" t="s">
        <v>6238</v>
      </c>
      <c r="C6270" s="12">
        <v>22637.0</v>
      </c>
      <c r="D6270" s="11" t="str">
        <f t="shared" si="1"/>
        <v> </v>
      </c>
      <c r="E6270" s="11" t="str">
        <f t="shared" si="2"/>
        <v>Repeat</v>
      </c>
    </row>
    <row r="6271" ht="15.75" customHeight="1">
      <c r="A6271" s="11">
        <v>10161.0</v>
      </c>
      <c r="B6271" s="11" t="s">
        <v>6239</v>
      </c>
      <c r="C6271" s="12">
        <v>22351.0</v>
      </c>
      <c r="D6271" s="11" t="str">
        <f t="shared" si="1"/>
        <v> </v>
      </c>
      <c r="E6271" s="11" t="str">
        <f t="shared" si="2"/>
        <v> </v>
      </c>
    </row>
    <row r="6272" ht="15.75" customHeight="1">
      <c r="A6272" s="11">
        <v>18110.0</v>
      </c>
      <c r="B6272" s="11" t="s">
        <v>6240</v>
      </c>
      <c r="C6272" s="12">
        <v>18462.0</v>
      </c>
      <c r="D6272" s="11" t="str">
        <f t="shared" si="1"/>
        <v> </v>
      </c>
      <c r="E6272" s="11" t="str">
        <f t="shared" si="2"/>
        <v> </v>
      </c>
    </row>
    <row r="6273" ht="15.75" customHeight="1">
      <c r="A6273" s="11" t="s">
        <v>6241</v>
      </c>
      <c r="B6273" s="11" t="s">
        <v>6229</v>
      </c>
      <c r="C6273" s="12">
        <v>37315.0</v>
      </c>
      <c r="D6273" s="11" t="str">
        <f t="shared" si="1"/>
        <v>Repeat</v>
      </c>
      <c r="E6273" s="11" t="str">
        <f t="shared" si="2"/>
        <v> </v>
      </c>
    </row>
    <row r="6274" ht="15.75" customHeight="1">
      <c r="A6274" s="11" t="s">
        <v>6242</v>
      </c>
      <c r="B6274" s="11" t="s">
        <v>4071</v>
      </c>
      <c r="C6274" s="12">
        <v>28206.0</v>
      </c>
      <c r="D6274" s="11" t="str">
        <f t="shared" si="1"/>
        <v>Repeat</v>
      </c>
      <c r="E6274" s="11" t="str">
        <f t="shared" si="2"/>
        <v> </v>
      </c>
    </row>
    <row r="6275" ht="15.75" customHeight="1">
      <c r="A6275" s="11" t="s">
        <v>6243</v>
      </c>
      <c r="B6275" s="11" t="s">
        <v>4028</v>
      </c>
      <c r="C6275" s="12">
        <v>32631.0</v>
      </c>
      <c r="D6275" s="11" t="str">
        <f t="shared" si="1"/>
        <v>Repeat</v>
      </c>
      <c r="E6275" s="11" t="str">
        <f t="shared" si="2"/>
        <v> </v>
      </c>
    </row>
    <row r="6276" ht="15.75" customHeight="1">
      <c r="A6276" s="11" t="s">
        <v>6244</v>
      </c>
      <c r="B6276" s="11" t="s">
        <v>2097</v>
      </c>
      <c r="C6276" s="12">
        <v>24387.0</v>
      </c>
      <c r="D6276" s="11" t="str">
        <f t="shared" si="1"/>
        <v>Repeat</v>
      </c>
      <c r="E6276" s="11" t="str">
        <f t="shared" si="2"/>
        <v> </v>
      </c>
    </row>
    <row r="6277" ht="15.75" customHeight="1">
      <c r="A6277" s="11" t="s">
        <v>6245</v>
      </c>
      <c r="B6277" s="11" t="s">
        <v>5919</v>
      </c>
      <c r="C6277" s="12">
        <v>28990.0</v>
      </c>
      <c r="D6277" s="11" t="str">
        <f t="shared" si="1"/>
        <v>Repeat</v>
      </c>
      <c r="E6277" s="11" t="str">
        <f t="shared" si="2"/>
        <v> </v>
      </c>
    </row>
    <row r="6278" ht="15.75" customHeight="1">
      <c r="A6278" s="11">
        <v>18188.0</v>
      </c>
      <c r="B6278" s="11" t="s">
        <v>6246</v>
      </c>
      <c r="C6278" s="12">
        <v>16605.0</v>
      </c>
      <c r="D6278" s="11" t="str">
        <f t="shared" si="1"/>
        <v> </v>
      </c>
      <c r="E6278" s="11" t="str">
        <f t="shared" si="2"/>
        <v> </v>
      </c>
    </row>
    <row r="6279" ht="15.75" customHeight="1">
      <c r="A6279" s="11">
        <v>18198.0</v>
      </c>
      <c r="B6279" s="11" t="s">
        <v>6247</v>
      </c>
      <c r="C6279" s="12">
        <v>29055.0</v>
      </c>
      <c r="D6279" s="11" t="str">
        <f t="shared" si="1"/>
        <v> </v>
      </c>
      <c r="E6279" s="11" t="str">
        <f t="shared" si="2"/>
        <v> </v>
      </c>
    </row>
    <row r="6280" ht="15.75" customHeight="1">
      <c r="A6280" s="11">
        <v>18180.0</v>
      </c>
      <c r="B6280" s="11" t="s">
        <v>6248</v>
      </c>
      <c r="C6280" s="12">
        <v>14490.0</v>
      </c>
      <c r="D6280" s="11" t="str">
        <f t="shared" si="1"/>
        <v> </v>
      </c>
      <c r="E6280" s="11" t="str">
        <f t="shared" si="2"/>
        <v> </v>
      </c>
    </row>
    <row r="6281" ht="15.75" customHeight="1">
      <c r="A6281" s="11">
        <v>18161.0</v>
      </c>
      <c r="B6281" s="11" t="s">
        <v>6249</v>
      </c>
      <c r="C6281" s="12">
        <v>22559.0</v>
      </c>
      <c r="D6281" s="11" t="str">
        <f t="shared" si="1"/>
        <v> </v>
      </c>
      <c r="E6281" s="11" t="str">
        <f t="shared" si="2"/>
        <v> </v>
      </c>
    </row>
    <row r="6282" ht="15.75" customHeight="1">
      <c r="A6282" s="11">
        <v>17548.0</v>
      </c>
      <c r="B6282" s="11" t="s">
        <v>6250</v>
      </c>
      <c r="C6282" s="12">
        <v>20628.0</v>
      </c>
      <c r="D6282" s="11" t="str">
        <f t="shared" si="1"/>
        <v> </v>
      </c>
      <c r="E6282" s="11" t="str">
        <f t="shared" si="2"/>
        <v> </v>
      </c>
    </row>
    <row r="6283" ht="15.75" customHeight="1">
      <c r="A6283" s="11">
        <v>18230.0</v>
      </c>
      <c r="B6283" s="11" t="s">
        <v>6251</v>
      </c>
      <c r="C6283" s="12">
        <v>17549.0</v>
      </c>
      <c r="D6283" s="11" t="str">
        <f t="shared" si="1"/>
        <v> </v>
      </c>
      <c r="E6283" s="11" t="str">
        <f t="shared" si="2"/>
        <v> </v>
      </c>
    </row>
    <row r="6284" ht="15.75" customHeight="1">
      <c r="A6284" s="11">
        <v>18200.0</v>
      </c>
      <c r="B6284" s="11" t="s">
        <v>6252</v>
      </c>
      <c r="C6284" s="12">
        <v>20078.0</v>
      </c>
      <c r="D6284" s="11" t="str">
        <f t="shared" si="1"/>
        <v> </v>
      </c>
      <c r="E6284" s="11" t="str">
        <f t="shared" si="2"/>
        <v> </v>
      </c>
    </row>
    <row r="6285" ht="15.75" customHeight="1">
      <c r="A6285" s="11">
        <v>18037.0</v>
      </c>
      <c r="B6285" s="11" t="s">
        <v>6253</v>
      </c>
      <c r="C6285" s="12">
        <v>20346.0</v>
      </c>
      <c r="D6285" s="11" t="str">
        <f t="shared" si="1"/>
        <v> </v>
      </c>
      <c r="E6285" s="11" t="str">
        <f t="shared" si="2"/>
        <v> </v>
      </c>
    </row>
    <row r="6286" ht="15.75" customHeight="1">
      <c r="A6286" s="11">
        <v>18214.0</v>
      </c>
      <c r="B6286" s="11" t="s">
        <v>6254</v>
      </c>
      <c r="C6286" s="12">
        <v>16828.0</v>
      </c>
      <c r="D6286" s="11" t="str">
        <f t="shared" si="1"/>
        <v> </v>
      </c>
      <c r="E6286" s="11" t="str">
        <f t="shared" si="2"/>
        <v> </v>
      </c>
    </row>
    <row r="6287" ht="15.75" customHeight="1">
      <c r="A6287" s="11">
        <v>18219.0</v>
      </c>
      <c r="B6287" s="11" t="s">
        <v>6255</v>
      </c>
      <c r="C6287" s="12">
        <v>18878.0</v>
      </c>
      <c r="D6287" s="11" t="str">
        <f t="shared" si="1"/>
        <v> </v>
      </c>
      <c r="E6287" s="11" t="str">
        <f t="shared" si="2"/>
        <v> </v>
      </c>
    </row>
    <row r="6288" ht="15.75" customHeight="1">
      <c r="A6288" s="11">
        <v>18093.0</v>
      </c>
      <c r="B6288" s="11" t="s">
        <v>6256</v>
      </c>
      <c r="C6288" s="12">
        <v>29176.0</v>
      </c>
      <c r="D6288" s="11" t="str">
        <f t="shared" si="1"/>
        <v> </v>
      </c>
      <c r="E6288" s="11" t="str">
        <f t="shared" si="2"/>
        <v> </v>
      </c>
    </row>
    <row r="6289" ht="15.75" customHeight="1">
      <c r="A6289" s="11" t="s">
        <v>6257</v>
      </c>
      <c r="B6289" s="11" t="s">
        <v>2598</v>
      </c>
      <c r="C6289" s="12">
        <v>24060.0</v>
      </c>
      <c r="D6289" s="11" t="str">
        <f t="shared" si="1"/>
        <v>Repeat</v>
      </c>
      <c r="E6289" s="11" t="str">
        <f t="shared" si="2"/>
        <v> </v>
      </c>
    </row>
    <row r="6290" ht="15.75" customHeight="1">
      <c r="A6290" s="11" t="s">
        <v>6258</v>
      </c>
      <c r="B6290" s="11" t="s">
        <v>4271</v>
      </c>
      <c r="C6290" s="12">
        <v>23037.0</v>
      </c>
      <c r="D6290" s="11" t="str">
        <f t="shared" si="1"/>
        <v>Repeat</v>
      </c>
      <c r="E6290" s="11" t="str">
        <f t="shared" si="2"/>
        <v> </v>
      </c>
    </row>
    <row r="6291" ht="15.75" customHeight="1">
      <c r="A6291" s="11">
        <v>18021.0</v>
      </c>
      <c r="B6291" s="11" t="s">
        <v>6259</v>
      </c>
      <c r="C6291" s="12">
        <v>37457.0</v>
      </c>
      <c r="D6291" s="11" t="str">
        <f t="shared" si="1"/>
        <v> </v>
      </c>
      <c r="E6291" s="11" t="str">
        <f t="shared" si="2"/>
        <v> </v>
      </c>
    </row>
    <row r="6292" ht="15.75" customHeight="1">
      <c r="A6292" s="11">
        <v>18089.0</v>
      </c>
      <c r="B6292" s="11" t="s">
        <v>6260</v>
      </c>
      <c r="C6292" s="12">
        <v>13624.0</v>
      </c>
      <c r="D6292" s="11" t="str">
        <f t="shared" si="1"/>
        <v> </v>
      </c>
      <c r="E6292" s="11" t="str">
        <f t="shared" si="2"/>
        <v> </v>
      </c>
    </row>
    <row r="6293" ht="15.75" customHeight="1">
      <c r="A6293" s="11">
        <v>18209.0</v>
      </c>
      <c r="B6293" s="11" t="s">
        <v>6261</v>
      </c>
      <c r="C6293" s="12">
        <v>12394.0</v>
      </c>
      <c r="D6293" s="11" t="str">
        <f t="shared" si="1"/>
        <v> </v>
      </c>
      <c r="E6293" s="11" t="str">
        <f t="shared" si="2"/>
        <v> </v>
      </c>
    </row>
    <row r="6294" ht="15.75" customHeight="1">
      <c r="A6294" s="11">
        <v>18246.0</v>
      </c>
      <c r="B6294" s="11" t="s">
        <v>6262</v>
      </c>
      <c r="C6294" s="12">
        <v>31137.0</v>
      </c>
      <c r="D6294" s="11" t="str">
        <f t="shared" si="1"/>
        <v> </v>
      </c>
      <c r="E6294" s="11" t="str">
        <f t="shared" si="2"/>
        <v> </v>
      </c>
    </row>
    <row r="6295" ht="15.75" customHeight="1">
      <c r="A6295" s="11">
        <v>18205.0</v>
      </c>
      <c r="B6295" s="11" t="s">
        <v>6263</v>
      </c>
      <c r="C6295" s="12">
        <v>34355.0</v>
      </c>
      <c r="D6295" s="11" t="str">
        <f t="shared" si="1"/>
        <v> </v>
      </c>
      <c r="E6295" s="11" t="str">
        <f t="shared" si="2"/>
        <v> </v>
      </c>
    </row>
    <row r="6296" ht="15.75" customHeight="1">
      <c r="A6296" s="11">
        <v>18190.0</v>
      </c>
      <c r="B6296" s="11" t="s">
        <v>6264</v>
      </c>
      <c r="C6296" s="12">
        <v>24588.0</v>
      </c>
      <c r="D6296" s="11" t="str">
        <f t="shared" si="1"/>
        <v> </v>
      </c>
      <c r="E6296" s="11" t="str">
        <f t="shared" si="2"/>
        <v> </v>
      </c>
    </row>
    <row r="6297" ht="15.75" customHeight="1">
      <c r="A6297" s="11">
        <v>18213.0</v>
      </c>
      <c r="B6297" s="11" t="s">
        <v>6265</v>
      </c>
      <c r="C6297" s="12">
        <v>32949.0</v>
      </c>
      <c r="D6297" s="11" t="str">
        <f t="shared" si="1"/>
        <v> </v>
      </c>
      <c r="E6297" s="11" t="str">
        <f t="shared" si="2"/>
        <v> </v>
      </c>
    </row>
    <row r="6298" ht="15.75" customHeight="1">
      <c r="A6298" s="11">
        <v>18202.0</v>
      </c>
      <c r="B6298" s="11" t="s">
        <v>6266</v>
      </c>
      <c r="C6298" s="12">
        <v>23015.0</v>
      </c>
      <c r="D6298" s="11" t="str">
        <f t="shared" si="1"/>
        <v> </v>
      </c>
      <c r="E6298" s="11" t="str">
        <f t="shared" si="2"/>
        <v> </v>
      </c>
    </row>
    <row r="6299" ht="15.75" customHeight="1">
      <c r="A6299" s="11">
        <v>18206.0</v>
      </c>
      <c r="B6299" s="11" t="s">
        <v>6267</v>
      </c>
      <c r="C6299" s="12">
        <v>30569.0</v>
      </c>
      <c r="D6299" s="11" t="str">
        <f t="shared" si="1"/>
        <v> </v>
      </c>
      <c r="E6299" s="11" t="str">
        <f t="shared" si="2"/>
        <v> </v>
      </c>
    </row>
    <row r="6300" ht="15.75" customHeight="1">
      <c r="A6300" s="11">
        <v>17923.0</v>
      </c>
      <c r="B6300" s="11" t="s">
        <v>6268</v>
      </c>
      <c r="C6300" s="12">
        <v>18344.0</v>
      </c>
      <c r="D6300" s="11" t="str">
        <f t="shared" si="1"/>
        <v> </v>
      </c>
      <c r="E6300" s="11" t="str">
        <f t="shared" si="2"/>
        <v> </v>
      </c>
    </row>
    <row r="6301" ht="15.75" customHeight="1">
      <c r="A6301" s="11">
        <v>18105.0</v>
      </c>
      <c r="B6301" s="11" t="s">
        <v>6269</v>
      </c>
      <c r="C6301" s="12">
        <v>20582.0</v>
      </c>
      <c r="D6301" s="11" t="str">
        <f t="shared" si="1"/>
        <v> </v>
      </c>
      <c r="E6301" s="11" t="str">
        <f t="shared" si="2"/>
        <v> </v>
      </c>
    </row>
    <row r="6302" ht="15.75" customHeight="1">
      <c r="A6302" s="11">
        <v>18239.0</v>
      </c>
      <c r="B6302" s="11" t="s">
        <v>6270</v>
      </c>
      <c r="C6302" s="12">
        <v>19170.0</v>
      </c>
      <c r="D6302" s="11" t="str">
        <f t="shared" si="1"/>
        <v> </v>
      </c>
      <c r="E6302" s="11" t="str">
        <f t="shared" si="2"/>
        <v> </v>
      </c>
    </row>
    <row r="6303" ht="15.75" customHeight="1">
      <c r="A6303" s="11">
        <v>18194.0</v>
      </c>
      <c r="B6303" s="11" t="s">
        <v>6271</v>
      </c>
      <c r="C6303" s="12">
        <v>20128.0</v>
      </c>
      <c r="D6303" s="11" t="str">
        <f t="shared" si="1"/>
        <v> </v>
      </c>
      <c r="E6303" s="11" t="str">
        <f t="shared" si="2"/>
        <v> </v>
      </c>
    </row>
    <row r="6304" ht="15.75" customHeight="1">
      <c r="A6304" s="11">
        <v>18171.0</v>
      </c>
      <c r="B6304" s="11" t="s">
        <v>6272</v>
      </c>
      <c r="C6304" s="12">
        <v>20639.0</v>
      </c>
      <c r="D6304" s="11" t="str">
        <f t="shared" si="1"/>
        <v> </v>
      </c>
      <c r="E6304" s="11" t="str">
        <f t="shared" si="2"/>
        <v> </v>
      </c>
    </row>
    <row r="6305" ht="15.75" customHeight="1">
      <c r="A6305" s="11">
        <v>18000.0</v>
      </c>
      <c r="B6305" s="11" t="s">
        <v>6273</v>
      </c>
      <c r="C6305" s="12">
        <v>22844.0</v>
      </c>
      <c r="D6305" s="11" t="str">
        <f t="shared" si="1"/>
        <v> </v>
      </c>
      <c r="E6305" s="11" t="str">
        <f t="shared" si="2"/>
        <v> </v>
      </c>
    </row>
    <row r="6306" ht="15.75" customHeight="1">
      <c r="A6306" s="11">
        <v>17904.0</v>
      </c>
      <c r="B6306" s="11" t="s">
        <v>6274</v>
      </c>
      <c r="C6306" s="12">
        <v>27564.0</v>
      </c>
      <c r="D6306" s="11" t="str">
        <f t="shared" si="1"/>
        <v> </v>
      </c>
      <c r="E6306" s="11" t="str">
        <f t="shared" si="2"/>
        <v> </v>
      </c>
    </row>
    <row r="6307" ht="15.75" customHeight="1">
      <c r="A6307" s="11">
        <v>18201.0</v>
      </c>
      <c r="B6307" s="11" t="s">
        <v>6275</v>
      </c>
      <c r="C6307" s="12">
        <v>17292.0</v>
      </c>
      <c r="D6307" s="11" t="str">
        <f t="shared" si="1"/>
        <v> </v>
      </c>
      <c r="E6307" s="11" t="str">
        <f t="shared" si="2"/>
        <v> </v>
      </c>
    </row>
    <row r="6308" ht="15.75" customHeight="1">
      <c r="A6308" s="11">
        <v>18199.0</v>
      </c>
      <c r="B6308" s="11" t="s">
        <v>6276</v>
      </c>
      <c r="C6308" s="12">
        <v>17766.0</v>
      </c>
      <c r="D6308" s="11" t="str">
        <f t="shared" si="1"/>
        <v> </v>
      </c>
      <c r="E6308" s="11" t="str">
        <f t="shared" si="2"/>
        <v> </v>
      </c>
    </row>
    <row r="6309" ht="15.75" customHeight="1">
      <c r="A6309" s="11">
        <v>18182.0</v>
      </c>
      <c r="B6309" s="11" t="s">
        <v>6277</v>
      </c>
      <c r="C6309" s="12">
        <v>26922.0</v>
      </c>
      <c r="D6309" s="11" t="str">
        <f t="shared" si="1"/>
        <v> </v>
      </c>
      <c r="E6309" s="11" t="str">
        <f t="shared" si="2"/>
        <v> </v>
      </c>
    </row>
    <row r="6310" ht="15.75" customHeight="1">
      <c r="A6310" s="11">
        <v>18218.0</v>
      </c>
      <c r="B6310" s="11" t="s">
        <v>6278</v>
      </c>
      <c r="C6310" s="12">
        <v>23925.0</v>
      </c>
      <c r="D6310" s="11" t="str">
        <f t="shared" si="1"/>
        <v> </v>
      </c>
      <c r="E6310" s="11" t="str">
        <f t="shared" si="2"/>
        <v> </v>
      </c>
    </row>
    <row r="6311" ht="15.75" customHeight="1">
      <c r="A6311" s="11">
        <v>18164.0</v>
      </c>
      <c r="B6311" s="11" t="s">
        <v>6279</v>
      </c>
      <c r="C6311" s="12">
        <v>32521.0</v>
      </c>
      <c r="D6311" s="11" t="str">
        <f t="shared" si="1"/>
        <v> </v>
      </c>
      <c r="E6311" s="11" t="str">
        <f t="shared" si="2"/>
        <v> </v>
      </c>
    </row>
    <row r="6312" ht="15.75" customHeight="1">
      <c r="A6312" s="11">
        <v>18150.0</v>
      </c>
      <c r="B6312" s="11" t="s">
        <v>6280</v>
      </c>
      <c r="C6312" s="12">
        <v>32275.0</v>
      </c>
      <c r="D6312" s="11" t="str">
        <f t="shared" si="1"/>
        <v> </v>
      </c>
      <c r="E6312" s="11" t="str">
        <f t="shared" si="2"/>
        <v> </v>
      </c>
    </row>
    <row r="6313" ht="15.75" customHeight="1">
      <c r="A6313" s="11">
        <v>18220.0</v>
      </c>
      <c r="B6313" s="11" t="s">
        <v>6281</v>
      </c>
      <c r="C6313" s="12">
        <v>28560.0</v>
      </c>
      <c r="D6313" s="11" t="str">
        <f t="shared" si="1"/>
        <v> </v>
      </c>
      <c r="E6313" s="11" t="str">
        <f t="shared" si="2"/>
        <v> </v>
      </c>
    </row>
    <row r="6314" ht="15.75" customHeight="1">
      <c r="A6314" s="11">
        <v>16309.0</v>
      </c>
      <c r="B6314" s="11" t="s">
        <v>6282</v>
      </c>
      <c r="C6314" s="12">
        <v>11971.0</v>
      </c>
      <c r="D6314" s="11" t="str">
        <f t="shared" si="1"/>
        <v> </v>
      </c>
      <c r="E6314" s="11" t="str">
        <f t="shared" si="2"/>
        <v> </v>
      </c>
    </row>
    <row r="6315" ht="15.75" customHeight="1">
      <c r="A6315" s="11">
        <v>18145.0</v>
      </c>
      <c r="B6315" s="11" t="s">
        <v>6283</v>
      </c>
      <c r="C6315" s="12">
        <v>19197.0</v>
      </c>
      <c r="D6315" s="11" t="str">
        <f t="shared" si="1"/>
        <v> </v>
      </c>
      <c r="E6315" s="11" t="str">
        <f t="shared" si="2"/>
        <v> </v>
      </c>
    </row>
    <row r="6316" ht="15.75" customHeight="1">
      <c r="A6316" s="11">
        <v>18243.0</v>
      </c>
      <c r="B6316" s="11" t="s">
        <v>6284</v>
      </c>
      <c r="C6316" s="12">
        <v>17081.0</v>
      </c>
      <c r="D6316" s="11" t="str">
        <f t="shared" si="1"/>
        <v> </v>
      </c>
      <c r="E6316" s="11" t="str">
        <f t="shared" si="2"/>
        <v> </v>
      </c>
    </row>
    <row r="6317" ht="15.75" customHeight="1">
      <c r="A6317" s="11">
        <v>18215.0</v>
      </c>
      <c r="B6317" s="11" t="s">
        <v>6285</v>
      </c>
      <c r="C6317" s="12">
        <v>19281.0</v>
      </c>
      <c r="D6317" s="11" t="str">
        <f t="shared" si="1"/>
        <v> </v>
      </c>
      <c r="E6317" s="11" t="str">
        <f t="shared" si="2"/>
        <v> </v>
      </c>
    </row>
    <row r="6318" ht="15.75" customHeight="1">
      <c r="A6318" s="11">
        <v>18242.0</v>
      </c>
      <c r="B6318" s="11" t="s">
        <v>6286</v>
      </c>
      <c r="C6318" s="12">
        <v>22087.0</v>
      </c>
      <c r="D6318" s="11" t="str">
        <f t="shared" si="1"/>
        <v> </v>
      </c>
      <c r="E6318" s="11" t="str">
        <f t="shared" si="2"/>
        <v> </v>
      </c>
    </row>
    <row r="6319" ht="15.75" customHeight="1">
      <c r="A6319" s="11">
        <v>18267.0</v>
      </c>
      <c r="B6319" s="11" t="s">
        <v>4678</v>
      </c>
      <c r="C6319" s="12">
        <v>19572.0</v>
      </c>
      <c r="D6319" s="11" t="str">
        <f t="shared" si="1"/>
        <v>Repeat</v>
      </c>
      <c r="E6319" s="11" t="str">
        <f t="shared" si="2"/>
        <v> </v>
      </c>
    </row>
    <row r="6320" ht="15.75" customHeight="1">
      <c r="A6320" s="11">
        <v>18273.0</v>
      </c>
      <c r="B6320" s="11" t="s">
        <v>6287</v>
      </c>
      <c r="C6320" s="12">
        <v>26448.0</v>
      </c>
      <c r="D6320" s="11" t="str">
        <f t="shared" si="1"/>
        <v> </v>
      </c>
      <c r="E6320" s="11" t="str">
        <f t="shared" si="2"/>
        <v> </v>
      </c>
    </row>
    <row r="6321" ht="15.75" customHeight="1">
      <c r="A6321" s="11">
        <v>18316.0</v>
      </c>
      <c r="B6321" s="11" t="s">
        <v>6288</v>
      </c>
      <c r="C6321" s="12">
        <v>24528.0</v>
      </c>
      <c r="D6321" s="11" t="str">
        <f t="shared" si="1"/>
        <v> </v>
      </c>
      <c r="E6321" s="11" t="str">
        <f t="shared" si="2"/>
        <v> </v>
      </c>
    </row>
    <row r="6322" ht="15.75" customHeight="1">
      <c r="A6322" s="11">
        <v>18295.0</v>
      </c>
      <c r="B6322" s="11" t="s">
        <v>6289</v>
      </c>
      <c r="C6322" s="12">
        <v>23133.0</v>
      </c>
      <c r="D6322" s="11" t="str">
        <f t="shared" si="1"/>
        <v> </v>
      </c>
      <c r="E6322" s="11" t="str">
        <f t="shared" si="2"/>
        <v> </v>
      </c>
    </row>
    <row r="6323" ht="15.75" customHeight="1">
      <c r="A6323" s="11">
        <v>18250.0</v>
      </c>
      <c r="B6323" s="11" t="s">
        <v>6290</v>
      </c>
      <c r="C6323" s="12">
        <v>19954.0</v>
      </c>
      <c r="D6323" s="11" t="str">
        <f t="shared" si="1"/>
        <v> </v>
      </c>
      <c r="E6323" s="11" t="str">
        <f t="shared" si="2"/>
        <v> </v>
      </c>
    </row>
    <row r="6324" ht="15.75" customHeight="1">
      <c r="A6324" s="11">
        <v>18236.0</v>
      </c>
      <c r="B6324" s="11" t="s">
        <v>6291</v>
      </c>
      <c r="C6324" s="12">
        <v>21885.0</v>
      </c>
      <c r="D6324" s="11" t="str">
        <f t="shared" si="1"/>
        <v> </v>
      </c>
      <c r="E6324" s="11" t="str">
        <f t="shared" si="2"/>
        <v> </v>
      </c>
    </row>
    <row r="6325" ht="15.75" customHeight="1">
      <c r="A6325" s="11">
        <v>18136.0</v>
      </c>
      <c r="B6325" s="11" t="s">
        <v>6292</v>
      </c>
      <c r="C6325" s="12">
        <v>26779.0</v>
      </c>
      <c r="D6325" s="11" t="str">
        <f t="shared" si="1"/>
        <v> </v>
      </c>
      <c r="E6325" s="11" t="str">
        <f t="shared" si="2"/>
        <v> </v>
      </c>
    </row>
    <row r="6326" ht="15.75" customHeight="1">
      <c r="A6326" s="11">
        <v>18004.0</v>
      </c>
      <c r="B6326" s="11" t="s">
        <v>6293</v>
      </c>
      <c r="C6326" s="12">
        <v>24456.0</v>
      </c>
      <c r="D6326" s="11"/>
      <c r="E6326" s="11"/>
    </row>
    <row r="6327" ht="15.75" customHeight="1">
      <c r="A6327" s="11">
        <v>17912.0</v>
      </c>
      <c r="B6327" s="11" t="s">
        <v>6294</v>
      </c>
      <c r="C6327" s="12">
        <v>21820.0</v>
      </c>
      <c r="D6327" s="11"/>
      <c r="E6327" s="11"/>
    </row>
    <row r="6328" ht="15.75" customHeight="1">
      <c r="A6328" s="11">
        <v>17960.0</v>
      </c>
      <c r="B6328" s="11" t="s">
        <v>6295</v>
      </c>
      <c r="C6328" s="12">
        <v>14881.0</v>
      </c>
      <c r="D6328" s="11"/>
      <c r="E6328" s="11"/>
    </row>
    <row r="6329" ht="15.75" customHeight="1">
      <c r="A6329" s="11">
        <v>17767.0</v>
      </c>
      <c r="B6329" s="11" t="s">
        <v>6296</v>
      </c>
      <c r="C6329" s="12">
        <v>18141.0</v>
      </c>
      <c r="D6329" s="11"/>
      <c r="E6329" s="11"/>
    </row>
    <row r="6330" ht="15.75" customHeight="1">
      <c r="A6330" s="11">
        <v>18014.0</v>
      </c>
      <c r="B6330" s="11" t="s">
        <v>6297</v>
      </c>
      <c r="C6330" s="12">
        <v>28943.0</v>
      </c>
      <c r="D6330" s="11"/>
      <c r="E6330" s="11"/>
    </row>
    <row r="6331" ht="15.75" customHeight="1">
      <c r="A6331" s="11">
        <v>17984.0</v>
      </c>
      <c r="B6331" s="11" t="s">
        <v>6298</v>
      </c>
      <c r="C6331" s="12">
        <v>19027.0</v>
      </c>
      <c r="D6331" s="11"/>
      <c r="E6331" s="11"/>
    </row>
    <row r="6332" ht="15.75" customHeight="1">
      <c r="A6332" s="11">
        <v>17967.0</v>
      </c>
      <c r="B6332" s="11" t="s">
        <v>6299</v>
      </c>
      <c r="C6332" s="12">
        <v>19257.0</v>
      </c>
      <c r="D6332" s="11"/>
      <c r="E6332" s="11"/>
    </row>
    <row r="6333" ht="15.75" customHeight="1">
      <c r="A6333" s="11">
        <v>18013.0</v>
      </c>
      <c r="B6333" s="11" t="s">
        <v>6300</v>
      </c>
      <c r="C6333" s="12">
        <v>21042.0</v>
      </c>
      <c r="D6333" s="11"/>
      <c r="E6333" s="11"/>
    </row>
    <row r="6334" ht="15.75" customHeight="1">
      <c r="A6334" s="11">
        <v>18041.0</v>
      </c>
      <c r="B6334" s="11" t="s">
        <v>6301</v>
      </c>
      <c r="C6334" s="12">
        <v>19826.0</v>
      </c>
      <c r="D6334" s="11"/>
      <c r="E6334" s="11"/>
    </row>
    <row r="6335" ht="15.75" customHeight="1">
      <c r="A6335" s="11">
        <v>17862.0</v>
      </c>
      <c r="B6335" s="11" t="s">
        <v>1256</v>
      </c>
      <c r="C6335" s="12">
        <v>27210.0</v>
      </c>
      <c r="D6335" s="11"/>
      <c r="E6335" s="11"/>
    </row>
    <row r="6336" ht="15.75" customHeight="1">
      <c r="A6336" s="11">
        <v>18029.0</v>
      </c>
      <c r="B6336" s="11" t="s">
        <v>6302</v>
      </c>
      <c r="C6336" s="12">
        <v>34870.0</v>
      </c>
      <c r="D6336" s="11"/>
      <c r="E6336" s="11"/>
    </row>
    <row r="6337" ht="15.75" customHeight="1">
      <c r="A6337" s="11">
        <v>18033.0</v>
      </c>
      <c r="B6337" s="11" t="s">
        <v>6303</v>
      </c>
      <c r="C6337" s="12">
        <v>20590.0</v>
      </c>
      <c r="D6337" s="11"/>
      <c r="E6337" s="11"/>
    </row>
    <row r="6338" ht="15.75" customHeight="1">
      <c r="A6338" s="11">
        <v>18024.0</v>
      </c>
      <c r="B6338" s="11" t="s">
        <v>6304</v>
      </c>
      <c r="C6338" s="12">
        <v>30137.0</v>
      </c>
      <c r="D6338" s="11"/>
      <c r="E6338" s="11"/>
    </row>
    <row r="6339" ht="15.75" customHeight="1">
      <c r="A6339" s="11">
        <v>17991.0</v>
      </c>
      <c r="B6339" s="11" t="s">
        <v>6305</v>
      </c>
      <c r="C6339" s="12">
        <v>25883.0</v>
      </c>
      <c r="D6339" s="11"/>
      <c r="E6339" s="11"/>
    </row>
    <row r="6340" ht="15.75" customHeight="1">
      <c r="A6340" s="11">
        <v>18051.0</v>
      </c>
      <c r="B6340" s="11" t="s">
        <v>6306</v>
      </c>
      <c r="C6340" s="12">
        <v>21863.0</v>
      </c>
      <c r="D6340" s="11"/>
      <c r="E6340" s="11"/>
    </row>
    <row r="6341" ht="15.75" customHeight="1">
      <c r="A6341" s="11">
        <v>18055.0</v>
      </c>
      <c r="B6341" s="11" t="s">
        <v>6307</v>
      </c>
      <c r="C6341" s="12">
        <v>17978.0</v>
      </c>
      <c r="D6341" s="11"/>
      <c r="E6341" s="11"/>
    </row>
    <row r="6342" ht="15.75" customHeight="1">
      <c r="A6342" s="11">
        <v>18032.0</v>
      </c>
      <c r="B6342" s="11" t="s">
        <v>6308</v>
      </c>
      <c r="C6342" s="12">
        <v>15823.0</v>
      </c>
      <c r="D6342" s="11"/>
      <c r="E6342" s="11"/>
    </row>
    <row r="6343" ht="15.75" customHeight="1">
      <c r="A6343" s="11">
        <v>18036.0</v>
      </c>
      <c r="B6343" s="11" t="s">
        <v>6309</v>
      </c>
      <c r="C6343" s="12">
        <v>17456.0</v>
      </c>
      <c r="D6343" s="11"/>
      <c r="E6343" s="11"/>
    </row>
    <row r="6344" ht="15.75" customHeight="1">
      <c r="A6344" s="11">
        <v>18028.0</v>
      </c>
      <c r="B6344" s="11" t="s">
        <v>6310</v>
      </c>
      <c r="C6344" s="12">
        <v>17455.0</v>
      </c>
      <c r="D6344" s="11"/>
      <c r="E6344" s="11"/>
    </row>
    <row r="6345" ht="15.75" customHeight="1">
      <c r="A6345" s="11" t="s">
        <v>6311</v>
      </c>
      <c r="B6345" s="11" t="s">
        <v>6312</v>
      </c>
      <c r="C6345" s="12">
        <v>26246.0</v>
      </c>
      <c r="D6345" s="11"/>
      <c r="E6345" s="11"/>
    </row>
    <row r="6346" ht="15.75" customHeight="1">
      <c r="A6346" s="11">
        <v>18066.0</v>
      </c>
      <c r="B6346" s="11" t="s">
        <v>6313</v>
      </c>
      <c r="C6346" s="12">
        <v>23481.0</v>
      </c>
      <c r="D6346" s="11"/>
      <c r="E6346" s="11"/>
    </row>
    <row r="6347" ht="15.75" customHeight="1">
      <c r="A6347" s="11">
        <v>18074.0</v>
      </c>
      <c r="B6347" s="11" t="s">
        <v>6314</v>
      </c>
      <c r="C6347" s="12">
        <v>21940.0</v>
      </c>
      <c r="D6347" s="11"/>
      <c r="E6347" s="11"/>
    </row>
    <row r="6348" ht="15.75" customHeight="1">
      <c r="A6348" s="11">
        <v>18022.0</v>
      </c>
      <c r="B6348" s="11" t="s">
        <v>6315</v>
      </c>
      <c r="C6348" s="12">
        <v>19421.0</v>
      </c>
      <c r="D6348" s="11"/>
      <c r="E6348" s="11"/>
    </row>
    <row r="6349" ht="15.75" customHeight="1">
      <c r="A6349" s="11">
        <v>18085.0</v>
      </c>
      <c r="B6349" s="11" t="s">
        <v>6316</v>
      </c>
      <c r="C6349" s="12">
        <v>23129.0</v>
      </c>
      <c r="D6349" s="11"/>
      <c r="E6349" s="11"/>
    </row>
    <row r="6350" ht="15.75" customHeight="1">
      <c r="A6350" s="11">
        <v>18080.0</v>
      </c>
      <c r="B6350" s="11" t="s">
        <v>6317</v>
      </c>
      <c r="C6350" s="12">
        <v>24514.0</v>
      </c>
      <c r="D6350" s="11"/>
      <c r="E6350" s="11"/>
    </row>
    <row r="6351" ht="15.75" customHeight="1">
      <c r="A6351" s="11">
        <v>18046.0</v>
      </c>
      <c r="B6351" s="11" t="s">
        <v>6318</v>
      </c>
      <c r="C6351" s="12">
        <v>21540.0</v>
      </c>
      <c r="D6351" s="11"/>
      <c r="E6351" s="11"/>
    </row>
    <row r="6352" ht="15.75" customHeight="1">
      <c r="A6352" s="11">
        <v>18077.0</v>
      </c>
      <c r="B6352" s="11" t="s">
        <v>6319</v>
      </c>
      <c r="C6352" s="12">
        <v>25390.0</v>
      </c>
      <c r="D6352" s="11"/>
      <c r="E6352" s="11"/>
    </row>
    <row r="6353" ht="15.75" customHeight="1">
      <c r="A6353" s="11">
        <v>18058.0</v>
      </c>
      <c r="B6353" s="11" t="s">
        <v>6320</v>
      </c>
      <c r="C6353" s="12">
        <v>22897.0</v>
      </c>
      <c r="D6353" s="11"/>
      <c r="E6353" s="11"/>
    </row>
    <row r="6354" ht="15.75" customHeight="1">
      <c r="A6354" s="11">
        <v>18113.0</v>
      </c>
      <c r="B6354" s="11" t="s">
        <v>6321</v>
      </c>
      <c r="C6354" s="12">
        <v>17944.0</v>
      </c>
      <c r="D6354" s="11"/>
      <c r="E6354" s="11"/>
    </row>
    <row r="6355" ht="15.75" customHeight="1">
      <c r="A6355" s="11">
        <v>12230.0</v>
      </c>
      <c r="B6355" s="11" t="s">
        <v>6322</v>
      </c>
      <c r="C6355" s="12">
        <v>18378.0</v>
      </c>
      <c r="D6355" s="11"/>
      <c r="E6355" s="11"/>
    </row>
    <row r="6356" ht="15.75" customHeight="1">
      <c r="A6356" s="11">
        <v>18003.0</v>
      </c>
      <c r="B6356" s="11" t="s">
        <v>6323</v>
      </c>
      <c r="C6356" s="12">
        <v>23265.0</v>
      </c>
      <c r="D6356" s="11"/>
      <c r="E6356" s="11"/>
    </row>
    <row r="6357" ht="15.75" customHeight="1">
      <c r="A6357" s="11">
        <v>18057.0</v>
      </c>
      <c r="B6357" s="11" t="s">
        <v>6324</v>
      </c>
      <c r="C6357" s="12">
        <v>20898.0</v>
      </c>
      <c r="D6357" s="11"/>
      <c r="E6357" s="11"/>
    </row>
    <row r="6358" ht="15.75" customHeight="1">
      <c r="A6358" s="11">
        <v>18115.0</v>
      </c>
      <c r="B6358" s="11" t="s">
        <v>6325</v>
      </c>
      <c r="C6358" s="12">
        <v>30483.0</v>
      </c>
      <c r="D6358" s="11"/>
      <c r="E6358" s="11"/>
    </row>
    <row r="6359" ht="15.75" customHeight="1">
      <c r="A6359" s="11">
        <v>18073.0</v>
      </c>
      <c r="B6359" s="11" t="s">
        <v>6326</v>
      </c>
      <c r="C6359" s="12">
        <v>23991.0</v>
      </c>
      <c r="D6359" s="11"/>
      <c r="E6359" s="11"/>
    </row>
    <row r="6360" ht="15.75" customHeight="1">
      <c r="A6360" s="11">
        <v>18043.0</v>
      </c>
      <c r="B6360" s="11" t="s">
        <v>6327</v>
      </c>
      <c r="C6360" s="12">
        <v>25256.0</v>
      </c>
      <c r="D6360" s="11"/>
      <c r="E6360" s="11"/>
    </row>
    <row r="6361" ht="15.75" customHeight="1">
      <c r="A6361" s="11">
        <v>18114.0</v>
      </c>
      <c r="B6361" s="11" t="s">
        <v>6328</v>
      </c>
      <c r="C6361" s="12">
        <v>32736.0</v>
      </c>
      <c r="D6361" s="11"/>
      <c r="E6361" s="11"/>
    </row>
    <row r="6362" ht="15.75" customHeight="1">
      <c r="A6362" s="11">
        <v>10326.0</v>
      </c>
      <c r="B6362" s="11" t="s">
        <v>6329</v>
      </c>
      <c r="C6362" s="12">
        <v>23490.0</v>
      </c>
      <c r="D6362" s="11"/>
      <c r="E6362" s="11"/>
    </row>
    <row r="6363" ht="15.75" customHeight="1">
      <c r="A6363" s="11">
        <v>18097.0</v>
      </c>
      <c r="B6363" s="11" t="s">
        <v>6330</v>
      </c>
      <c r="C6363" s="12">
        <v>28980.0</v>
      </c>
      <c r="D6363" s="11"/>
      <c r="E6363" s="11"/>
    </row>
    <row r="6364" ht="15.75" customHeight="1">
      <c r="A6364" s="11">
        <v>18075.0</v>
      </c>
      <c r="B6364" s="11" t="s">
        <v>6331</v>
      </c>
      <c r="C6364" s="12">
        <v>22229.0</v>
      </c>
      <c r="D6364" s="11"/>
      <c r="E6364" s="11"/>
    </row>
    <row r="6365" ht="15.75" customHeight="1">
      <c r="A6365" s="11">
        <v>18095.0</v>
      </c>
      <c r="B6365" s="11" t="s">
        <v>6332</v>
      </c>
      <c r="C6365" s="12">
        <v>15672.0</v>
      </c>
      <c r="D6365" s="11"/>
      <c r="E6365" s="11"/>
    </row>
    <row r="6366" ht="15.75" customHeight="1">
      <c r="A6366" s="11">
        <v>18106.0</v>
      </c>
      <c r="B6366" s="11" t="s">
        <v>6333</v>
      </c>
      <c r="C6366" s="12">
        <v>20979.0</v>
      </c>
      <c r="D6366" s="11"/>
      <c r="E6366" s="11"/>
    </row>
    <row r="6367" ht="15.75" customHeight="1">
      <c r="A6367" s="11">
        <v>18087.0</v>
      </c>
      <c r="B6367" s="11" t="s">
        <v>6334</v>
      </c>
      <c r="C6367" s="12">
        <v>23194.0</v>
      </c>
      <c r="D6367" s="11"/>
      <c r="E6367" s="11"/>
    </row>
    <row r="6368" ht="15.75" customHeight="1">
      <c r="A6368" s="11">
        <v>18072.0</v>
      </c>
      <c r="B6368" s="11" t="s">
        <v>6335</v>
      </c>
      <c r="C6368" s="12">
        <v>21909.0</v>
      </c>
      <c r="D6368" s="11"/>
      <c r="E6368" s="11"/>
    </row>
    <row r="6369" ht="15.75" customHeight="1">
      <c r="A6369" s="11">
        <v>18059.0</v>
      </c>
      <c r="B6369" s="11" t="s">
        <v>6336</v>
      </c>
      <c r="C6369" s="12">
        <v>27676.0</v>
      </c>
      <c r="D6369" s="11"/>
      <c r="E6369" s="11"/>
    </row>
    <row r="6370" ht="15.75" customHeight="1">
      <c r="A6370" s="11">
        <v>18082.0</v>
      </c>
      <c r="B6370" s="11" t="s">
        <v>6337</v>
      </c>
      <c r="C6370" s="12">
        <v>17686.0</v>
      </c>
      <c r="D6370" s="11"/>
      <c r="E6370" s="11"/>
    </row>
    <row r="6371" ht="15.75" customHeight="1">
      <c r="A6371" s="11">
        <v>18108.0</v>
      </c>
      <c r="B6371" s="11" t="s">
        <v>6338</v>
      </c>
      <c r="C6371" s="12">
        <v>13026.0</v>
      </c>
      <c r="D6371" s="11"/>
      <c r="E6371" s="11"/>
    </row>
    <row r="6372" ht="15.75" customHeight="1">
      <c r="A6372" s="11">
        <v>18098.0</v>
      </c>
      <c r="B6372" s="11" t="s">
        <v>6339</v>
      </c>
      <c r="C6372" s="12">
        <v>18133.0</v>
      </c>
      <c r="D6372" s="11"/>
      <c r="E6372" s="11"/>
    </row>
    <row r="6373" ht="15.75" customHeight="1">
      <c r="A6373" s="11">
        <v>18139.0</v>
      </c>
      <c r="B6373" s="11" t="s">
        <v>6340</v>
      </c>
      <c r="C6373" s="12">
        <v>23268.0</v>
      </c>
      <c r="D6373" s="11"/>
      <c r="E6373" s="11"/>
    </row>
    <row r="6374" ht="15.75" customHeight="1">
      <c r="A6374" s="11">
        <v>18107.0</v>
      </c>
      <c r="B6374" s="11" t="s">
        <v>6341</v>
      </c>
      <c r="C6374" s="12">
        <v>16069.0</v>
      </c>
      <c r="D6374" s="11"/>
      <c r="E6374" s="11"/>
    </row>
    <row r="6375" ht="15.75" customHeight="1">
      <c r="A6375" s="11">
        <v>18091.0</v>
      </c>
      <c r="B6375" s="11" t="s">
        <v>6342</v>
      </c>
      <c r="C6375" s="12">
        <v>18093.0</v>
      </c>
      <c r="D6375" s="11"/>
      <c r="E6375" s="11"/>
    </row>
    <row r="6376" ht="15.75" customHeight="1">
      <c r="A6376" s="11">
        <v>18146.0</v>
      </c>
      <c r="B6376" s="11" t="s">
        <v>6343</v>
      </c>
      <c r="C6376" s="12">
        <v>20786.0</v>
      </c>
      <c r="D6376" s="11"/>
      <c r="E6376" s="11"/>
    </row>
    <row r="6377" ht="15.75" customHeight="1">
      <c r="A6377" s="11">
        <v>18102.0</v>
      </c>
      <c r="B6377" s="11" t="s">
        <v>6344</v>
      </c>
      <c r="C6377" s="12">
        <v>14309.0</v>
      </c>
      <c r="D6377" s="11"/>
      <c r="E6377" s="11"/>
    </row>
    <row r="6378" ht="15.75" customHeight="1">
      <c r="A6378" s="11">
        <v>18152.0</v>
      </c>
      <c r="B6378" s="11" t="s">
        <v>6345</v>
      </c>
      <c r="C6378" s="12">
        <v>24358.0</v>
      </c>
      <c r="D6378" s="11"/>
      <c r="E6378" s="11"/>
    </row>
    <row r="6379" ht="15.75" customHeight="1">
      <c r="A6379" s="11">
        <v>18047.0</v>
      </c>
      <c r="B6379" s="11" t="s">
        <v>6346</v>
      </c>
      <c r="C6379" s="12">
        <v>20905.0</v>
      </c>
      <c r="D6379" s="11"/>
      <c r="E6379" s="11"/>
    </row>
    <row r="6380" ht="15.75" customHeight="1">
      <c r="A6380" s="11">
        <v>18141.0</v>
      </c>
      <c r="B6380" s="11" t="s">
        <v>6347</v>
      </c>
      <c r="C6380" s="12">
        <v>13336.0</v>
      </c>
      <c r="D6380" s="11"/>
      <c r="E6380" s="11"/>
    </row>
    <row r="6381" ht="15.75" customHeight="1">
      <c r="A6381" s="11">
        <v>18119.0</v>
      </c>
      <c r="B6381" s="11" t="s">
        <v>6348</v>
      </c>
      <c r="C6381" s="12">
        <v>14367.0</v>
      </c>
      <c r="D6381" s="11"/>
      <c r="E6381" s="11"/>
    </row>
    <row r="6382" ht="15.75" customHeight="1">
      <c r="A6382" s="11">
        <v>18086.0</v>
      </c>
      <c r="B6382" s="11" t="s">
        <v>6349</v>
      </c>
      <c r="C6382" s="12">
        <v>26511.0</v>
      </c>
      <c r="D6382" s="11"/>
      <c r="E6382" s="11"/>
    </row>
    <row r="6383" ht="15.75" customHeight="1">
      <c r="A6383" s="11">
        <v>18131.0</v>
      </c>
      <c r="B6383" s="11" t="s">
        <v>6350</v>
      </c>
      <c r="C6383" s="12">
        <v>35173.0</v>
      </c>
      <c r="D6383" s="11"/>
      <c r="E6383" s="11"/>
    </row>
    <row r="6384" ht="15.75" customHeight="1">
      <c r="A6384" s="11">
        <v>10967.0</v>
      </c>
      <c r="B6384" s="11" t="s">
        <v>6351</v>
      </c>
      <c r="C6384" s="12">
        <v>18921.0</v>
      </c>
      <c r="D6384" s="11"/>
      <c r="E6384" s="11"/>
    </row>
    <row r="6385" ht="15.75" customHeight="1">
      <c r="A6385" s="11">
        <v>18100.0</v>
      </c>
      <c r="B6385" s="11" t="s">
        <v>6352</v>
      </c>
      <c r="C6385" s="12">
        <v>14158.0</v>
      </c>
      <c r="D6385" s="11"/>
      <c r="E6385" s="11"/>
    </row>
    <row r="6386" ht="15.75" customHeight="1">
      <c r="A6386" s="11">
        <v>18042.0</v>
      </c>
      <c r="B6386" s="11" t="s">
        <v>6353</v>
      </c>
      <c r="C6386" s="12">
        <v>12490.0</v>
      </c>
      <c r="D6386" s="11"/>
      <c r="E6386" s="11"/>
    </row>
    <row r="6387" ht="15.75" customHeight="1">
      <c r="A6387" s="11">
        <v>18163.0</v>
      </c>
      <c r="B6387" s="11" t="s">
        <v>6354</v>
      </c>
      <c r="C6387" s="12">
        <v>15402.0</v>
      </c>
      <c r="D6387" s="11"/>
      <c r="E6387" s="11"/>
    </row>
    <row r="6388" ht="15.75" customHeight="1">
      <c r="A6388" s="11">
        <v>16574.0</v>
      </c>
      <c r="B6388" s="11" t="s">
        <v>4792</v>
      </c>
      <c r="C6388" s="12">
        <v>22806.0</v>
      </c>
      <c r="D6388" s="11"/>
      <c r="E6388" s="11"/>
    </row>
    <row r="6389" ht="15.75" customHeight="1">
      <c r="A6389" s="11">
        <v>9245.0</v>
      </c>
      <c r="B6389" s="11" t="s">
        <v>101</v>
      </c>
      <c r="C6389" s="12">
        <v>16580.0</v>
      </c>
      <c r="D6389" s="11"/>
      <c r="E6389" s="11"/>
    </row>
    <row r="6390" ht="15.75" customHeight="1">
      <c r="A6390" s="11">
        <v>18292.0</v>
      </c>
      <c r="B6390" s="11" t="s">
        <v>6355</v>
      </c>
      <c r="C6390" s="12">
        <v>23720.0</v>
      </c>
      <c r="D6390" s="11"/>
      <c r="E6390" s="11"/>
    </row>
    <row r="6391" ht="15.75" customHeight="1">
      <c r="A6391" s="11">
        <v>15683.0</v>
      </c>
      <c r="B6391" s="11" t="s">
        <v>4049</v>
      </c>
      <c r="C6391" s="12">
        <v>25687.0</v>
      </c>
      <c r="D6391" s="11"/>
      <c r="E6391" s="11"/>
    </row>
    <row r="6392" ht="15.75" customHeight="1">
      <c r="A6392" s="11">
        <v>16993.0</v>
      </c>
      <c r="B6392" s="11" t="s">
        <v>5116</v>
      </c>
      <c r="C6392" s="12">
        <v>14634.0</v>
      </c>
      <c r="D6392" s="11"/>
      <c r="E6392" s="11"/>
    </row>
    <row r="6393" ht="15.75" customHeight="1">
      <c r="A6393" s="11">
        <v>14406.0</v>
      </c>
      <c r="B6393" s="11" t="s">
        <v>2982</v>
      </c>
      <c r="C6393" s="12">
        <v>28161.0</v>
      </c>
      <c r="D6393" s="11"/>
      <c r="E6393" s="11"/>
    </row>
    <row r="6394" ht="15.75" customHeight="1">
      <c r="A6394" s="11">
        <v>11792.0</v>
      </c>
      <c r="B6394" s="11" t="s">
        <v>1113</v>
      </c>
      <c r="C6394" s="12">
        <v>20872.0</v>
      </c>
      <c r="D6394" s="11"/>
      <c r="E6394" s="11"/>
    </row>
    <row r="6395" ht="15.75" customHeight="1">
      <c r="A6395" s="11">
        <v>16928.0</v>
      </c>
      <c r="B6395" s="11" t="s">
        <v>5065</v>
      </c>
      <c r="C6395" s="12">
        <v>20393.0</v>
      </c>
      <c r="D6395" s="11"/>
      <c r="E6395" s="11"/>
    </row>
    <row r="6396" ht="15.75" customHeight="1">
      <c r="A6396" s="11">
        <v>11152.0</v>
      </c>
      <c r="B6396" s="11" t="s">
        <v>835</v>
      </c>
      <c r="C6396" s="12">
        <v>29447.0</v>
      </c>
      <c r="D6396" s="11"/>
      <c r="E6396" s="11"/>
    </row>
    <row r="6397" ht="15.75" customHeight="1">
      <c r="A6397" s="11">
        <v>16106.0</v>
      </c>
      <c r="B6397" s="11" t="s">
        <v>4426</v>
      </c>
      <c r="C6397" s="12">
        <v>23484.0</v>
      </c>
      <c r="D6397" s="11"/>
      <c r="E6397" s="11"/>
    </row>
    <row r="6398" ht="15.75" customHeight="1">
      <c r="A6398" s="11">
        <v>16299.0</v>
      </c>
      <c r="B6398" s="11" t="s">
        <v>4580</v>
      </c>
      <c r="C6398" s="12">
        <v>17491.0</v>
      </c>
      <c r="D6398" s="11"/>
      <c r="E6398" s="11"/>
    </row>
    <row r="6399" ht="15.75" customHeight="1">
      <c r="A6399" s="11">
        <v>16442.0</v>
      </c>
      <c r="B6399" s="11" t="s">
        <v>4688</v>
      </c>
      <c r="C6399" s="12">
        <v>22978.0</v>
      </c>
      <c r="D6399" s="11"/>
      <c r="E6399" s="11"/>
    </row>
    <row r="6400" ht="15.75" customHeight="1">
      <c r="A6400" s="11">
        <v>18290.0</v>
      </c>
      <c r="B6400" s="11" t="s">
        <v>6356</v>
      </c>
      <c r="C6400" s="12">
        <v>28181.0</v>
      </c>
      <c r="D6400" s="11"/>
      <c r="E6400" s="11"/>
    </row>
    <row r="6401" ht="15.75" customHeight="1">
      <c r="A6401" s="11">
        <v>9810.0</v>
      </c>
      <c r="B6401" s="11" t="s">
        <v>299</v>
      </c>
      <c r="C6401" s="12">
        <v>20018.0</v>
      </c>
      <c r="D6401" s="11"/>
      <c r="E6401" s="11"/>
    </row>
    <row r="6402" ht="15.75" customHeight="1">
      <c r="A6402" s="11">
        <v>17557.0</v>
      </c>
      <c r="B6402" s="11" t="s">
        <v>5808</v>
      </c>
      <c r="C6402" s="12">
        <v>21735.0</v>
      </c>
      <c r="D6402" s="11"/>
      <c r="E6402" s="11"/>
    </row>
    <row r="6403" ht="15.75" customHeight="1">
      <c r="A6403" s="11">
        <v>18332.0</v>
      </c>
      <c r="B6403" s="11" t="s">
        <v>6357</v>
      </c>
      <c r="C6403" s="12">
        <v>18431.0</v>
      </c>
      <c r="D6403" s="11"/>
      <c r="E6403" s="11"/>
    </row>
    <row r="6404" ht="15.75" customHeight="1">
      <c r="A6404" s="11">
        <v>18307.0</v>
      </c>
      <c r="B6404" s="11" t="s">
        <v>6358</v>
      </c>
      <c r="C6404" s="12">
        <v>19623.0</v>
      </c>
      <c r="D6404" s="11"/>
      <c r="E6404" s="11"/>
    </row>
    <row r="6405" ht="15.75" customHeight="1">
      <c r="A6405" s="11">
        <v>11174.0</v>
      </c>
      <c r="B6405" s="11" t="s">
        <v>845</v>
      </c>
      <c r="C6405" s="12">
        <v>20173.0</v>
      </c>
      <c r="D6405" s="11"/>
      <c r="E6405" s="11"/>
    </row>
    <row r="6406" ht="15.75" customHeight="1">
      <c r="A6406" s="11">
        <v>10100.0</v>
      </c>
      <c r="B6406" s="11" t="s">
        <v>410</v>
      </c>
      <c r="C6406" s="12">
        <v>21315.0</v>
      </c>
      <c r="D6406" s="11"/>
      <c r="E6406" s="11"/>
    </row>
    <row r="6407" ht="15.75" customHeight="1">
      <c r="A6407" s="11">
        <v>15668.0</v>
      </c>
      <c r="B6407" s="11" t="s">
        <v>4036</v>
      </c>
      <c r="C6407" s="12">
        <v>18726.0</v>
      </c>
      <c r="D6407" s="11"/>
      <c r="E6407" s="11"/>
    </row>
    <row r="6408" ht="15.75" customHeight="1">
      <c r="A6408" s="11">
        <v>12572.0</v>
      </c>
      <c r="B6408" s="11" t="s">
        <v>1547</v>
      </c>
      <c r="C6408" s="12">
        <v>18267.0</v>
      </c>
      <c r="D6408" s="11"/>
      <c r="E6408" s="11"/>
    </row>
    <row r="6409" ht="15.75" customHeight="1">
      <c r="A6409" s="11">
        <v>9998.0</v>
      </c>
      <c r="B6409" s="11" t="s">
        <v>6359</v>
      </c>
      <c r="C6409" s="12">
        <v>33532.0</v>
      </c>
      <c r="D6409" s="11"/>
      <c r="E6409" s="11"/>
    </row>
    <row r="6410" ht="15.75" customHeight="1">
      <c r="A6410" s="11">
        <v>13512.0</v>
      </c>
      <c r="B6410" s="11" t="s">
        <v>2287</v>
      </c>
      <c r="C6410" s="12">
        <v>14802.0</v>
      </c>
      <c r="D6410" s="11"/>
      <c r="E6410" s="11"/>
    </row>
    <row r="6411" ht="15.75" customHeight="1">
      <c r="A6411" s="11">
        <v>17635.0</v>
      </c>
      <c r="B6411" s="11" t="s">
        <v>5796</v>
      </c>
      <c r="C6411" s="12">
        <v>13329.0</v>
      </c>
      <c r="D6411" s="11"/>
      <c r="E6411" s="11"/>
    </row>
    <row r="6412" ht="15.75" customHeight="1">
      <c r="A6412" s="11">
        <v>15544.0</v>
      </c>
      <c r="B6412" s="11" t="s">
        <v>3926</v>
      </c>
      <c r="C6412" s="12">
        <v>33593.0</v>
      </c>
      <c r="D6412" s="11"/>
      <c r="E6412" s="11"/>
    </row>
    <row r="6413" ht="15.75" customHeight="1">
      <c r="A6413" s="11">
        <v>15803.0</v>
      </c>
      <c r="B6413" s="11" t="s">
        <v>4160</v>
      </c>
      <c r="C6413" s="12">
        <v>23681.0</v>
      </c>
      <c r="D6413" s="11"/>
      <c r="E6413" s="11"/>
    </row>
    <row r="6414" ht="15.75" customHeight="1">
      <c r="A6414" s="11">
        <v>18212.0</v>
      </c>
      <c r="B6414" s="11" t="s">
        <v>6360</v>
      </c>
      <c r="C6414" s="12">
        <v>29080.0</v>
      </c>
      <c r="D6414" s="11"/>
      <c r="E6414" s="11"/>
    </row>
    <row r="6415" ht="15.75" customHeight="1">
      <c r="A6415" s="11">
        <v>18297.0</v>
      </c>
      <c r="B6415" s="11" t="s">
        <v>6361</v>
      </c>
      <c r="C6415" s="12">
        <v>15719.0</v>
      </c>
      <c r="D6415" s="11"/>
      <c r="E6415" s="11"/>
    </row>
    <row r="6416" ht="15.75" customHeight="1">
      <c r="A6416" s="11">
        <v>18299.0</v>
      </c>
      <c r="B6416" s="11" t="s">
        <v>6362</v>
      </c>
      <c r="C6416" s="12">
        <v>22989.0</v>
      </c>
      <c r="D6416" s="11"/>
      <c r="E6416" s="11"/>
    </row>
    <row r="6417" ht="15.75" customHeight="1">
      <c r="A6417" s="11">
        <v>18310.0</v>
      </c>
      <c r="B6417" s="11" t="s">
        <v>6363</v>
      </c>
      <c r="C6417" s="12">
        <v>24704.0</v>
      </c>
      <c r="D6417" s="11"/>
      <c r="E6417" s="11"/>
    </row>
    <row r="6418" ht="15.75" customHeight="1">
      <c r="A6418" s="11">
        <v>18313.0</v>
      </c>
      <c r="B6418" s="11" t="s">
        <v>790</v>
      </c>
      <c r="C6418" s="12">
        <v>25973.0</v>
      </c>
      <c r="D6418" s="11"/>
      <c r="E6418" s="11"/>
    </row>
    <row r="6419" ht="15.75" customHeight="1">
      <c r="A6419" s="11">
        <v>18323.0</v>
      </c>
      <c r="B6419" s="11" t="s">
        <v>6364</v>
      </c>
      <c r="C6419" s="12">
        <v>34576.0</v>
      </c>
      <c r="D6419" s="11"/>
      <c r="E6419" s="11"/>
    </row>
    <row r="6420" ht="15.75" customHeight="1">
      <c r="A6420" s="11">
        <v>18403.0</v>
      </c>
      <c r="B6420" s="11" t="s">
        <v>6365</v>
      </c>
      <c r="C6420" s="12">
        <v>14229.0</v>
      </c>
      <c r="D6420" s="11"/>
      <c r="E6420" s="11"/>
    </row>
  </sheetData>
  <conditionalFormatting sqref="A1:E6420">
    <cfRule type="expression" dxfId="0" priority="1">
      <formula>$D1="REPEAT"</formula>
    </cfRule>
  </conditionalFormatting>
  <conditionalFormatting sqref="A1:E6420">
    <cfRule type="expression" dxfId="0" priority="2">
      <formula>$E1="REPEAT"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65.13"/>
    <col customWidth="1" min="2" max="3" width="12.63"/>
    <col customWidth="1" min="4" max="4" width="34.13"/>
    <col customWidth="1" min="5" max="6" width="12.63"/>
  </cols>
  <sheetData>
    <row r="1" ht="15.75" customHeight="1">
      <c r="A1" s="13" t="s">
        <v>6366</v>
      </c>
      <c r="B1" s="14" t="s">
        <v>6367</v>
      </c>
      <c r="C1" s="15" t="s">
        <v>6368</v>
      </c>
      <c r="D1" s="13" t="s">
        <v>6369</v>
      </c>
    </row>
    <row r="2" ht="15.75" customHeight="1">
      <c r="A2" s="16" t="s">
        <v>6370</v>
      </c>
      <c r="B2" s="17">
        <v>0.3125</v>
      </c>
      <c r="C2" s="18">
        <v>44348.0</v>
      </c>
      <c r="D2" s="19" t="s">
        <v>6371</v>
      </c>
    </row>
    <row r="3" ht="15.75" customHeight="1">
      <c r="A3" s="20" t="s">
        <v>6372</v>
      </c>
      <c r="B3" s="21">
        <v>0.3229166666666667</v>
      </c>
      <c r="C3" s="22">
        <v>44349.0</v>
      </c>
      <c r="D3" s="23" t="s">
        <v>6373</v>
      </c>
    </row>
    <row r="4" ht="15.75" customHeight="1">
      <c r="A4" s="23" t="s">
        <v>6371</v>
      </c>
      <c r="B4" s="21">
        <v>0.3333333333333333</v>
      </c>
      <c r="C4" s="22">
        <v>44350.0</v>
      </c>
      <c r="D4" s="23" t="s">
        <v>6374</v>
      </c>
    </row>
    <row r="5" ht="15.75" customHeight="1">
      <c r="A5" s="20" t="s">
        <v>6375</v>
      </c>
      <c r="B5" s="21">
        <v>0.34375</v>
      </c>
      <c r="C5" s="22">
        <v>44351.0</v>
      </c>
      <c r="D5" s="23" t="s">
        <v>6376</v>
      </c>
    </row>
    <row r="6" ht="15.75" customHeight="1">
      <c r="A6" s="23" t="s">
        <v>6377</v>
      </c>
      <c r="B6" s="21">
        <v>0.3541666666666667</v>
      </c>
      <c r="C6" s="22">
        <v>44352.0</v>
      </c>
      <c r="D6" s="23" t="s">
        <v>6378</v>
      </c>
    </row>
    <row r="7" ht="15.75" customHeight="1">
      <c r="A7" s="20" t="s">
        <v>6379</v>
      </c>
      <c r="B7" s="21">
        <v>0.3645833333333333</v>
      </c>
      <c r="C7" s="22">
        <v>44353.0</v>
      </c>
      <c r="D7" s="23" t="s">
        <v>6380</v>
      </c>
    </row>
    <row r="8" ht="15.75" customHeight="1">
      <c r="A8" s="20" t="s">
        <v>6381</v>
      </c>
      <c r="B8" s="21">
        <v>0.375</v>
      </c>
      <c r="C8" s="22">
        <v>44354.0</v>
      </c>
      <c r="D8" s="23" t="s">
        <v>6382</v>
      </c>
    </row>
    <row r="9" ht="15.75" customHeight="1">
      <c r="A9" s="23" t="s">
        <v>6383</v>
      </c>
      <c r="B9" s="21">
        <v>0.3854166666666667</v>
      </c>
      <c r="C9" s="22">
        <v>44355.0</v>
      </c>
      <c r="D9" s="23" t="s">
        <v>6384</v>
      </c>
    </row>
    <row r="10" ht="15.75" customHeight="1">
      <c r="A10" s="20" t="s">
        <v>6373</v>
      </c>
      <c r="B10" s="21">
        <v>0.3958333333333333</v>
      </c>
      <c r="C10" s="22">
        <v>44356.0</v>
      </c>
      <c r="D10" s="23" t="s">
        <v>6385</v>
      </c>
    </row>
    <row r="11" ht="15.75" customHeight="1">
      <c r="A11" s="20" t="s">
        <v>6374</v>
      </c>
      <c r="B11" s="21">
        <v>0.40625</v>
      </c>
      <c r="C11" s="22">
        <v>44357.0</v>
      </c>
      <c r="D11" s="23" t="s">
        <v>6386</v>
      </c>
    </row>
    <row r="12" ht="15.75" customHeight="1">
      <c r="A12" s="23" t="s">
        <v>6387</v>
      </c>
      <c r="B12" s="21">
        <v>0.4166666666666667</v>
      </c>
      <c r="C12" s="22">
        <v>44358.0</v>
      </c>
      <c r="D12" s="23" t="s">
        <v>6388</v>
      </c>
    </row>
    <row r="13" ht="15.75" customHeight="1">
      <c r="A13" s="20" t="s">
        <v>6389</v>
      </c>
      <c r="B13" s="21">
        <v>0.4270833333333333</v>
      </c>
      <c r="C13" s="22">
        <v>44359.0</v>
      </c>
      <c r="D13" s="23" t="s">
        <v>6390</v>
      </c>
    </row>
    <row r="14" ht="15.75" customHeight="1">
      <c r="A14" s="20" t="s">
        <v>6391</v>
      </c>
      <c r="B14" s="21">
        <v>0.4375</v>
      </c>
      <c r="C14" s="22">
        <v>44360.0</v>
      </c>
      <c r="D14" s="23" t="s">
        <v>6392</v>
      </c>
    </row>
    <row r="15" ht="15.75" customHeight="1">
      <c r="A15" s="20" t="s">
        <v>6393</v>
      </c>
      <c r="B15" s="21">
        <v>0.4479166666666667</v>
      </c>
      <c r="C15" s="22">
        <v>44361.0</v>
      </c>
      <c r="D15" s="23" t="s">
        <v>6394</v>
      </c>
    </row>
    <row r="16" ht="15.75" customHeight="1">
      <c r="A16" s="23" t="s">
        <v>6395</v>
      </c>
      <c r="B16" s="21">
        <v>0.4583333333333333</v>
      </c>
      <c r="C16" s="22">
        <v>44362.0</v>
      </c>
      <c r="D16" s="23" t="s">
        <v>6396</v>
      </c>
    </row>
    <row r="17" ht="15.75" customHeight="1">
      <c r="A17" s="23" t="s">
        <v>6397</v>
      </c>
      <c r="B17" s="21">
        <v>0.46875</v>
      </c>
      <c r="C17" s="22">
        <v>44363.0</v>
      </c>
      <c r="D17" s="23" t="s">
        <v>6398</v>
      </c>
    </row>
    <row r="18" ht="15.75" customHeight="1">
      <c r="A18" s="23" t="s">
        <v>6399</v>
      </c>
      <c r="B18" s="21">
        <v>0.4791666666666667</v>
      </c>
      <c r="C18" s="22">
        <v>44364.0</v>
      </c>
      <c r="D18" s="23" t="s">
        <v>6400</v>
      </c>
    </row>
    <row r="19" ht="15.75" customHeight="1">
      <c r="A19" s="23" t="s">
        <v>6376</v>
      </c>
      <c r="B19" s="21">
        <v>0.4895833333333333</v>
      </c>
      <c r="C19" s="22">
        <v>44365.0</v>
      </c>
      <c r="D19" s="23" t="s">
        <v>6401</v>
      </c>
    </row>
    <row r="20" ht="15.75" customHeight="1">
      <c r="A20" s="23" t="s">
        <v>6378</v>
      </c>
      <c r="B20" s="21">
        <v>0.5</v>
      </c>
      <c r="C20" s="22">
        <v>44366.0</v>
      </c>
      <c r="D20" s="23" t="s">
        <v>6402</v>
      </c>
    </row>
    <row r="21" ht="15.75" customHeight="1">
      <c r="A21" s="23" t="s">
        <v>6403</v>
      </c>
      <c r="B21" s="21">
        <v>0.5104166666666666</v>
      </c>
      <c r="C21" s="22">
        <v>44367.0</v>
      </c>
      <c r="D21" s="23"/>
    </row>
    <row r="22" ht="15.75" customHeight="1">
      <c r="A22" s="23" t="s">
        <v>6404</v>
      </c>
      <c r="B22" s="21">
        <v>0.5208333333333334</v>
      </c>
      <c r="C22" s="22">
        <v>44368.0</v>
      </c>
      <c r="D22" s="23"/>
    </row>
    <row r="23" ht="15.75" customHeight="1">
      <c r="A23" s="23" t="s">
        <v>6405</v>
      </c>
      <c r="B23" s="21">
        <v>0.53125</v>
      </c>
      <c r="C23" s="22">
        <v>44369.0</v>
      </c>
      <c r="D23" s="23"/>
    </row>
    <row r="24" ht="15.75" customHeight="1">
      <c r="A24" s="20" t="s">
        <v>6406</v>
      </c>
      <c r="B24" s="21">
        <v>0.5416666666666666</v>
      </c>
      <c r="C24" s="22">
        <v>44370.0</v>
      </c>
      <c r="D24" s="23"/>
    </row>
    <row r="25" ht="15.75" customHeight="1">
      <c r="A25" s="20" t="s">
        <v>6407</v>
      </c>
      <c r="B25" s="21">
        <v>0.5520833333333334</v>
      </c>
      <c r="C25" s="22">
        <v>44371.0</v>
      </c>
      <c r="D25" s="23"/>
    </row>
    <row r="26" ht="15.75" customHeight="1">
      <c r="A26" s="23" t="s">
        <v>6408</v>
      </c>
      <c r="B26" s="21">
        <v>0.5625</v>
      </c>
      <c r="C26" s="22">
        <v>44372.0</v>
      </c>
      <c r="D26" s="23"/>
    </row>
    <row r="27" ht="15.75" customHeight="1">
      <c r="A27" s="23" t="s">
        <v>6409</v>
      </c>
      <c r="B27" s="21">
        <v>0.5729166666666666</v>
      </c>
      <c r="C27" s="22">
        <v>44373.0</v>
      </c>
      <c r="D27" s="23"/>
    </row>
    <row r="28" ht="15.75" customHeight="1">
      <c r="A28" s="20" t="s">
        <v>6410</v>
      </c>
      <c r="B28" s="21">
        <v>0.5833333333333334</v>
      </c>
      <c r="C28" s="22">
        <v>44374.0</v>
      </c>
      <c r="D28" s="23"/>
    </row>
    <row r="29" ht="15.75" customHeight="1">
      <c r="A29" s="23" t="s">
        <v>6411</v>
      </c>
      <c r="B29" s="21">
        <v>0.59375</v>
      </c>
      <c r="C29" s="22">
        <v>44375.0</v>
      </c>
      <c r="D29" s="23"/>
    </row>
    <row r="30" ht="15.75" customHeight="1">
      <c r="A30" s="23" t="s">
        <v>6412</v>
      </c>
      <c r="B30" s="21">
        <v>0.6041666666666666</v>
      </c>
      <c r="C30" s="22">
        <v>44376.0</v>
      </c>
      <c r="D30" s="23"/>
    </row>
    <row r="31" ht="15.75" customHeight="1">
      <c r="A31" s="23" t="s">
        <v>6413</v>
      </c>
      <c r="B31" s="21">
        <v>0.6145833333333334</v>
      </c>
      <c r="C31" s="22">
        <v>44377.0</v>
      </c>
      <c r="D31" s="23"/>
    </row>
    <row r="32" ht="15.75" customHeight="1">
      <c r="A32" s="20" t="s">
        <v>6414</v>
      </c>
      <c r="B32" s="21">
        <v>0.625</v>
      </c>
      <c r="C32" s="22">
        <v>44378.0</v>
      </c>
      <c r="D32" s="23"/>
    </row>
    <row r="33" ht="15.75" customHeight="1">
      <c r="A33" s="23" t="s">
        <v>6415</v>
      </c>
      <c r="B33" s="21">
        <v>0.6354166666666666</v>
      </c>
      <c r="C33" s="22">
        <v>44379.0</v>
      </c>
      <c r="D33" s="23"/>
    </row>
    <row r="34" ht="15.75" customHeight="1">
      <c r="A34" s="23" t="s">
        <v>6380</v>
      </c>
      <c r="B34" s="21">
        <v>0.6458333333333334</v>
      </c>
      <c r="C34" s="22">
        <v>44380.0</v>
      </c>
      <c r="D34" s="23"/>
    </row>
    <row r="35" ht="15.75" customHeight="1">
      <c r="A35" s="20" t="s">
        <v>6416</v>
      </c>
      <c r="B35" s="21">
        <v>0.65625</v>
      </c>
      <c r="C35" s="22">
        <v>44381.0</v>
      </c>
      <c r="D35" s="23"/>
    </row>
    <row r="36" ht="15.75" customHeight="1">
      <c r="A36" s="23" t="s">
        <v>6417</v>
      </c>
      <c r="B36" s="21">
        <v>0.6666666666666666</v>
      </c>
      <c r="C36" s="22">
        <v>44382.0</v>
      </c>
      <c r="D36" s="23"/>
    </row>
    <row r="37" ht="15.75" customHeight="1">
      <c r="A37" s="23" t="s">
        <v>6418</v>
      </c>
      <c r="B37" s="21">
        <v>0.6770833333333334</v>
      </c>
      <c r="C37" s="22">
        <v>44383.0</v>
      </c>
      <c r="D37" s="23"/>
    </row>
    <row r="38" ht="15.75" customHeight="1">
      <c r="A38" s="23" t="s">
        <v>6419</v>
      </c>
      <c r="B38" s="21">
        <v>0.6875</v>
      </c>
      <c r="C38" s="22">
        <v>44384.0</v>
      </c>
      <c r="D38" s="23"/>
    </row>
    <row r="39" ht="15.75" customHeight="1">
      <c r="A39" s="20" t="s">
        <v>6420</v>
      </c>
      <c r="B39" s="21">
        <v>0.6979166666666666</v>
      </c>
      <c r="C39" s="22">
        <v>44385.0</v>
      </c>
      <c r="D39" s="23"/>
    </row>
    <row r="40" ht="15.75" customHeight="1">
      <c r="A40" s="20" t="s">
        <v>6421</v>
      </c>
      <c r="B40" s="21">
        <v>0.7083333333333334</v>
      </c>
      <c r="C40" s="22">
        <v>44386.0</v>
      </c>
      <c r="D40" s="23"/>
    </row>
    <row r="41" ht="15.75" customHeight="1">
      <c r="A41" s="23" t="s">
        <v>6422</v>
      </c>
      <c r="B41" s="21">
        <v>0.71875</v>
      </c>
      <c r="C41" s="22">
        <v>44387.0</v>
      </c>
      <c r="D41" s="23"/>
    </row>
    <row r="42" ht="15.75" customHeight="1">
      <c r="A42" s="23" t="s">
        <v>6423</v>
      </c>
      <c r="B42" s="21">
        <v>0.7291666666666666</v>
      </c>
      <c r="C42" s="22">
        <v>44388.0</v>
      </c>
      <c r="D42" s="23"/>
    </row>
    <row r="43" ht="15.75" customHeight="1">
      <c r="A43" s="23" t="s">
        <v>6382</v>
      </c>
      <c r="B43" s="21">
        <v>0.7395833333333334</v>
      </c>
      <c r="C43" s="22">
        <v>44389.0</v>
      </c>
      <c r="D43" s="23"/>
    </row>
    <row r="44" ht="15.75" customHeight="1">
      <c r="A44" s="20" t="s">
        <v>6384</v>
      </c>
      <c r="B44" s="21">
        <v>0.75</v>
      </c>
      <c r="C44" s="22">
        <v>44390.0</v>
      </c>
      <c r="D44" s="23"/>
    </row>
    <row r="45" ht="15.75" customHeight="1">
      <c r="A45" s="20" t="s">
        <v>6385</v>
      </c>
      <c r="B45" s="24"/>
      <c r="C45" s="22">
        <v>44391.0</v>
      </c>
      <c r="D45" s="23"/>
    </row>
    <row r="46" ht="15.75" customHeight="1">
      <c r="A46" s="20" t="s">
        <v>6424</v>
      </c>
      <c r="B46" s="24"/>
      <c r="C46" s="22">
        <v>44392.0</v>
      </c>
      <c r="D46" s="23"/>
    </row>
    <row r="47" ht="15.75" customHeight="1">
      <c r="A47" s="23" t="s">
        <v>6425</v>
      </c>
      <c r="B47" s="24"/>
      <c r="C47" s="22">
        <v>44393.0</v>
      </c>
      <c r="D47" s="23"/>
    </row>
    <row r="48" ht="15.75" customHeight="1">
      <c r="A48" s="20" t="s">
        <v>6426</v>
      </c>
      <c r="B48" s="24"/>
      <c r="C48" s="22">
        <v>44394.0</v>
      </c>
      <c r="D48" s="23"/>
    </row>
    <row r="49" ht="15.75" customHeight="1">
      <c r="A49" s="23" t="s">
        <v>6386</v>
      </c>
      <c r="B49" s="24"/>
      <c r="C49" s="22">
        <v>44395.0</v>
      </c>
      <c r="D49" s="23"/>
    </row>
    <row r="50" ht="15.75" customHeight="1">
      <c r="A50" s="20" t="s">
        <v>6427</v>
      </c>
      <c r="B50" s="24"/>
      <c r="C50" s="22">
        <v>44396.0</v>
      </c>
      <c r="D50" s="23"/>
    </row>
    <row r="51" ht="15.75" customHeight="1">
      <c r="A51" s="20" t="s">
        <v>6388</v>
      </c>
      <c r="B51" s="24"/>
      <c r="C51" s="22">
        <v>44397.0</v>
      </c>
      <c r="D51" s="23"/>
    </row>
    <row r="52" ht="15.75" customHeight="1">
      <c r="A52" s="20" t="s">
        <v>6390</v>
      </c>
      <c r="B52" s="24"/>
      <c r="C52" s="22">
        <v>44398.0</v>
      </c>
      <c r="D52" s="23"/>
    </row>
    <row r="53" ht="15.75" customHeight="1">
      <c r="A53" s="23" t="s">
        <v>6428</v>
      </c>
      <c r="B53" s="24"/>
      <c r="C53" s="22">
        <v>44399.0</v>
      </c>
      <c r="D53" s="23"/>
    </row>
    <row r="54" ht="15.75" customHeight="1">
      <c r="A54" s="20" t="s">
        <v>6429</v>
      </c>
      <c r="B54" s="24"/>
      <c r="C54" s="22">
        <v>44400.0</v>
      </c>
      <c r="D54" s="23"/>
    </row>
    <row r="55" ht="15.75" customHeight="1">
      <c r="A55" s="23" t="s">
        <v>6430</v>
      </c>
      <c r="B55" s="24"/>
      <c r="C55" s="22">
        <v>44401.0</v>
      </c>
      <c r="D55" s="23"/>
    </row>
    <row r="56" ht="15.75" customHeight="1">
      <c r="A56" s="23" t="s">
        <v>6431</v>
      </c>
      <c r="B56" s="24"/>
      <c r="C56" s="22">
        <v>44402.0</v>
      </c>
      <c r="D56" s="23"/>
    </row>
    <row r="57" ht="15.75" customHeight="1">
      <c r="A57" s="20" t="s">
        <v>6432</v>
      </c>
      <c r="B57" s="24"/>
      <c r="C57" s="22">
        <v>44403.0</v>
      </c>
      <c r="D57" s="23"/>
    </row>
    <row r="58" ht="15.75" customHeight="1">
      <c r="A58" s="23" t="s">
        <v>6392</v>
      </c>
      <c r="B58" s="24"/>
      <c r="C58" s="22">
        <v>44404.0</v>
      </c>
      <c r="D58" s="23"/>
    </row>
    <row r="59" ht="15.75" customHeight="1">
      <c r="A59" s="23" t="s">
        <v>6394</v>
      </c>
      <c r="B59" s="24"/>
      <c r="C59" s="22">
        <v>44405.0</v>
      </c>
      <c r="D59" s="23"/>
    </row>
    <row r="60" ht="15.75" customHeight="1">
      <c r="A60" s="23" t="s">
        <v>6396</v>
      </c>
      <c r="B60" s="24"/>
      <c r="C60" s="22">
        <v>44406.0</v>
      </c>
      <c r="D60" s="23"/>
    </row>
    <row r="61" ht="15.75" customHeight="1">
      <c r="A61" s="23" t="s">
        <v>6433</v>
      </c>
      <c r="B61" s="24"/>
      <c r="C61" s="22">
        <v>44407.0</v>
      </c>
      <c r="D61" s="23"/>
    </row>
    <row r="62" ht="15.75" customHeight="1">
      <c r="A62" s="23" t="s">
        <v>6434</v>
      </c>
      <c r="B62" s="24"/>
      <c r="C62" s="22">
        <v>44408.0</v>
      </c>
      <c r="D62" s="23"/>
    </row>
    <row r="63" ht="15.75" customHeight="1">
      <c r="A63" s="20" t="s">
        <v>6435</v>
      </c>
      <c r="B63" s="24"/>
      <c r="C63" s="22">
        <v>44409.0</v>
      </c>
      <c r="D63" s="23"/>
    </row>
    <row r="64" ht="15.75" customHeight="1">
      <c r="A64" s="20" t="s">
        <v>6436</v>
      </c>
      <c r="B64" s="24"/>
      <c r="C64" s="22">
        <v>44410.0</v>
      </c>
      <c r="D64" s="23"/>
    </row>
    <row r="65" ht="15.75" customHeight="1">
      <c r="A65" s="23" t="s">
        <v>6398</v>
      </c>
      <c r="B65" s="24"/>
      <c r="C65" s="22">
        <v>44411.0</v>
      </c>
      <c r="D65" s="23"/>
    </row>
    <row r="66" ht="15.75" customHeight="1">
      <c r="A66" s="20" t="s">
        <v>6437</v>
      </c>
      <c r="B66" s="24"/>
      <c r="C66" s="22">
        <v>44412.0</v>
      </c>
      <c r="D66" s="23"/>
    </row>
    <row r="67" ht="15.75" customHeight="1">
      <c r="A67" s="20" t="s">
        <v>6438</v>
      </c>
      <c r="B67" s="24"/>
      <c r="C67" s="22">
        <v>44413.0</v>
      </c>
      <c r="D67" s="23"/>
    </row>
    <row r="68" ht="15.75" customHeight="1">
      <c r="A68" s="23" t="s">
        <v>6439</v>
      </c>
      <c r="B68" s="24"/>
      <c r="C68" s="22">
        <v>44414.0</v>
      </c>
      <c r="D68" s="23"/>
    </row>
    <row r="69" ht="15.75" customHeight="1">
      <c r="A69" s="23" t="s">
        <v>6440</v>
      </c>
      <c r="B69" s="24"/>
      <c r="C69" s="22">
        <v>44415.0</v>
      </c>
      <c r="D69" s="23"/>
    </row>
    <row r="70" ht="15.75" customHeight="1">
      <c r="A70" s="20" t="s">
        <v>6441</v>
      </c>
      <c r="B70" s="24"/>
      <c r="C70" s="22">
        <v>44416.0</v>
      </c>
      <c r="D70" s="23"/>
    </row>
    <row r="71" ht="15.75" customHeight="1">
      <c r="A71" s="23" t="s">
        <v>6442</v>
      </c>
      <c r="B71" s="24"/>
      <c r="C71" s="22">
        <v>44417.0</v>
      </c>
      <c r="D71" s="23"/>
    </row>
    <row r="72" ht="15.75" customHeight="1">
      <c r="A72" s="23" t="s">
        <v>6443</v>
      </c>
      <c r="B72" s="24"/>
      <c r="C72" s="22">
        <v>44418.0</v>
      </c>
      <c r="D72" s="23"/>
    </row>
    <row r="73" ht="15.75" customHeight="1">
      <c r="A73" s="20" t="s">
        <v>6444</v>
      </c>
      <c r="B73" s="24"/>
      <c r="C73" s="22">
        <v>44419.0</v>
      </c>
      <c r="D73" s="23"/>
    </row>
    <row r="74" ht="15.75" customHeight="1">
      <c r="A74" s="20" t="s">
        <v>6445</v>
      </c>
      <c r="B74" s="24"/>
      <c r="C74" s="22">
        <v>44420.0</v>
      </c>
      <c r="D74" s="23"/>
    </row>
    <row r="75" ht="15.75" customHeight="1">
      <c r="A75" s="23" t="s">
        <v>6446</v>
      </c>
      <c r="B75" s="24"/>
      <c r="C75" s="22">
        <v>44421.0</v>
      </c>
      <c r="D75" s="23"/>
    </row>
    <row r="76" ht="15.75" customHeight="1">
      <c r="A76" s="20" t="s">
        <v>6447</v>
      </c>
      <c r="B76" s="24"/>
      <c r="C76" s="22">
        <v>44422.0</v>
      </c>
      <c r="D76" s="23"/>
    </row>
    <row r="77" ht="15.75" customHeight="1">
      <c r="A77" s="20" t="s">
        <v>6448</v>
      </c>
      <c r="B77" s="24"/>
      <c r="C77" s="22">
        <v>44423.0</v>
      </c>
      <c r="D77" s="23"/>
    </row>
    <row r="78" ht="15.75" customHeight="1">
      <c r="A78" s="23" t="s">
        <v>6449</v>
      </c>
      <c r="B78" s="24"/>
      <c r="C78" s="22">
        <v>44424.0</v>
      </c>
      <c r="D78" s="23"/>
    </row>
    <row r="79" ht="15.75" customHeight="1">
      <c r="A79" s="23" t="s">
        <v>6450</v>
      </c>
      <c r="B79" s="24"/>
      <c r="C79" s="22">
        <v>44425.0</v>
      </c>
      <c r="D79" s="23"/>
    </row>
    <row r="80" ht="15.75" customHeight="1">
      <c r="A80" s="20" t="s">
        <v>6451</v>
      </c>
      <c r="B80" s="24"/>
      <c r="C80" s="22">
        <v>44426.0</v>
      </c>
      <c r="D80" s="23"/>
    </row>
    <row r="81" ht="15.75" customHeight="1">
      <c r="A81" s="23" t="s">
        <v>6452</v>
      </c>
      <c r="B81" s="24"/>
      <c r="C81" s="22">
        <v>44427.0</v>
      </c>
      <c r="D81" s="23"/>
    </row>
    <row r="82" ht="15.75" customHeight="1">
      <c r="A82" s="23" t="s">
        <v>6453</v>
      </c>
      <c r="B82" s="24"/>
      <c r="C82" s="22">
        <v>44428.0</v>
      </c>
      <c r="D82" s="23"/>
    </row>
    <row r="83" ht="15.75" customHeight="1">
      <c r="A83" s="23" t="s">
        <v>6454</v>
      </c>
      <c r="B83" s="24"/>
      <c r="C83" s="22">
        <v>44429.0</v>
      </c>
      <c r="D83" s="23"/>
    </row>
    <row r="84" ht="15.75" customHeight="1">
      <c r="A84" s="23" t="s">
        <v>6400</v>
      </c>
      <c r="B84" s="24"/>
      <c r="C84" s="22">
        <v>44430.0</v>
      </c>
      <c r="D84" s="23"/>
    </row>
    <row r="85" ht="15.75" customHeight="1">
      <c r="A85" s="23" t="s">
        <v>6455</v>
      </c>
      <c r="B85" s="24"/>
      <c r="C85" s="22">
        <v>44431.0</v>
      </c>
      <c r="D85" s="23"/>
    </row>
    <row r="86" ht="15.75" customHeight="1">
      <c r="A86" s="23" t="s">
        <v>6456</v>
      </c>
      <c r="B86" s="24"/>
      <c r="C86" s="22">
        <v>44432.0</v>
      </c>
      <c r="D86" s="23"/>
    </row>
    <row r="87" ht="15.75" customHeight="1">
      <c r="A87" s="23" t="s">
        <v>6401</v>
      </c>
      <c r="B87" s="24"/>
      <c r="C87" s="22">
        <v>44433.0</v>
      </c>
      <c r="D87" s="23"/>
    </row>
    <row r="88" ht="15.75" customHeight="1">
      <c r="A88" s="23" t="s">
        <v>6457</v>
      </c>
      <c r="B88" s="24"/>
      <c r="C88" s="22">
        <v>44434.0</v>
      </c>
      <c r="D88" s="23"/>
    </row>
    <row r="89" ht="15.75" customHeight="1">
      <c r="A89" s="23" t="s">
        <v>6458</v>
      </c>
      <c r="B89" s="24"/>
      <c r="C89" s="22">
        <v>44435.0</v>
      </c>
      <c r="D89" s="23"/>
    </row>
    <row r="90" ht="15.75" customHeight="1">
      <c r="A90" s="23" t="s">
        <v>6459</v>
      </c>
      <c r="B90" s="24"/>
      <c r="C90" s="22">
        <v>44436.0</v>
      </c>
      <c r="D90" s="23"/>
    </row>
    <row r="91" ht="15.75" customHeight="1">
      <c r="A91" s="23" t="s">
        <v>6460</v>
      </c>
      <c r="B91" s="24"/>
      <c r="C91" s="22">
        <v>44437.0</v>
      </c>
      <c r="D91" s="23"/>
    </row>
    <row r="92" ht="15.75" customHeight="1">
      <c r="A92" s="23" t="s">
        <v>6461</v>
      </c>
      <c r="B92" s="24"/>
      <c r="C92" s="22">
        <v>44438.0</v>
      </c>
      <c r="D92" s="23"/>
    </row>
    <row r="93" ht="15.75" customHeight="1">
      <c r="A93" s="23" t="s">
        <v>6462</v>
      </c>
      <c r="B93" s="24"/>
      <c r="C93" s="22">
        <v>44439.0</v>
      </c>
      <c r="D93" s="23"/>
    </row>
    <row r="94" ht="15.75" customHeight="1">
      <c r="A94" s="23" t="s">
        <v>6463</v>
      </c>
      <c r="B94" s="24"/>
      <c r="C94" s="22">
        <v>44440.0</v>
      </c>
      <c r="D94" s="23"/>
    </row>
    <row r="95" ht="15.75" customHeight="1">
      <c r="A95" s="20" t="s">
        <v>6464</v>
      </c>
      <c r="B95" s="24"/>
      <c r="C95" s="22">
        <v>44441.0</v>
      </c>
      <c r="D95" s="23"/>
    </row>
    <row r="96" ht="15.75" customHeight="1">
      <c r="A96" s="23" t="s">
        <v>6465</v>
      </c>
      <c r="B96" s="24"/>
      <c r="C96" s="22">
        <v>44442.0</v>
      </c>
      <c r="D96" s="23"/>
    </row>
    <row r="97" ht="15.75" customHeight="1">
      <c r="A97" s="23" t="s">
        <v>6466</v>
      </c>
      <c r="B97" s="24"/>
      <c r="C97" s="22">
        <v>44443.0</v>
      </c>
      <c r="D97" s="23"/>
    </row>
    <row r="98" ht="15.75" customHeight="1">
      <c r="A98" s="25" t="s">
        <v>6467</v>
      </c>
      <c r="B98" s="24"/>
      <c r="C98" s="22">
        <v>44444.0</v>
      </c>
      <c r="D98" s="23"/>
    </row>
    <row r="99" ht="15.75" customHeight="1">
      <c r="A99" s="23" t="s">
        <v>6468</v>
      </c>
      <c r="B99" s="24"/>
      <c r="C99" s="22">
        <v>44445.0</v>
      </c>
      <c r="D99" s="23"/>
    </row>
    <row r="100" ht="15.75" customHeight="1">
      <c r="A100" s="20" t="s">
        <v>6469</v>
      </c>
      <c r="B100" s="24"/>
      <c r="C100" s="22">
        <v>44446.0</v>
      </c>
      <c r="D100" s="23"/>
    </row>
    <row r="101" ht="15.75" customHeight="1">
      <c r="A101" s="23" t="s">
        <v>6470</v>
      </c>
      <c r="B101" s="24"/>
      <c r="C101" s="22">
        <v>44447.0</v>
      </c>
      <c r="D101" s="23"/>
    </row>
    <row r="102" ht="15.75" customHeight="1">
      <c r="A102" s="23" t="s">
        <v>6471</v>
      </c>
      <c r="B102" s="24"/>
      <c r="C102" s="22">
        <v>44448.0</v>
      </c>
      <c r="D102" s="23"/>
    </row>
    <row r="103" ht="15.75" customHeight="1">
      <c r="A103" s="23" t="s">
        <v>6472</v>
      </c>
      <c r="B103" s="24"/>
      <c r="C103" s="22">
        <v>44449.0</v>
      </c>
      <c r="D103" s="23"/>
    </row>
    <row r="104" ht="15.75" customHeight="1">
      <c r="A104" s="23" t="s">
        <v>6473</v>
      </c>
      <c r="B104" s="24"/>
      <c r="C104" s="22">
        <v>44450.0</v>
      </c>
      <c r="D104" s="23"/>
    </row>
    <row r="105" ht="15.75" customHeight="1">
      <c r="A105" s="20" t="s">
        <v>6474</v>
      </c>
      <c r="B105" s="24"/>
      <c r="C105" s="22">
        <v>44451.0</v>
      </c>
      <c r="D105" s="23"/>
    </row>
    <row r="106" ht="15.75" customHeight="1">
      <c r="A106" s="23" t="s">
        <v>6475</v>
      </c>
      <c r="B106" s="24"/>
      <c r="C106" s="22">
        <v>44452.0</v>
      </c>
      <c r="D106" s="23"/>
    </row>
    <row r="107" ht="15.75" customHeight="1">
      <c r="A107" s="23" t="s">
        <v>6402</v>
      </c>
      <c r="B107" s="24"/>
      <c r="C107" s="22">
        <v>44453.0</v>
      </c>
      <c r="D107" s="23"/>
    </row>
    <row r="108" ht="15.75" customHeight="1">
      <c r="A108" s="20" t="s">
        <v>6476</v>
      </c>
      <c r="B108" s="24"/>
      <c r="C108" s="22">
        <v>44454.0</v>
      </c>
      <c r="D108" s="23"/>
    </row>
    <row r="109" ht="15.75" customHeight="1">
      <c r="A109" s="20" t="s">
        <v>6477</v>
      </c>
      <c r="B109" s="24"/>
      <c r="C109" s="22">
        <v>44455.0</v>
      </c>
      <c r="D109" s="23"/>
    </row>
    <row r="110" ht="15.75" customHeight="1">
      <c r="A110" s="23" t="s">
        <v>6478</v>
      </c>
      <c r="B110" s="24"/>
      <c r="C110" s="22">
        <v>44456.0</v>
      </c>
      <c r="D110" s="23"/>
    </row>
    <row r="111" ht="15.75" customHeight="1">
      <c r="A111" s="20" t="s">
        <v>6479</v>
      </c>
      <c r="B111" s="24"/>
      <c r="C111" s="22">
        <v>44457.0</v>
      </c>
      <c r="D111" s="23"/>
    </row>
    <row r="112" ht="15.75" customHeight="1">
      <c r="A112" s="20" t="s">
        <v>6480</v>
      </c>
      <c r="B112" s="24"/>
      <c r="C112" s="22">
        <v>44458.0</v>
      </c>
      <c r="D112" s="23"/>
    </row>
    <row r="113" ht="15.75" customHeight="1">
      <c r="A113" s="23" t="s">
        <v>6481</v>
      </c>
      <c r="B113" s="24"/>
      <c r="C113" s="22">
        <v>44459.0</v>
      </c>
      <c r="D113" s="23"/>
    </row>
    <row r="114" ht="15.75" customHeight="1">
      <c r="A114" s="20" t="s">
        <v>6482</v>
      </c>
      <c r="B114" s="24"/>
      <c r="C114" s="22">
        <v>44460.0</v>
      </c>
      <c r="D114" s="23"/>
    </row>
    <row r="115" ht="15.75" customHeight="1">
      <c r="A115" s="20" t="s">
        <v>6483</v>
      </c>
      <c r="B115" s="24"/>
      <c r="C115" s="22">
        <v>44461.0</v>
      </c>
      <c r="D115" s="23"/>
    </row>
    <row r="116" ht="15.75" customHeight="1">
      <c r="A116" s="20" t="s">
        <v>6484</v>
      </c>
      <c r="B116" s="24"/>
      <c r="C116" s="22">
        <v>44462.0</v>
      </c>
      <c r="D116" s="23"/>
    </row>
    <row r="117" ht="15.75" customHeight="1">
      <c r="A117" s="20" t="s">
        <v>6485</v>
      </c>
      <c r="B117" s="24"/>
      <c r="C117" s="22">
        <v>44463.0</v>
      </c>
      <c r="D117" s="23"/>
    </row>
    <row r="118" ht="15.75" customHeight="1">
      <c r="A118" s="20" t="s">
        <v>6486</v>
      </c>
      <c r="B118" s="24"/>
      <c r="C118" s="22">
        <v>44464.0</v>
      </c>
      <c r="D118" s="23"/>
    </row>
    <row r="119" ht="15.75" customHeight="1">
      <c r="A119" s="23" t="s">
        <v>6487</v>
      </c>
      <c r="B119" s="24"/>
      <c r="C119" s="22">
        <v>44465.0</v>
      </c>
      <c r="D119" s="23"/>
    </row>
    <row r="120" ht="15.75" customHeight="1">
      <c r="A120" s="20" t="s">
        <v>6488</v>
      </c>
      <c r="B120" s="24"/>
      <c r="C120" s="22">
        <v>44466.0</v>
      </c>
      <c r="D120" s="23"/>
    </row>
    <row r="121" ht="15.75" customHeight="1">
      <c r="A121" s="20" t="s">
        <v>6489</v>
      </c>
      <c r="B121" s="24"/>
      <c r="C121" s="22">
        <v>44467.0</v>
      </c>
      <c r="D121" s="23"/>
    </row>
    <row r="122" ht="15.75" customHeight="1">
      <c r="A122" s="20" t="s">
        <v>6490</v>
      </c>
      <c r="B122" s="24"/>
      <c r="C122" s="22">
        <v>44468.0</v>
      </c>
      <c r="D122" s="23"/>
    </row>
    <row r="123" ht="15.75" customHeight="1">
      <c r="A123" s="26" t="s">
        <v>6491</v>
      </c>
      <c r="B123" s="24"/>
      <c r="C123" s="22">
        <v>44469.0</v>
      </c>
      <c r="D123" s="23"/>
    </row>
    <row r="124" ht="15.75" customHeight="1">
      <c r="A124" s="26" t="s">
        <v>6492</v>
      </c>
      <c r="B124" s="24"/>
      <c r="C124" s="22">
        <v>44470.0</v>
      </c>
      <c r="D124" s="23"/>
    </row>
    <row r="125" ht="15.75" customHeight="1">
      <c r="B125" s="24"/>
      <c r="C125" s="22">
        <v>44471.0</v>
      </c>
      <c r="D125" s="23"/>
    </row>
    <row r="126" ht="15.75" customHeight="1">
      <c r="B126" s="24"/>
      <c r="C126" s="22">
        <v>44472.0</v>
      </c>
      <c r="D126" s="23"/>
    </row>
    <row r="127" ht="15.75" customHeight="1">
      <c r="B127" s="24"/>
      <c r="C127" s="22">
        <v>44473.0</v>
      </c>
      <c r="D127" s="23"/>
    </row>
    <row r="128" ht="15.75" customHeight="1">
      <c r="B128" s="24"/>
      <c r="C128" s="22">
        <v>44474.0</v>
      </c>
      <c r="D128" s="23"/>
    </row>
    <row r="129" ht="15.75" customHeight="1">
      <c r="B129" s="24"/>
      <c r="C129" s="22">
        <v>44475.0</v>
      </c>
      <c r="D129" s="23"/>
    </row>
    <row r="130" ht="15.75" customHeight="1">
      <c r="B130" s="24"/>
      <c r="C130" s="22">
        <v>44476.0</v>
      </c>
      <c r="D130" s="23"/>
    </row>
    <row r="131" ht="15.75" customHeight="1">
      <c r="B131" s="24"/>
      <c r="C131" s="22">
        <v>44477.0</v>
      </c>
      <c r="D131" s="23"/>
    </row>
    <row r="132" ht="15.75" customHeight="1">
      <c r="B132" s="24"/>
      <c r="C132" s="22">
        <v>44478.0</v>
      </c>
      <c r="D132" s="23"/>
    </row>
    <row r="133" ht="15.75" customHeight="1">
      <c r="B133" s="24"/>
      <c r="C133" s="22">
        <v>44479.0</v>
      </c>
      <c r="D133" s="23"/>
    </row>
    <row r="134" ht="15.75" customHeight="1">
      <c r="B134" s="24"/>
      <c r="C134" s="22">
        <v>44480.0</v>
      </c>
      <c r="D134" s="23"/>
    </row>
    <row r="135" ht="15.75" customHeight="1">
      <c r="B135" s="24"/>
      <c r="C135" s="22">
        <v>44481.0</v>
      </c>
      <c r="D135" s="23"/>
    </row>
    <row r="136" ht="15.75" customHeight="1">
      <c r="B136" s="24"/>
      <c r="C136" s="22">
        <v>44482.0</v>
      </c>
      <c r="D136" s="23"/>
    </row>
    <row r="137" ht="15.75" customHeight="1">
      <c r="B137" s="24"/>
      <c r="C137" s="22">
        <v>44483.0</v>
      </c>
      <c r="D137" s="23"/>
    </row>
    <row r="138" ht="15.75" customHeight="1">
      <c r="B138" s="24"/>
      <c r="C138" s="22">
        <v>44484.0</v>
      </c>
      <c r="D138" s="23"/>
    </row>
    <row r="139" ht="15.75" customHeight="1">
      <c r="B139" s="24"/>
      <c r="C139" s="22">
        <v>44485.0</v>
      </c>
      <c r="D139" s="23"/>
    </row>
    <row r="140" ht="15.75" customHeight="1">
      <c r="B140" s="24"/>
      <c r="C140" s="22">
        <v>44486.0</v>
      </c>
      <c r="D140" s="23"/>
    </row>
    <row r="141" ht="15.75" customHeight="1">
      <c r="B141" s="24"/>
      <c r="C141" s="22">
        <v>44487.0</v>
      </c>
      <c r="D141" s="23"/>
    </row>
    <row r="142" ht="15.75" customHeight="1">
      <c r="B142" s="24"/>
      <c r="C142" s="22">
        <v>44488.0</v>
      </c>
      <c r="D142" s="23"/>
    </row>
    <row r="143" ht="15.75" customHeight="1">
      <c r="B143" s="24"/>
      <c r="C143" s="22">
        <v>44489.0</v>
      </c>
      <c r="D143" s="23"/>
    </row>
    <row r="144" ht="15.75" customHeight="1">
      <c r="B144" s="24"/>
      <c r="C144" s="22">
        <v>44490.0</v>
      </c>
      <c r="D144" s="23"/>
    </row>
    <row r="145" ht="15.75" customHeight="1">
      <c r="B145" s="24"/>
      <c r="C145" s="22">
        <v>44491.0</v>
      </c>
      <c r="D145" s="23"/>
    </row>
    <row r="146" ht="15.75" customHeight="1">
      <c r="B146" s="24"/>
      <c r="C146" s="22">
        <v>44492.0</v>
      </c>
      <c r="D146" s="23"/>
    </row>
    <row r="147" ht="15.75" customHeight="1">
      <c r="B147" s="24"/>
      <c r="C147" s="22">
        <v>44493.0</v>
      </c>
      <c r="D147" s="23"/>
    </row>
    <row r="148" ht="15.75" customHeight="1">
      <c r="B148" s="24"/>
      <c r="C148" s="22">
        <v>44494.0</v>
      </c>
      <c r="D148" s="23"/>
    </row>
    <row r="149" ht="15.75" customHeight="1">
      <c r="B149" s="24"/>
      <c r="C149" s="22">
        <v>44495.0</v>
      </c>
      <c r="D149" s="23"/>
    </row>
    <row r="150" ht="15.75" customHeight="1">
      <c r="B150" s="24"/>
      <c r="C150" s="22">
        <v>44496.0</v>
      </c>
      <c r="D150" s="23"/>
    </row>
    <row r="151" ht="15.75" customHeight="1">
      <c r="B151" s="24"/>
      <c r="C151" s="22">
        <v>44497.0</v>
      </c>
      <c r="D151" s="23"/>
    </row>
    <row r="152" ht="15.75" customHeight="1">
      <c r="B152" s="24"/>
      <c r="C152" s="22">
        <v>44498.0</v>
      </c>
      <c r="D152" s="23"/>
    </row>
    <row r="153" ht="15.75" customHeight="1">
      <c r="B153" s="24"/>
      <c r="C153" s="22">
        <v>44499.0</v>
      </c>
      <c r="D153" s="23"/>
    </row>
    <row r="154" ht="15.75" customHeight="1">
      <c r="B154" s="24"/>
      <c r="C154" s="22">
        <v>44500.0</v>
      </c>
      <c r="D154" s="23"/>
    </row>
    <row r="155" ht="15.75" customHeight="1">
      <c r="B155" s="24"/>
      <c r="C155" s="22">
        <v>44501.0</v>
      </c>
      <c r="D155" s="23"/>
    </row>
    <row r="156" ht="15.75" customHeight="1">
      <c r="B156" s="24"/>
      <c r="C156" s="22">
        <v>44502.0</v>
      </c>
      <c r="D156" s="23"/>
    </row>
    <row r="157" ht="15.75" customHeight="1">
      <c r="B157" s="24"/>
      <c r="C157" s="22">
        <v>44503.0</v>
      </c>
      <c r="D157" s="23"/>
    </row>
    <row r="158" ht="15.75" customHeight="1">
      <c r="B158" s="24"/>
      <c r="C158" s="22">
        <v>44504.0</v>
      </c>
      <c r="D158" s="23"/>
    </row>
    <row r="159" ht="15.75" customHeight="1">
      <c r="B159" s="24"/>
      <c r="C159" s="22">
        <v>44505.0</v>
      </c>
      <c r="D159" s="23"/>
    </row>
    <row r="160" ht="15.75" customHeight="1">
      <c r="B160" s="24"/>
      <c r="C160" s="22">
        <v>44506.0</v>
      </c>
      <c r="D160" s="23"/>
    </row>
    <row r="161" ht="15.75" customHeight="1">
      <c r="B161" s="24"/>
      <c r="C161" s="22">
        <v>44507.0</v>
      </c>
      <c r="D161" s="23"/>
    </row>
    <row r="162" ht="15.75" customHeight="1">
      <c r="B162" s="24"/>
      <c r="C162" s="22">
        <v>44508.0</v>
      </c>
      <c r="D162" s="23"/>
    </row>
    <row r="163" ht="15.75" customHeight="1">
      <c r="B163" s="24"/>
      <c r="C163" s="22">
        <v>44509.0</v>
      </c>
      <c r="D163" s="23"/>
    </row>
    <row r="164" ht="15.75" customHeight="1">
      <c r="B164" s="24"/>
      <c r="C164" s="22">
        <v>44510.0</v>
      </c>
      <c r="D164" s="23"/>
    </row>
    <row r="165" ht="15.75" customHeight="1">
      <c r="B165" s="24"/>
      <c r="C165" s="22">
        <v>44511.0</v>
      </c>
      <c r="D165" s="23"/>
    </row>
    <row r="166" ht="15.75" customHeight="1">
      <c r="B166" s="24"/>
      <c r="C166" s="22">
        <v>44512.0</v>
      </c>
      <c r="D166" s="23"/>
    </row>
    <row r="167" ht="15.75" customHeight="1">
      <c r="B167" s="24"/>
      <c r="C167" s="22">
        <v>44513.0</v>
      </c>
      <c r="D167" s="23"/>
    </row>
    <row r="168" ht="15.75" customHeight="1">
      <c r="B168" s="24"/>
      <c r="C168" s="22">
        <v>44514.0</v>
      </c>
      <c r="D168" s="23"/>
    </row>
    <row r="169" ht="15.75" customHeight="1">
      <c r="B169" s="24"/>
      <c r="C169" s="22">
        <v>44515.0</v>
      </c>
      <c r="D169" s="23"/>
    </row>
    <row r="170" ht="15.75" customHeight="1">
      <c r="B170" s="24"/>
      <c r="C170" s="22">
        <v>44516.0</v>
      </c>
      <c r="D170" s="23"/>
    </row>
    <row r="171" ht="15.75" customHeight="1">
      <c r="B171" s="24"/>
      <c r="C171" s="22">
        <v>44517.0</v>
      </c>
      <c r="D171" s="23"/>
    </row>
    <row r="172" ht="15.75" customHeight="1">
      <c r="B172" s="24"/>
      <c r="C172" s="22">
        <v>44518.0</v>
      </c>
      <c r="D172" s="23"/>
    </row>
    <row r="173" ht="15.75" customHeight="1">
      <c r="B173" s="24"/>
      <c r="C173" s="22">
        <v>44519.0</v>
      </c>
      <c r="D173" s="23"/>
    </row>
    <row r="174" ht="15.75" customHeight="1">
      <c r="B174" s="24"/>
      <c r="C174" s="22">
        <v>44520.0</v>
      </c>
      <c r="D174" s="23"/>
    </row>
    <row r="175" ht="15.75" customHeight="1">
      <c r="B175" s="24"/>
      <c r="C175" s="22">
        <v>44521.0</v>
      </c>
      <c r="D175" s="23"/>
    </row>
    <row r="176" ht="15.75" customHeight="1">
      <c r="B176" s="24"/>
      <c r="C176" s="22">
        <v>44522.0</v>
      </c>
      <c r="D176" s="23"/>
    </row>
    <row r="177" ht="15.75" customHeight="1">
      <c r="B177" s="24"/>
      <c r="C177" s="22">
        <v>44523.0</v>
      </c>
      <c r="D177" s="23"/>
    </row>
    <row r="178" ht="15.75" customHeight="1">
      <c r="B178" s="24"/>
      <c r="C178" s="22">
        <v>44524.0</v>
      </c>
      <c r="D178" s="23"/>
    </row>
    <row r="179" ht="15.75" customHeight="1">
      <c r="B179" s="24"/>
      <c r="C179" s="22">
        <v>44525.0</v>
      </c>
      <c r="D179" s="23"/>
    </row>
    <row r="180" ht="15.75" customHeight="1">
      <c r="B180" s="24"/>
      <c r="C180" s="22">
        <v>44526.0</v>
      </c>
      <c r="D180" s="23"/>
    </row>
    <row r="181" ht="15.75" customHeight="1">
      <c r="B181" s="24"/>
      <c r="C181" s="22">
        <v>44527.0</v>
      </c>
      <c r="D181" s="23"/>
    </row>
    <row r="182" ht="15.75" customHeight="1">
      <c r="B182" s="24"/>
      <c r="C182" s="22">
        <v>44528.0</v>
      </c>
      <c r="D182" s="23"/>
    </row>
    <row r="183" ht="15.75" customHeight="1">
      <c r="B183" s="24"/>
      <c r="C183" s="22">
        <v>44529.0</v>
      </c>
      <c r="D183" s="23"/>
    </row>
    <row r="184" ht="15.75" customHeight="1">
      <c r="B184" s="24"/>
      <c r="C184" s="22">
        <v>44530.0</v>
      </c>
      <c r="D184" s="23"/>
    </row>
    <row r="185" ht="15.75" customHeight="1">
      <c r="B185" s="24"/>
      <c r="C185" s="22">
        <v>44531.0</v>
      </c>
      <c r="D185" s="23"/>
    </row>
    <row r="186" ht="15.75" customHeight="1">
      <c r="B186" s="24"/>
      <c r="C186" s="22">
        <v>44532.0</v>
      </c>
      <c r="D186" s="23"/>
    </row>
    <row r="187" ht="15.75" customHeight="1">
      <c r="B187" s="24"/>
      <c r="C187" s="22">
        <v>44533.0</v>
      </c>
      <c r="D187" s="23"/>
    </row>
    <row r="188" ht="15.75" customHeight="1">
      <c r="B188" s="24"/>
      <c r="C188" s="22">
        <v>44534.0</v>
      </c>
      <c r="D188" s="23"/>
    </row>
    <row r="189" ht="15.75" customHeight="1">
      <c r="B189" s="24"/>
      <c r="C189" s="22">
        <v>44535.0</v>
      </c>
      <c r="D189" s="23"/>
    </row>
    <row r="190" ht="15.75" customHeight="1">
      <c r="B190" s="24"/>
      <c r="C190" s="22">
        <v>44536.0</v>
      </c>
      <c r="D190" s="23"/>
    </row>
    <row r="191" ht="15.75" customHeight="1">
      <c r="B191" s="24"/>
      <c r="C191" s="22">
        <v>44537.0</v>
      </c>
      <c r="D191" s="23"/>
    </row>
    <row r="192" ht="15.75" customHeight="1">
      <c r="B192" s="24"/>
      <c r="C192" s="22">
        <v>44538.0</v>
      </c>
      <c r="D192" s="23"/>
    </row>
    <row r="193" ht="15.75" customHeight="1">
      <c r="B193" s="24"/>
      <c r="C193" s="22">
        <v>44539.0</v>
      </c>
      <c r="D193" s="23"/>
    </row>
    <row r="194" ht="15.75" customHeight="1">
      <c r="B194" s="24"/>
      <c r="C194" s="22">
        <v>44540.0</v>
      </c>
      <c r="D194" s="23"/>
    </row>
    <row r="195" ht="15.75" customHeight="1">
      <c r="B195" s="24"/>
      <c r="C195" s="22">
        <v>44541.0</v>
      </c>
      <c r="D195" s="23"/>
    </row>
    <row r="196" ht="15.75" customHeight="1">
      <c r="B196" s="24"/>
      <c r="C196" s="22">
        <v>44542.0</v>
      </c>
      <c r="D196" s="23"/>
    </row>
    <row r="197" ht="15.75" customHeight="1">
      <c r="B197" s="24"/>
      <c r="C197" s="22">
        <v>44543.0</v>
      </c>
      <c r="D197" s="23"/>
    </row>
    <row r="198" ht="15.75" customHeight="1">
      <c r="B198" s="24"/>
      <c r="C198" s="22">
        <v>44544.0</v>
      </c>
      <c r="D198" s="23"/>
    </row>
    <row r="199" ht="15.75" customHeight="1">
      <c r="B199" s="24"/>
      <c r="C199" s="22">
        <v>44545.0</v>
      </c>
      <c r="D199" s="23"/>
    </row>
    <row r="200" ht="15.75" customHeight="1">
      <c r="B200" s="24"/>
      <c r="C200" s="22">
        <v>44546.0</v>
      </c>
      <c r="D200" s="23"/>
    </row>
    <row r="201" ht="15.75" customHeight="1">
      <c r="B201" s="24"/>
      <c r="C201" s="22">
        <v>44547.0</v>
      </c>
      <c r="D201" s="23"/>
    </row>
    <row r="202" ht="15.75" customHeight="1">
      <c r="B202" s="24"/>
      <c r="C202" s="22">
        <v>44548.0</v>
      </c>
      <c r="D202" s="23"/>
    </row>
    <row r="203" ht="15.75" customHeight="1">
      <c r="B203" s="24"/>
      <c r="C203" s="22">
        <v>44549.0</v>
      </c>
      <c r="D203" s="23"/>
    </row>
    <row r="204" ht="15.75" customHeight="1">
      <c r="B204" s="24"/>
      <c r="C204" s="22">
        <v>44550.0</v>
      </c>
      <c r="D204" s="23"/>
    </row>
    <row r="205" ht="15.75" customHeight="1">
      <c r="B205" s="24"/>
      <c r="C205" s="22">
        <v>44551.0</v>
      </c>
      <c r="D205" s="23"/>
    </row>
    <row r="206" ht="15.75" customHeight="1">
      <c r="B206" s="24"/>
      <c r="C206" s="22">
        <v>44552.0</v>
      </c>
      <c r="D206" s="23"/>
    </row>
    <row r="207" ht="15.75" customHeight="1">
      <c r="B207" s="24"/>
      <c r="C207" s="22">
        <v>44553.0</v>
      </c>
      <c r="D207" s="23"/>
    </row>
    <row r="208" ht="15.75" customHeight="1">
      <c r="B208" s="24"/>
      <c r="C208" s="22">
        <v>44554.0</v>
      </c>
      <c r="D208" s="23"/>
    </row>
    <row r="209" ht="15.75" customHeight="1">
      <c r="B209" s="24"/>
      <c r="C209" s="22">
        <v>44555.0</v>
      </c>
      <c r="D209" s="23"/>
    </row>
    <row r="210" ht="15.75" customHeight="1">
      <c r="B210" s="24"/>
      <c r="C210" s="22">
        <v>44556.0</v>
      </c>
      <c r="D210" s="23"/>
    </row>
    <row r="211" ht="15.75" customHeight="1">
      <c r="B211" s="24"/>
      <c r="C211" s="22">
        <v>44557.0</v>
      </c>
      <c r="D211" s="23"/>
    </row>
    <row r="212" ht="15.75" customHeight="1">
      <c r="B212" s="24"/>
      <c r="C212" s="22">
        <v>44558.0</v>
      </c>
      <c r="D212" s="23"/>
    </row>
    <row r="213" ht="15.75" customHeight="1">
      <c r="B213" s="24"/>
      <c r="C213" s="22">
        <v>44559.0</v>
      </c>
      <c r="D213" s="23"/>
    </row>
    <row r="214" ht="15.75" customHeight="1">
      <c r="B214" s="24"/>
      <c r="C214" s="22">
        <v>44560.0</v>
      </c>
      <c r="D214" s="23"/>
    </row>
    <row r="215" ht="15.75" customHeight="1">
      <c r="B215" s="24"/>
      <c r="C215" s="22">
        <v>44561.0</v>
      </c>
      <c r="D215" s="23"/>
    </row>
    <row r="216" ht="15.75" customHeight="1">
      <c r="B216" s="24"/>
      <c r="C216" s="22">
        <v>44562.0</v>
      </c>
      <c r="D216" s="23"/>
    </row>
    <row r="217" ht="15.75" customHeight="1">
      <c r="B217" s="24"/>
      <c r="C217" s="22">
        <v>44563.0</v>
      </c>
      <c r="D217" s="23"/>
    </row>
    <row r="218" ht="15.75" customHeight="1">
      <c r="B218" s="24"/>
      <c r="C218" s="22">
        <v>44564.0</v>
      </c>
      <c r="D218" s="23"/>
    </row>
    <row r="219" ht="15.75" customHeight="1">
      <c r="B219" s="24"/>
      <c r="C219" s="22">
        <v>44565.0</v>
      </c>
      <c r="D219" s="23"/>
    </row>
    <row r="220" ht="15.75" customHeight="1">
      <c r="B220" s="24"/>
      <c r="C220" s="22">
        <v>44566.0</v>
      </c>
      <c r="D220" s="23"/>
    </row>
    <row r="221" ht="15.75" customHeight="1">
      <c r="B221" s="24"/>
      <c r="C221" s="22">
        <v>44567.0</v>
      </c>
      <c r="D221" s="23"/>
    </row>
    <row r="222" ht="15.75" customHeight="1">
      <c r="B222" s="24"/>
      <c r="C222" s="22">
        <v>44568.0</v>
      </c>
      <c r="D222" s="23"/>
    </row>
    <row r="223" ht="15.75" customHeight="1">
      <c r="B223" s="24"/>
      <c r="C223" s="22">
        <v>44569.0</v>
      </c>
      <c r="D223" s="23"/>
    </row>
    <row r="224" ht="15.75" customHeight="1">
      <c r="B224" s="24"/>
      <c r="C224" s="22">
        <v>44570.0</v>
      </c>
      <c r="D224" s="23"/>
    </row>
    <row r="225" ht="15.75" customHeight="1">
      <c r="B225" s="24"/>
      <c r="C225" s="22">
        <v>44571.0</v>
      </c>
      <c r="D225" s="23"/>
    </row>
    <row r="226" ht="15.75" customHeight="1">
      <c r="B226" s="24"/>
      <c r="C226" s="22">
        <v>44572.0</v>
      </c>
      <c r="D226" s="23"/>
    </row>
    <row r="227" ht="15.75" customHeight="1">
      <c r="B227" s="24"/>
      <c r="C227" s="22">
        <v>44573.0</v>
      </c>
      <c r="D227" s="23"/>
    </row>
    <row r="228" ht="15.75" customHeight="1">
      <c r="B228" s="24"/>
      <c r="C228" s="22">
        <v>44574.0</v>
      </c>
      <c r="D228" s="23"/>
    </row>
    <row r="229" ht="15.75" customHeight="1">
      <c r="B229" s="24"/>
      <c r="C229" s="22">
        <v>44575.0</v>
      </c>
      <c r="D229" s="23"/>
    </row>
    <row r="230" ht="15.75" customHeight="1">
      <c r="B230" s="24"/>
      <c r="C230" s="22">
        <v>44576.0</v>
      </c>
      <c r="D230" s="23"/>
    </row>
    <row r="231" ht="15.75" customHeight="1">
      <c r="B231" s="24"/>
      <c r="C231" s="22">
        <v>44577.0</v>
      </c>
      <c r="D231" s="23"/>
    </row>
    <row r="232" ht="15.75" customHeight="1">
      <c r="B232" s="24"/>
      <c r="C232" s="22">
        <v>44578.0</v>
      </c>
      <c r="D232" s="23"/>
    </row>
    <row r="233" ht="15.75" customHeight="1">
      <c r="B233" s="24"/>
      <c r="C233" s="22">
        <v>44579.0</v>
      </c>
      <c r="D233" s="23"/>
    </row>
    <row r="234" ht="15.75" customHeight="1">
      <c r="B234" s="24"/>
      <c r="C234" s="22">
        <v>44580.0</v>
      </c>
      <c r="D234" s="23"/>
    </row>
    <row r="235" ht="15.75" customHeight="1">
      <c r="B235" s="24"/>
      <c r="C235" s="22">
        <v>44581.0</v>
      </c>
      <c r="D235" s="23"/>
    </row>
    <row r="236" ht="15.75" customHeight="1">
      <c r="B236" s="24"/>
      <c r="C236" s="22">
        <v>44582.0</v>
      </c>
      <c r="D236" s="23"/>
    </row>
    <row r="237" ht="15.75" customHeight="1">
      <c r="B237" s="24"/>
      <c r="C237" s="22">
        <v>44583.0</v>
      </c>
      <c r="D237" s="23"/>
    </row>
    <row r="238" ht="15.75" customHeight="1">
      <c r="B238" s="24"/>
      <c r="C238" s="22">
        <v>44584.0</v>
      </c>
      <c r="D238" s="23"/>
    </row>
    <row r="239" ht="15.75" customHeight="1">
      <c r="B239" s="24"/>
      <c r="C239" s="22">
        <v>44585.0</v>
      </c>
      <c r="D239" s="23"/>
    </row>
    <row r="240" ht="15.75" customHeight="1">
      <c r="B240" s="24"/>
      <c r="C240" s="22">
        <v>44586.0</v>
      </c>
      <c r="D240" s="23"/>
    </row>
    <row r="241" ht="15.75" customHeight="1">
      <c r="B241" s="24"/>
      <c r="C241" s="22">
        <v>44587.0</v>
      </c>
      <c r="D241" s="23"/>
    </row>
    <row r="242" ht="15.75" customHeight="1">
      <c r="B242" s="24"/>
      <c r="C242" s="22">
        <v>44588.0</v>
      </c>
      <c r="D242" s="23"/>
    </row>
    <row r="243" ht="15.75" customHeight="1">
      <c r="B243" s="24"/>
      <c r="C243" s="22">
        <v>44589.0</v>
      </c>
      <c r="D243" s="23"/>
    </row>
    <row r="244" ht="15.75" customHeight="1">
      <c r="B244" s="24"/>
      <c r="C244" s="22">
        <v>44590.0</v>
      </c>
      <c r="D244" s="23"/>
    </row>
    <row r="245" ht="15.75" customHeight="1">
      <c r="B245" s="24"/>
      <c r="C245" s="22">
        <v>44591.0</v>
      </c>
      <c r="D245" s="23"/>
    </row>
    <row r="246" ht="15.75" customHeight="1">
      <c r="B246" s="24"/>
      <c r="C246" s="22">
        <v>44592.0</v>
      </c>
      <c r="D246" s="23"/>
    </row>
    <row r="247" ht="15.75" customHeight="1">
      <c r="B247" s="24"/>
      <c r="C247" s="22">
        <v>44593.0</v>
      </c>
      <c r="D247" s="23"/>
    </row>
    <row r="248" ht="15.75" customHeight="1">
      <c r="B248" s="24"/>
      <c r="C248" s="22">
        <v>44594.0</v>
      </c>
      <c r="D248" s="23"/>
    </row>
    <row r="249" ht="15.75" customHeight="1">
      <c r="B249" s="24"/>
      <c r="C249" s="22">
        <v>44595.0</v>
      </c>
      <c r="D249" s="23"/>
    </row>
    <row r="250" ht="15.75" customHeight="1">
      <c r="B250" s="24"/>
      <c r="C250" s="22">
        <v>44596.0</v>
      </c>
      <c r="D250" s="23"/>
    </row>
    <row r="251" ht="15.75" customHeight="1">
      <c r="B251" s="24"/>
      <c r="C251" s="22">
        <v>44597.0</v>
      </c>
      <c r="D251" s="23"/>
    </row>
    <row r="252" ht="15.75" customHeight="1">
      <c r="B252" s="24"/>
      <c r="C252" s="22">
        <v>44598.0</v>
      </c>
      <c r="D252" s="23"/>
    </row>
    <row r="253" ht="15.75" customHeight="1">
      <c r="B253" s="24"/>
      <c r="C253" s="22">
        <v>44599.0</v>
      </c>
      <c r="D253" s="23"/>
    </row>
    <row r="254" ht="15.75" customHeight="1">
      <c r="B254" s="24"/>
      <c r="C254" s="22">
        <v>44600.0</v>
      </c>
      <c r="D254" s="23"/>
    </row>
    <row r="255" ht="15.75" customHeight="1">
      <c r="B255" s="24"/>
      <c r="C255" s="22">
        <v>44601.0</v>
      </c>
      <c r="D255" s="23"/>
    </row>
    <row r="256" ht="15.75" customHeight="1">
      <c r="B256" s="24"/>
      <c r="C256" s="22">
        <v>44602.0</v>
      </c>
      <c r="D256" s="23"/>
    </row>
    <row r="257" ht="15.75" customHeight="1">
      <c r="B257" s="24"/>
      <c r="C257" s="22">
        <v>44603.0</v>
      </c>
      <c r="D257" s="23"/>
    </row>
    <row r="258" ht="15.75" customHeight="1">
      <c r="B258" s="24"/>
      <c r="C258" s="22">
        <v>44604.0</v>
      </c>
      <c r="D258" s="23"/>
    </row>
    <row r="259" ht="15.75" customHeight="1">
      <c r="B259" s="24"/>
      <c r="C259" s="22">
        <v>44605.0</v>
      </c>
      <c r="D259" s="23"/>
    </row>
    <row r="260" ht="15.75" customHeight="1">
      <c r="B260" s="24"/>
      <c r="C260" s="22">
        <v>44606.0</v>
      </c>
      <c r="D260" s="23"/>
    </row>
    <row r="261" ht="15.75" customHeight="1">
      <c r="B261" s="24"/>
      <c r="C261" s="22">
        <v>44607.0</v>
      </c>
      <c r="D261" s="23"/>
    </row>
    <row r="262" ht="15.75" customHeight="1">
      <c r="B262" s="24"/>
      <c r="C262" s="22">
        <v>44608.0</v>
      </c>
      <c r="D262" s="23"/>
    </row>
    <row r="263" ht="15.75" customHeight="1">
      <c r="B263" s="24"/>
      <c r="C263" s="22">
        <v>44609.0</v>
      </c>
      <c r="D263" s="23"/>
    </row>
    <row r="264" ht="15.75" customHeight="1">
      <c r="B264" s="24"/>
      <c r="C264" s="22">
        <v>44610.0</v>
      </c>
      <c r="D264" s="23"/>
    </row>
    <row r="265" ht="15.75" customHeight="1">
      <c r="B265" s="24"/>
      <c r="C265" s="22">
        <v>44611.0</v>
      </c>
      <c r="D265" s="23"/>
    </row>
    <row r="266" ht="15.75" customHeight="1">
      <c r="B266" s="24"/>
      <c r="C266" s="22">
        <v>44612.0</v>
      </c>
      <c r="D266" s="23"/>
    </row>
    <row r="267" ht="15.75" customHeight="1">
      <c r="B267" s="24"/>
      <c r="C267" s="22">
        <v>44613.0</v>
      </c>
      <c r="D267" s="23"/>
    </row>
    <row r="268" ht="15.75" customHeight="1">
      <c r="B268" s="24"/>
      <c r="C268" s="22">
        <v>44614.0</v>
      </c>
      <c r="D268" s="23"/>
    </row>
    <row r="269" ht="15.75" customHeight="1">
      <c r="B269" s="24"/>
      <c r="C269" s="22">
        <v>44615.0</v>
      </c>
      <c r="D269" s="23"/>
    </row>
    <row r="270" ht="15.75" customHeight="1">
      <c r="B270" s="24"/>
      <c r="C270" s="22">
        <v>44616.0</v>
      </c>
      <c r="D270" s="23"/>
    </row>
    <row r="271" ht="15.75" customHeight="1">
      <c r="B271" s="24"/>
      <c r="C271" s="22">
        <v>44617.0</v>
      </c>
      <c r="D271" s="23"/>
    </row>
    <row r="272" ht="15.75" customHeight="1">
      <c r="B272" s="24"/>
      <c r="C272" s="22">
        <v>44618.0</v>
      </c>
      <c r="D272" s="23"/>
    </row>
    <row r="273" ht="15.75" customHeight="1">
      <c r="B273" s="24"/>
      <c r="C273" s="22">
        <v>44619.0</v>
      </c>
      <c r="D273" s="23"/>
    </row>
    <row r="274" ht="15.75" customHeight="1">
      <c r="B274" s="24"/>
      <c r="C274" s="22">
        <v>44620.0</v>
      </c>
      <c r="D274" s="23"/>
    </row>
    <row r="275" ht="15.75" customHeight="1">
      <c r="B275" s="24"/>
      <c r="C275" s="22">
        <v>44621.0</v>
      </c>
      <c r="D275" s="23"/>
    </row>
    <row r="276" ht="15.75" customHeight="1">
      <c r="B276" s="24"/>
      <c r="C276" s="22">
        <v>44622.0</v>
      </c>
      <c r="D276" s="23"/>
    </row>
    <row r="277" ht="15.75" customHeight="1">
      <c r="B277" s="24"/>
      <c r="C277" s="22">
        <v>44623.0</v>
      </c>
      <c r="D277" s="23"/>
    </row>
    <row r="278" ht="15.75" customHeight="1">
      <c r="B278" s="24"/>
      <c r="C278" s="22">
        <v>44624.0</v>
      </c>
      <c r="D278" s="23"/>
    </row>
    <row r="279" ht="15.75" customHeight="1">
      <c r="B279" s="24"/>
      <c r="C279" s="22">
        <v>44625.0</v>
      </c>
      <c r="D279" s="23"/>
    </row>
    <row r="280" ht="15.75" customHeight="1">
      <c r="B280" s="24"/>
      <c r="C280" s="22">
        <v>44626.0</v>
      </c>
      <c r="D280" s="23"/>
    </row>
    <row r="281" ht="15.75" customHeight="1">
      <c r="B281" s="24"/>
      <c r="C281" s="22">
        <v>44627.0</v>
      </c>
      <c r="D281" s="23"/>
    </row>
    <row r="282" ht="15.75" customHeight="1">
      <c r="B282" s="24"/>
      <c r="C282" s="22">
        <v>44628.0</v>
      </c>
      <c r="D282" s="23"/>
    </row>
    <row r="283" ht="15.75" customHeight="1">
      <c r="B283" s="24"/>
      <c r="C283" s="22">
        <v>44629.0</v>
      </c>
      <c r="D283" s="23"/>
    </row>
    <row r="284" ht="15.75" customHeight="1">
      <c r="B284" s="24"/>
      <c r="C284" s="22">
        <v>44630.0</v>
      </c>
      <c r="D284" s="23"/>
    </row>
    <row r="285" ht="15.75" customHeight="1">
      <c r="B285" s="24"/>
      <c r="C285" s="22">
        <v>44631.0</v>
      </c>
      <c r="D285" s="23"/>
    </row>
    <row r="286" ht="15.75" customHeight="1">
      <c r="B286" s="24"/>
      <c r="C286" s="22">
        <v>44632.0</v>
      </c>
      <c r="D286" s="23"/>
    </row>
    <row r="287" ht="15.75" customHeight="1">
      <c r="B287" s="24"/>
      <c r="C287" s="22">
        <v>44633.0</v>
      </c>
      <c r="D287" s="23"/>
    </row>
    <row r="288" ht="15.75" customHeight="1">
      <c r="B288" s="24"/>
      <c r="C288" s="22">
        <v>44634.0</v>
      </c>
      <c r="D288" s="23"/>
    </row>
    <row r="289" ht="15.75" customHeight="1">
      <c r="B289" s="24"/>
      <c r="C289" s="22">
        <v>44635.0</v>
      </c>
      <c r="D289" s="23"/>
    </row>
    <row r="290" ht="15.75" customHeight="1">
      <c r="B290" s="24"/>
      <c r="C290" s="22">
        <v>44636.0</v>
      </c>
      <c r="D290" s="23"/>
    </row>
    <row r="291" ht="15.75" customHeight="1">
      <c r="B291" s="24"/>
      <c r="C291" s="22">
        <v>44637.0</v>
      </c>
      <c r="D291" s="23"/>
    </row>
    <row r="292" ht="15.75" customHeight="1">
      <c r="B292" s="24"/>
      <c r="C292" s="22">
        <v>44638.0</v>
      </c>
      <c r="D292" s="23"/>
    </row>
    <row r="293" ht="15.75" customHeight="1">
      <c r="B293" s="24"/>
      <c r="C293" s="22">
        <v>44639.0</v>
      </c>
      <c r="D293" s="23"/>
    </row>
    <row r="294" ht="15.75" customHeight="1">
      <c r="B294" s="24"/>
      <c r="C294" s="22">
        <v>44640.0</v>
      </c>
      <c r="D294" s="23"/>
    </row>
    <row r="295" ht="15.75" customHeight="1">
      <c r="B295" s="24"/>
      <c r="C295" s="22">
        <v>44641.0</v>
      </c>
      <c r="D295" s="23"/>
    </row>
    <row r="296" ht="15.75" customHeight="1">
      <c r="B296" s="24"/>
      <c r="C296" s="22">
        <v>44642.0</v>
      </c>
      <c r="D296" s="23"/>
    </row>
    <row r="297" ht="15.75" customHeight="1">
      <c r="B297" s="24"/>
      <c r="C297" s="22">
        <v>44643.0</v>
      </c>
      <c r="D297" s="23"/>
    </row>
    <row r="298" ht="15.75" customHeight="1">
      <c r="B298" s="24"/>
      <c r="C298" s="22">
        <v>44644.0</v>
      </c>
      <c r="D298" s="23"/>
    </row>
    <row r="299" ht="15.75" customHeight="1">
      <c r="B299" s="24"/>
      <c r="C299" s="22">
        <v>44645.0</v>
      </c>
      <c r="D299" s="23"/>
    </row>
    <row r="300" ht="15.75" customHeight="1">
      <c r="B300" s="24"/>
      <c r="C300" s="22">
        <v>44646.0</v>
      </c>
      <c r="D300" s="23"/>
    </row>
    <row r="301" ht="15.75" customHeight="1">
      <c r="B301" s="24"/>
      <c r="C301" s="22">
        <v>44647.0</v>
      </c>
      <c r="D301" s="23"/>
    </row>
    <row r="302" ht="15.75" customHeight="1">
      <c r="B302" s="24"/>
      <c r="C302" s="22">
        <v>44648.0</v>
      </c>
      <c r="D302" s="23"/>
    </row>
    <row r="303" ht="15.75" customHeight="1">
      <c r="B303" s="24"/>
      <c r="C303" s="22">
        <v>44649.0</v>
      </c>
      <c r="D303" s="23"/>
    </row>
    <row r="304" ht="15.75" customHeight="1">
      <c r="B304" s="24"/>
      <c r="C304" s="22">
        <v>44650.0</v>
      </c>
      <c r="D304" s="23"/>
    </row>
    <row r="305" ht="15.75" customHeight="1">
      <c r="B305" s="24"/>
      <c r="C305" s="22">
        <v>44651.0</v>
      </c>
      <c r="D305" s="23"/>
    </row>
    <row r="306" ht="15.75" customHeight="1">
      <c r="B306" s="24"/>
      <c r="C306" s="22">
        <v>44652.0</v>
      </c>
      <c r="D306" s="23"/>
    </row>
    <row r="307" ht="15.75" customHeight="1">
      <c r="B307" s="24"/>
      <c r="C307" s="22">
        <v>44653.0</v>
      </c>
      <c r="D307" s="23"/>
    </row>
    <row r="308" ht="15.75" customHeight="1">
      <c r="B308" s="24"/>
      <c r="C308" s="22">
        <v>44654.0</v>
      </c>
      <c r="D308" s="23"/>
    </row>
    <row r="309" ht="15.75" customHeight="1">
      <c r="B309" s="24"/>
      <c r="C309" s="22">
        <v>44655.0</v>
      </c>
      <c r="D309" s="23"/>
    </row>
    <row r="310" ht="15.75" customHeight="1">
      <c r="B310" s="24"/>
      <c r="C310" s="22">
        <v>44656.0</v>
      </c>
      <c r="D310" s="23"/>
    </row>
    <row r="311" ht="15.75" customHeight="1">
      <c r="B311" s="24"/>
      <c r="C311" s="22">
        <v>44657.0</v>
      </c>
      <c r="D311" s="23"/>
    </row>
    <row r="312" ht="15.75" customHeight="1">
      <c r="B312" s="24"/>
      <c r="C312" s="22">
        <v>44658.0</v>
      </c>
      <c r="D312" s="23"/>
    </row>
    <row r="313" ht="15.75" customHeight="1">
      <c r="B313" s="24"/>
      <c r="C313" s="22">
        <v>44659.0</v>
      </c>
      <c r="D313" s="23"/>
    </row>
    <row r="314" ht="15.75" customHeight="1">
      <c r="B314" s="24"/>
      <c r="C314" s="22">
        <v>44660.0</v>
      </c>
      <c r="D314" s="23"/>
    </row>
    <row r="315" ht="15.75" customHeight="1">
      <c r="B315" s="24"/>
      <c r="C315" s="22">
        <v>44661.0</v>
      </c>
      <c r="D315" s="23"/>
    </row>
    <row r="316" ht="15.75" customHeight="1">
      <c r="B316" s="24"/>
      <c r="C316" s="22">
        <v>44662.0</v>
      </c>
      <c r="D316" s="23"/>
    </row>
    <row r="317" ht="15.75" customHeight="1">
      <c r="B317" s="24"/>
      <c r="C317" s="22">
        <v>44663.0</v>
      </c>
      <c r="D317" s="23"/>
    </row>
    <row r="318" ht="15.75" customHeight="1">
      <c r="B318" s="24"/>
      <c r="C318" s="22">
        <v>44664.0</v>
      </c>
      <c r="D318" s="23"/>
    </row>
    <row r="319" ht="15.75" customHeight="1">
      <c r="B319" s="24"/>
      <c r="C319" s="22">
        <v>44665.0</v>
      </c>
      <c r="D319" s="23"/>
    </row>
    <row r="320" ht="15.75" customHeight="1">
      <c r="B320" s="24"/>
      <c r="C320" s="22">
        <v>44666.0</v>
      </c>
      <c r="D320" s="23"/>
    </row>
    <row r="321" ht="15.75" customHeight="1">
      <c r="B321" s="24"/>
      <c r="C321" s="22">
        <v>44667.0</v>
      </c>
      <c r="D321" s="23"/>
    </row>
    <row r="322" ht="15.75" customHeight="1">
      <c r="B322" s="24"/>
      <c r="C322" s="22">
        <v>44668.0</v>
      </c>
      <c r="D322" s="23"/>
    </row>
    <row r="323" ht="15.75" customHeight="1">
      <c r="B323" s="24"/>
      <c r="C323" s="22">
        <v>44669.0</v>
      </c>
      <c r="D323" s="23"/>
    </row>
    <row r="324" ht="15.75" customHeight="1">
      <c r="B324" s="24"/>
      <c r="C324" s="22">
        <v>44670.0</v>
      </c>
      <c r="D324" s="23"/>
    </row>
    <row r="325" ht="15.75" customHeight="1">
      <c r="B325" s="24"/>
      <c r="C325" s="22">
        <v>44671.0</v>
      </c>
      <c r="D325" s="23"/>
    </row>
    <row r="326" ht="15.75" customHeight="1">
      <c r="B326" s="24"/>
      <c r="C326" s="22">
        <v>44672.0</v>
      </c>
      <c r="D326" s="23"/>
    </row>
    <row r="327" ht="15.75" customHeight="1">
      <c r="B327" s="24"/>
      <c r="C327" s="22">
        <v>44673.0</v>
      </c>
      <c r="D327" s="23"/>
    </row>
    <row r="328" ht="15.75" customHeight="1">
      <c r="B328" s="24"/>
      <c r="C328" s="22">
        <v>44674.0</v>
      </c>
      <c r="D328" s="23"/>
    </row>
    <row r="329" ht="15.75" customHeight="1">
      <c r="B329" s="24"/>
      <c r="C329" s="22">
        <v>44675.0</v>
      </c>
      <c r="D329" s="23"/>
    </row>
    <row r="330" ht="15.75" customHeight="1">
      <c r="B330" s="24"/>
      <c r="C330" s="22">
        <v>44676.0</v>
      </c>
      <c r="D330" s="23"/>
    </row>
    <row r="331" ht="15.75" customHeight="1">
      <c r="B331" s="24"/>
      <c r="C331" s="22">
        <v>44677.0</v>
      </c>
      <c r="D331" s="23"/>
    </row>
    <row r="332" ht="15.75" customHeight="1">
      <c r="B332" s="24"/>
      <c r="C332" s="22">
        <v>44678.0</v>
      </c>
      <c r="D332" s="23"/>
    </row>
    <row r="333" ht="15.75" customHeight="1">
      <c r="B333" s="24"/>
      <c r="C333" s="22">
        <v>44679.0</v>
      </c>
      <c r="D333" s="23"/>
    </row>
    <row r="334" ht="15.75" customHeight="1">
      <c r="B334" s="24"/>
      <c r="C334" s="22">
        <v>44680.0</v>
      </c>
      <c r="D334" s="23"/>
    </row>
    <row r="335" ht="15.75" customHeight="1">
      <c r="B335" s="24"/>
      <c r="C335" s="22">
        <v>44681.0</v>
      </c>
      <c r="D335" s="23"/>
    </row>
    <row r="336" ht="15.75" customHeight="1">
      <c r="B336" s="24"/>
      <c r="C336" s="22">
        <v>44682.0</v>
      </c>
      <c r="D336" s="23"/>
    </row>
    <row r="337" ht="15.75" customHeight="1">
      <c r="B337" s="24"/>
      <c r="C337" s="22">
        <v>44683.0</v>
      </c>
      <c r="D337" s="23"/>
    </row>
    <row r="338" ht="15.75" customHeight="1">
      <c r="B338" s="24"/>
      <c r="C338" s="22">
        <v>44684.0</v>
      </c>
      <c r="D338" s="23"/>
    </row>
    <row r="339" ht="15.75" customHeight="1">
      <c r="B339" s="24"/>
      <c r="C339" s="22">
        <v>44685.0</v>
      </c>
      <c r="D339" s="23"/>
    </row>
    <row r="340" ht="15.75" customHeight="1">
      <c r="B340" s="24"/>
      <c r="C340" s="22">
        <v>44686.0</v>
      </c>
      <c r="D340" s="23"/>
    </row>
    <row r="341" ht="15.75" customHeight="1">
      <c r="B341" s="24"/>
      <c r="C341" s="22">
        <v>44687.0</v>
      </c>
      <c r="D341" s="23"/>
    </row>
    <row r="342" ht="15.75" customHeight="1">
      <c r="B342" s="24"/>
      <c r="C342" s="22">
        <v>44688.0</v>
      </c>
      <c r="D342" s="23"/>
    </row>
    <row r="343" ht="15.75" customHeight="1">
      <c r="B343" s="24"/>
      <c r="C343" s="22">
        <v>44689.0</v>
      </c>
      <c r="D343" s="23"/>
    </row>
    <row r="344" ht="15.75" customHeight="1">
      <c r="B344" s="24"/>
      <c r="C344" s="22">
        <v>44690.0</v>
      </c>
      <c r="D344" s="23"/>
    </row>
    <row r="345" ht="15.75" customHeight="1">
      <c r="B345" s="24"/>
      <c r="C345" s="22">
        <v>44691.0</v>
      </c>
      <c r="D345" s="23"/>
    </row>
    <row r="346" ht="15.75" customHeight="1">
      <c r="B346" s="24"/>
      <c r="C346" s="22">
        <v>44692.0</v>
      </c>
      <c r="D346" s="23"/>
    </row>
    <row r="347" ht="15.75" customHeight="1">
      <c r="B347" s="24"/>
      <c r="C347" s="22">
        <v>44693.0</v>
      </c>
      <c r="D347" s="23"/>
    </row>
    <row r="348" ht="15.75" customHeight="1">
      <c r="B348" s="24"/>
      <c r="C348" s="22">
        <v>44694.0</v>
      </c>
      <c r="D348" s="23"/>
    </row>
    <row r="349" ht="15.75" customHeight="1">
      <c r="B349" s="24"/>
      <c r="C349" s="22">
        <v>44695.0</v>
      </c>
      <c r="D349" s="23"/>
    </row>
    <row r="350" ht="15.75" customHeight="1">
      <c r="B350" s="24"/>
      <c r="C350" s="22">
        <v>44696.0</v>
      </c>
      <c r="D350" s="23"/>
    </row>
    <row r="351" ht="15.75" customHeight="1">
      <c r="B351" s="24"/>
      <c r="C351" s="22">
        <v>44697.0</v>
      </c>
      <c r="D351" s="23"/>
    </row>
    <row r="352" ht="15.75" customHeight="1">
      <c r="B352" s="24"/>
      <c r="C352" s="22">
        <v>44698.0</v>
      </c>
      <c r="D352" s="23"/>
    </row>
    <row r="353" ht="15.75" customHeight="1">
      <c r="B353" s="24"/>
      <c r="C353" s="22">
        <v>44699.0</v>
      </c>
      <c r="D353" s="23"/>
    </row>
    <row r="354" ht="15.75" customHeight="1">
      <c r="B354" s="24"/>
      <c r="C354" s="22">
        <v>44700.0</v>
      </c>
      <c r="D354" s="23"/>
    </row>
    <row r="355" ht="15.75" customHeight="1">
      <c r="B355" s="24"/>
      <c r="C355" s="22">
        <v>44701.0</v>
      </c>
      <c r="D355" s="23"/>
    </row>
    <row r="356" ht="15.75" customHeight="1">
      <c r="B356" s="24"/>
      <c r="C356" s="22">
        <v>44702.0</v>
      </c>
      <c r="D356" s="23"/>
    </row>
    <row r="357" ht="15.75" customHeight="1">
      <c r="B357" s="24"/>
      <c r="C357" s="22">
        <v>44703.0</v>
      </c>
      <c r="D357" s="23"/>
    </row>
    <row r="358" ht="15.75" customHeight="1">
      <c r="B358" s="24"/>
      <c r="C358" s="22">
        <v>44704.0</v>
      </c>
      <c r="D358" s="23"/>
    </row>
    <row r="359" ht="15.75" customHeight="1">
      <c r="B359" s="24"/>
      <c r="C359" s="22">
        <v>44705.0</v>
      </c>
      <c r="D359" s="23"/>
    </row>
    <row r="360" ht="15.75" customHeight="1">
      <c r="B360" s="24"/>
      <c r="C360" s="22">
        <v>44706.0</v>
      </c>
      <c r="D360" s="23"/>
    </row>
    <row r="361" ht="15.75" customHeight="1">
      <c r="B361" s="24"/>
      <c r="C361" s="22">
        <v>44707.0</v>
      </c>
      <c r="D361" s="23"/>
    </row>
    <row r="362" ht="15.75" customHeight="1">
      <c r="B362" s="24"/>
      <c r="C362" s="22">
        <v>44708.0</v>
      </c>
      <c r="D362" s="23"/>
    </row>
    <row r="363" ht="15.75" customHeight="1">
      <c r="B363" s="24"/>
      <c r="C363" s="22">
        <v>44709.0</v>
      </c>
      <c r="D363" s="23"/>
    </row>
    <row r="364" ht="15.75" customHeight="1">
      <c r="B364" s="24"/>
      <c r="C364" s="22">
        <v>44710.0</v>
      </c>
      <c r="D364" s="23"/>
    </row>
    <row r="365" ht="15.75" customHeight="1">
      <c r="B365" s="24"/>
      <c r="C365" s="22">
        <v>44711.0</v>
      </c>
      <c r="D365" s="23"/>
    </row>
    <row r="366" ht="15.75" customHeight="1">
      <c r="B366" s="24"/>
      <c r="C366" s="22">
        <v>44712.0</v>
      </c>
      <c r="D366" s="23"/>
    </row>
    <row r="367" ht="15.75" customHeight="1">
      <c r="B367" s="24"/>
      <c r="C367" s="22">
        <v>44713.0</v>
      </c>
      <c r="D367" s="23"/>
    </row>
    <row r="368" ht="15.75" customHeight="1">
      <c r="B368" s="24"/>
      <c r="C368" s="22">
        <v>44714.0</v>
      </c>
      <c r="D368" s="23"/>
    </row>
    <row r="369" ht="15.75" customHeight="1">
      <c r="B369" s="24"/>
      <c r="C369" s="22">
        <v>44715.0</v>
      </c>
      <c r="D369" s="23"/>
    </row>
    <row r="370" ht="15.75" customHeight="1">
      <c r="B370" s="24"/>
      <c r="C370" s="22">
        <v>44716.0</v>
      </c>
      <c r="D370" s="23"/>
    </row>
    <row r="371" ht="15.75" customHeight="1">
      <c r="B371" s="24"/>
      <c r="C371" s="22">
        <v>44717.0</v>
      </c>
      <c r="D371" s="23"/>
    </row>
    <row r="372" ht="15.75" customHeight="1">
      <c r="B372" s="24"/>
      <c r="C372" s="22">
        <v>44718.0</v>
      </c>
      <c r="D372" s="23"/>
    </row>
    <row r="373" ht="15.75" customHeight="1">
      <c r="B373" s="24"/>
      <c r="C373" s="22">
        <v>44719.0</v>
      </c>
      <c r="D373" s="23"/>
    </row>
    <row r="374" ht="15.75" customHeight="1">
      <c r="B374" s="24"/>
      <c r="C374" s="22">
        <v>44720.0</v>
      </c>
      <c r="D374" s="23"/>
    </row>
    <row r="375" ht="15.75" customHeight="1">
      <c r="B375" s="24"/>
      <c r="C375" s="22">
        <v>44721.0</v>
      </c>
      <c r="D375" s="23"/>
    </row>
    <row r="376" ht="15.75" customHeight="1">
      <c r="B376" s="24"/>
      <c r="C376" s="22">
        <v>44722.0</v>
      </c>
      <c r="D376" s="23"/>
    </row>
    <row r="377" ht="15.75" customHeight="1">
      <c r="B377" s="24"/>
      <c r="C377" s="22">
        <v>44723.0</v>
      </c>
      <c r="D377" s="23"/>
    </row>
    <row r="378" ht="15.75" customHeight="1">
      <c r="B378" s="24"/>
      <c r="C378" s="22">
        <v>44724.0</v>
      </c>
      <c r="D378" s="23"/>
    </row>
    <row r="379" ht="15.75" customHeight="1">
      <c r="B379" s="24"/>
      <c r="C379" s="22">
        <v>44725.0</v>
      </c>
      <c r="D379" s="23"/>
    </row>
    <row r="380" ht="15.75" customHeight="1">
      <c r="B380" s="24"/>
      <c r="C380" s="22">
        <v>44726.0</v>
      </c>
      <c r="D380" s="23"/>
    </row>
    <row r="381" ht="15.75" customHeight="1">
      <c r="B381" s="24"/>
      <c r="C381" s="22">
        <v>44727.0</v>
      </c>
      <c r="D381" s="23"/>
    </row>
    <row r="382" ht="15.75" customHeight="1">
      <c r="B382" s="24"/>
      <c r="C382" s="22">
        <v>44728.0</v>
      </c>
      <c r="D382" s="23"/>
    </row>
    <row r="383" ht="15.75" customHeight="1">
      <c r="B383" s="24"/>
      <c r="C383" s="22">
        <v>44729.0</v>
      </c>
      <c r="D383" s="23"/>
    </row>
    <row r="384" ht="15.75" customHeight="1">
      <c r="B384" s="24"/>
      <c r="C384" s="22">
        <v>44730.0</v>
      </c>
      <c r="D384" s="23"/>
    </row>
    <row r="385" ht="15.75" customHeight="1">
      <c r="B385" s="24"/>
      <c r="C385" s="22">
        <v>44731.0</v>
      </c>
      <c r="D385" s="23"/>
    </row>
    <row r="386" ht="15.75" customHeight="1">
      <c r="B386" s="24"/>
      <c r="C386" s="22">
        <v>44732.0</v>
      </c>
      <c r="D386" s="23"/>
    </row>
    <row r="387" ht="15.75" customHeight="1">
      <c r="B387" s="24"/>
      <c r="C387" s="22">
        <v>44733.0</v>
      </c>
      <c r="D387" s="23"/>
    </row>
    <row r="388" ht="15.75" customHeight="1">
      <c r="B388" s="24"/>
      <c r="C388" s="22">
        <v>44734.0</v>
      </c>
      <c r="D388" s="23"/>
    </row>
    <row r="389" ht="15.75" customHeight="1">
      <c r="B389" s="24"/>
      <c r="C389" s="22">
        <v>44735.0</v>
      </c>
      <c r="D389" s="23"/>
    </row>
    <row r="390" ht="15.75" customHeight="1">
      <c r="B390" s="24"/>
      <c r="C390" s="22">
        <v>44736.0</v>
      </c>
      <c r="D390" s="23"/>
    </row>
    <row r="391" ht="15.75" customHeight="1">
      <c r="B391" s="24"/>
      <c r="C391" s="22">
        <v>44737.0</v>
      </c>
      <c r="D391" s="23"/>
    </row>
    <row r="392" ht="15.75" customHeight="1">
      <c r="B392" s="24"/>
      <c r="C392" s="22">
        <v>44738.0</v>
      </c>
      <c r="D392" s="23"/>
    </row>
    <row r="393" ht="15.75" customHeight="1">
      <c r="B393" s="24"/>
      <c r="C393" s="22">
        <v>44739.0</v>
      </c>
      <c r="D393" s="23"/>
    </row>
    <row r="394" ht="15.75" customHeight="1">
      <c r="B394" s="24"/>
      <c r="C394" s="22">
        <v>44740.0</v>
      </c>
      <c r="D394" s="23"/>
    </row>
    <row r="395" ht="15.75" customHeight="1">
      <c r="B395" s="24"/>
      <c r="C395" s="22">
        <v>44741.0</v>
      </c>
      <c r="D395" s="23"/>
    </row>
    <row r="396" ht="15.75" customHeight="1">
      <c r="B396" s="24"/>
      <c r="C396" s="22">
        <v>44742.0</v>
      </c>
      <c r="D396" s="23"/>
    </row>
    <row r="397" ht="15.75" customHeight="1">
      <c r="B397" s="24"/>
      <c r="C397" s="22">
        <v>44743.0</v>
      </c>
      <c r="D397" s="23"/>
    </row>
    <row r="398" ht="15.75" customHeight="1">
      <c r="B398" s="24"/>
      <c r="C398" s="22">
        <v>44744.0</v>
      </c>
      <c r="D398" s="23"/>
    </row>
    <row r="399" ht="15.75" customHeight="1">
      <c r="B399" s="24"/>
      <c r="C399" s="22">
        <v>44745.0</v>
      </c>
      <c r="D399" s="23"/>
    </row>
    <row r="400" ht="15.75" customHeight="1">
      <c r="B400" s="24"/>
      <c r="C400" s="22">
        <v>44746.0</v>
      </c>
      <c r="D400" s="23"/>
    </row>
    <row r="401" ht="15.75" customHeight="1">
      <c r="B401" s="24"/>
      <c r="C401" s="22">
        <v>44747.0</v>
      </c>
      <c r="D401" s="23"/>
    </row>
    <row r="402" ht="15.75" customHeight="1">
      <c r="B402" s="24"/>
      <c r="C402" s="22">
        <v>44748.0</v>
      </c>
      <c r="D402" s="23"/>
    </row>
    <row r="403" ht="15.75" customHeight="1">
      <c r="B403" s="24"/>
      <c r="C403" s="22">
        <v>44749.0</v>
      </c>
      <c r="D403" s="23"/>
    </row>
    <row r="404" ht="15.75" customHeight="1">
      <c r="B404" s="24"/>
      <c r="C404" s="22">
        <v>44750.0</v>
      </c>
      <c r="D404" s="23"/>
    </row>
    <row r="405" ht="15.75" customHeight="1">
      <c r="B405" s="24"/>
      <c r="C405" s="22">
        <v>44751.0</v>
      </c>
      <c r="D405" s="23"/>
    </row>
    <row r="406" ht="15.75" customHeight="1">
      <c r="B406" s="24"/>
      <c r="C406" s="22">
        <v>44752.0</v>
      </c>
      <c r="D406" s="23"/>
    </row>
    <row r="407" ht="15.75" customHeight="1">
      <c r="B407" s="24"/>
      <c r="C407" s="22">
        <v>44753.0</v>
      </c>
      <c r="D407" s="23"/>
    </row>
    <row r="408" ht="15.75" customHeight="1">
      <c r="B408" s="24"/>
      <c r="C408" s="22">
        <v>44754.0</v>
      </c>
      <c r="D408" s="23"/>
    </row>
    <row r="409" ht="15.75" customHeight="1">
      <c r="B409" s="24"/>
      <c r="C409" s="22">
        <v>44755.0</v>
      </c>
      <c r="D409" s="23"/>
    </row>
    <row r="410" ht="15.75" customHeight="1">
      <c r="B410" s="24"/>
      <c r="C410" s="22">
        <v>44756.0</v>
      </c>
      <c r="D410" s="23"/>
    </row>
    <row r="411" ht="15.75" customHeight="1">
      <c r="B411" s="24"/>
      <c r="C411" s="22">
        <v>44757.0</v>
      </c>
      <c r="D411" s="23"/>
    </row>
    <row r="412" ht="15.75" customHeight="1">
      <c r="B412" s="24"/>
      <c r="C412" s="22">
        <v>44758.0</v>
      </c>
      <c r="D412" s="23"/>
    </row>
    <row r="413" ht="15.75" customHeight="1">
      <c r="B413" s="24"/>
      <c r="C413" s="22">
        <v>44759.0</v>
      </c>
      <c r="D413" s="23"/>
    </row>
    <row r="414" ht="15.75" customHeight="1">
      <c r="B414" s="24"/>
      <c r="C414" s="22">
        <v>44760.0</v>
      </c>
      <c r="D414" s="23"/>
    </row>
    <row r="415" ht="15.75" customHeight="1">
      <c r="B415" s="24"/>
      <c r="C415" s="22">
        <v>44761.0</v>
      </c>
      <c r="D415" s="23"/>
    </row>
    <row r="416" ht="15.75" customHeight="1">
      <c r="B416" s="24"/>
      <c r="C416" s="22">
        <v>44762.0</v>
      </c>
      <c r="D416" s="23"/>
    </row>
    <row r="417" ht="15.75" customHeight="1">
      <c r="B417" s="24"/>
      <c r="C417" s="22">
        <v>44763.0</v>
      </c>
      <c r="D417" s="23"/>
    </row>
    <row r="418" ht="15.75" customHeight="1">
      <c r="B418" s="24"/>
      <c r="C418" s="22">
        <v>44764.0</v>
      </c>
      <c r="D418" s="23"/>
    </row>
    <row r="419" ht="15.75" customHeight="1">
      <c r="B419" s="24"/>
      <c r="C419" s="22">
        <v>44765.0</v>
      </c>
      <c r="D419" s="23"/>
    </row>
    <row r="420" ht="15.75" customHeight="1">
      <c r="B420" s="24"/>
      <c r="C420" s="22">
        <v>44766.0</v>
      </c>
      <c r="D420" s="23"/>
    </row>
    <row r="421" ht="15.75" customHeight="1">
      <c r="B421" s="24"/>
      <c r="C421" s="22">
        <v>44767.0</v>
      </c>
      <c r="D421" s="23"/>
    </row>
    <row r="422" ht="15.75" customHeight="1">
      <c r="B422" s="24"/>
      <c r="C422" s="22">
        <v>44768.0</v>
      </c>
      <c r="D422" s="23"/>
    </row>
    <row r="423" ht="15.75" customHeight="1">
      <c r="B423" s="24"/>
      <c r="C423" s="22">
        <v>44769.0</v>
      </c>
      <c r="D423" s="23"/>
    </row>
    <row r="424" ht="15.75" customHeight="1">
      <c r="B424" s="24"/>
      <c r="C424" s="22">
        <v>44770.0</v>
      </c>
      <c r="D424" s="23"/>
    </row>
    <row r="425" ht="15.75" customHeight="1">
      <c r="B425" s="24"/>
      <c r="C425" s="22">
        <v>44771.0</v>
      </c>
      <c r="D425" s="23"/>
    </row>
    <row r="426" ht="15.75" customHeight="1">
      <c r="B426" s="24"/>
      <c r="C426" s="22">
        <v>44772.0</v>
      </c>
      <c r="D426" s="23"/>
    </row>
    <row r="427" ht="15.75" customHeight="1">
      <c r="B427" s="24"/>
      <c r="C427" s="22">
        <v>44773.0</v>
      </c>
      <c r="D427" s="23"/>
    </row>
    <row r="428" ht="15.75" customHeight="1">
      <c r="B428" s="24"/>
      <c r="C428" s="22">
        <v>44774.0</v>
      </c>
      <c r="D428" s="23"/>
    </row>
    <row r="429" ht="15.75" customHeight="1">
      <c r="B429" s="24"/>
      <c r="C429" s="22">
        <v>44775.0</v>
      </c>
      <c r="D429" s="23"/>
    </row>
    <row r="430" ht="15.75" customHeight="1">
      <c r="B430" s="24"/>
      <c r="C430" s="22">
        <v>44776.0</v>
      </c>
      <c r="D430" s="23"/>
    </row>
    <row r="431" ht="15.75" customHeight="1">
      <c r="B431" s="24"/>
      <c r="C431" s="22">
        <v>44777.0</v>
      </c>
      <c r="D431" s="23"/>
    </row>
    <row r="432" ht="15.75" customHeight="1">
      <c r="B432" s="24"/>
      <c r="C432" s="22">
        <v>44778.0</v>
      </c>
      <c r="D432" s="23"/>
    </row>
    <row r="433" ht="15.75" customHeight="1">
      <c r="B433" s="24"/>
      <c r="C433" s="22">
        <v>44779.0</v>
      </c>
      <c r="D433" s="23"/>
    </row>
    <row r="434" ht="15.75" customHeight="1">
      <c r="B434" s="24"/>
      <c r="C434" s="22">
        <v>44780.0</v>
      </c>
      <c r="D434" s="23"/>
    </row>
    <row r="435" ht="15.75" customHeight="1">
      <c r="B435" s="24"/>
      <c r="C435" s="22">
        <v>44781.0</v>
      </c>
      <c r="D435" s="23"/>
    </row>
    <row r="436" ht="15.75" customHeight="1">
      <c r="B436" s="24"/>
      <c r="C436" s="22">
        <v>44782.0</v>
      </c>
      <c r="D436" s="23"/>
    </row>
    <row r="437" ht="15.75" customHeight="1">
      <c r="B437" s="24"/>
      <c r="C437" s="22">
        <v>44783.0</v>
      </c>
      <c r="D437" s="23"/>
    </row>
    <row r="438" ht="15.75" customHeight="1">
      <c r="B438" s="24"/>
      <c r="C438" s="22">
        <v>44784.0</v>
      </c>
      <c r="D438" s="23"/>
    </row>
    <row r="439" ht="15.75" customHeight="1">
      <c r="B439" s="24"/>
      <c r="C439" s="22">
        <v>44785.0</v>
      </c>
      <c r="D439" s="23"/>
    </row>
    <row r="440" ht="15.75" customHeight="1">
      <c r="B440" s="24"/>
      <c r="C440" s="22">
        <v>44786.0</v>
      </c>
      <c r="D440" s="23"/>
    </row>
    <row r="441" ht="15.75" customHeight="1">
      <c r="B441" s="24"/>
      <c r="C441" s="22">
        <v>44787.0</v>
      </c>
      <c r="D441" s="23"/>
    </row>
    <row r="442" ht="15.75" customHeight="1">
      <c r="B442" s="24"/>
      <c r="C442" s="22">
        <v>44788.0</v>
      </c>
      <c r="D442" s="23"/>
    </row>
    <row r="443" ht="15.75" customHeight="1">
      <c r="B443" s="24"/>
      <c r="C443" s="22">
        <v>44789.0</v>
      </c>
      <c r="D443" s="23"/>
    </row>
    <row r="444" ht="15.75" customHeight="1">
      <c r="B444" s="24"/>
      <c r="C444" s="22">
        <v>44790.0</v>
      </c>
      <c r="D444" s="23"/>
    </row>
    <row r="445" ht="15.75" customHeight="1">
      <c r="B445" s="24"/>
      <c r="C445" s="22">
        <v>44791.0</v>
      </c>
      <c r="D445" s="23"/>
    </row>
    <row r="446" ht="15.75" customHeight="1">
      <c r="B446" s="24"/>
      <c r="C446" s="22">
        <v>44792.0</v>
      </c>
      <c r="D446" s="23"/>
    </row>
    <row r="447" ht="15.75" customHeight="1">
      <c r="B447" s="24"/>
      <c r="C447" s="22">
        <v>44793.0</v>
      </c>
      <c r="D447" s="23"/>
    </row>
    <row r="448" ht="15.75" customHeight="1">
      <c r="B448" s="24"/>
      <c r="C448" s="22">
        <v>44794.0</v>
      </c>
      <c r="D448" s="23"/>
    </row>
    <row r="449" ht="15.75" customHeight="1">
      <c r="B449" s="24"/>
      <c r="C449" s="22">
        <v>44795.0</v>
      </c>
      <c r="D449" s="23"/>
    </row>
    <row r="450" ht="15.75" customHeight="1">
      <c r="B450" s="24"/>
      <c r="C450" s="22">
        <v>44796.0</v>
      </c>
      <c r="D450" s="23"/>
    </row>
    <row r="451" ht="15.75" customHeight="1">
      <c r="B451" s="24"/>
      <c r="C451" s="22">
        <v>44797.0</v>
      </c>
      <c r="D451" s="23"/>
    </row>
    <row r="452" ht="15.75" customHeight="1">
      <c r="B452" s="24"/>
      <c r="C452" s="22">
        <v>44798.0</v>
      </c>
      <c r="D452" s="23"/>
    </row>
    <row r="453" ht="15.75" customHeight="1">
      <c r="B453" s="24"/>
      <c r="C453" s="22">
        <v>44799.0</v>
      </c>
      <c r="D453" s="23"/>
    </row>
    <row r="454" ht="15.75" customHeight="1">
      <c r="B454" s="24"/>
      <c r="C454" s="22">
        <v>44800.0</v>
      </c>
      <c r="D454" s="23"/>
    </row>
    <row r="455" ht="15.75" customHeight="1">
      <c r="B455" s="24"/>
      <c r="C455" s="22">
        <v>44801.0</v>
      </c>
      <c r="D455" s="23"/>
    </row>
    <row r="456" ht="15.75" customHeight="1">
      <c r="B456" s="24"/>
      <c r="C456" s="22">
        <v>44802.0</v>
      </c>
      <c r="D456" s="23"/>
    </row>
    <row r="457" ht="15.75" customHeight="1">
      <c r="B457" s="24"/>
      <c r="C457" s="22">
        <v>44803.0</v>
      </c>
      <c r="D457" s="23"/>
    </row>
    <row r="458" ht="15.75" customHeight="1">
      <c r="B458" s="24"/>
      <c r="C458" s="22">
        <v>44804.0</v>
      </c>
      <c r="D458" s="23"/>
    </row>
    <row r="459" ht="15.75" customHeight="1">
      <c r="B459" s="24"/>
      <c r="C459" s="22">
        <v>44805.0</v>
      </c>
      <c r="D459" s="23"/>
    </row>
    <row r="460" ht="15.75" customHeight="1">
      <c r="B460" s="24"/>
      <c r="C460" s="22">
        <v>44806.0</v>
      </c>
      <c r="D460" s="23"/>
    </row>
    <row r="461" ht="15.75" customHeight="1">
      <c r="B461" s="24"/>
      <c r="C461" s="22">
        <v>44807.0</v>
      </c>
      <c r="D461" s="23"/>
    </row>
    <row r="462" ht="15.75" customHeight="1">
      <c r="B462" s="24"/>
      <c r="C462" s="22">
        <v>44808.0</v>
      </c>
      <c r="D462" s="23"/>
    </row>
    <row r="463" ht="15.75" customHeight="1">
      <c r="B463" s="24"/>
      <c r="C463" s="22">
        <v>44809.0</v>
      </c>
      <c r="D463" s="23"/>
    </row>
    <row r="464" ht="15.75" customHeight="1">
      <c r="B464" s="24"/>
      <c r="C464" s="22">
        <v>44810.0</v>
      </c>
      <c r="D464" s="23"/>
    </row>
    <row r="465" ht="15.75" customHeight="1">
      <c r="B465" s="24"/>
      <c r="C465" s="22">
        <v>44811.0</v>
      </c>
      <c r="D465" s="23"/>
    </row>
    <row r="466" ht="15.75" customHeight="1">
      <c r="B466" s="24"/>
      <c r="C466" s="22">
        <v>44812.0</v>
      </c>
      <c r="D466" s="23"/>
    </row>
    <row r="467" ht="15.75" customHeight="1">
      <c r="B467" s="24"/>
      <c r="C467" s="22">
        <v>44813.0</v>
      </c>
      <c r="D467" s="23"/>
    </row>
    <row r="468" ht="15.75" customHeight="1">
      <c r="B468" s="24"/>
      <c r="C468" s="22">
        <v>44814.0</v>
      </c>
      <c r="D468" s="23"/>
    </row>
    <row r="469" ht="15.75" customHeight="1">
      <c r="B469" s="24"/>
      <c r="C469" s="22">
        <v>44815.0</v>
      </c>
      <c r="D469" s="23"/>
    </row>
    <row r="470" ht="15.75" customHeight="1">
      <c r="B470" s="24"/>
      <c r="C470" s="22">
        <v>44816.0</v>
      </c>
      <c r="D470" s="23"/>
    </row>
    <row r="471" ht="15.75" customHeight="1">
      <c r="B471" s="24"/>
      <c r="C471" s="22">
        <v>44817.0</v>
      </c>
      <c r="D471" s="23"/>
    </row>
    <row r="472" ht="15.75" customHeight="1">
      <c r="B472" s="24"/>
      <c r="C472" s="22">
        <v>44818.0</v>
      </c>
      <c r="D472" s="23"/>
    </row>
    <row r="473" ht="15.75" customHeight="1">
      <c r="B473" s="24"/>
      <c r="C473" s="22">
        <v>44819.0</v>
      </c>
      <c r="D473" s="23"/>
    </row>
    <row r="474" ht="15.75" customHeight="1">
      <c r="B474" s="24"/>
      <c r="C474" s="22">
        <v>44820.0</v>
      </c>
      <c r="D474" s="23"/>
    </row>
    <row r="475" ht="15.75" customHeight="1">
      <c r="B475" s="24"/>
      <c r="C475" s="22">
        <v>44821.0</v>
      </c>
      <c r="D475" s="23"/>
    </row>
    <row r="476" ht="15.75" customHeight="1">
      <c r="B476" s="24"/>
      <c r="C476" s="22">
        <v>44822.0</v>
      </c>
      <c r="D476" s="23"/>
    </row>
    <row r="477" ht="15.75" customHeight="1">
      <c r="B477" s="24"/>
      <c r="C477" s="22">
        <v>44823.0</v>
      </c>
      <c r="D477" s="23"/>
    </row>
    <row r="478" ht="15.75" customHeight="1">
      <c r="B478" s="24"/>
      <c r="C478" s="22">
        <v>44824.0</v>
      </c>
      <c r="D478" s="23"/>
    </row>
    <row r="479" ht="15.75" customHeight="1">
      <c r="B479" s="24"/>
      <c r="C479" s="22">
        <v>44825.0</v>
      </c>
      <c r="D479" s="23"/>
    </row>
    <row r="480" ht="15.75" customHeight="1">
      <c r="B480" s="24"/>
      <c r="C480" s="22">
        <v>44826.0</v>
      </c>
      <c r="D480" s="23"/>
    </row>
    <row r="481" ht="15.75" customHeight="1">
      <c r="B481" s="24"/>
      <c r="C481" s="22">
        <v>44827.0</v>
      </c>
      <c r="D481" s="23"/>
    </row>
    <row r="482" ht="15.75" customHeight="1">
      <c r="B482" s="24"/>
      <c r="C482" s="22">
        <v>44828.0</v>
      </c>
      <c r="D482" s="23"/>
    </row>
    <row r="483" ht="15.75" customHeight="1">
      <c r="B483" s="24"/>
      <c r="C483" s="22">
        <v>44829.0</v>
      </c>
      <c r="D483" s="23"/>
    </row>
    <row r="484" ht="15.75" customHeight="1">
      <c r="B484" s="24"/>
      <c r="C484" s="22">
        <v>44830.0</v>
      </c>
      <c r="D484" s="23"/>
    </row>
    <row r="485" ht="15.75" customHeight="1">
      <c r="B485" s="24"/>
      <c r="C485" s="22">
        <v>44831.0</v>
      </c>
      <c r="D485" s="23"/>
    </row>
    <row r="486" ht="15.75" customHeight="1">
      <c r="B486" s="24"/>
      <c r="C486" s="22">
        <v>44832.0</v>
      </c>
      <c r="D486" s="23"/>
    </row>
    <row r="487" ht="15.75" customHeight="1">
      <c r="B487" s="24"/>
      <c r="C487" s="22">
        <v>44833.0</v>
      </c>
      <c r="D487" s="23"/>
    </row>
    <row r="488" ht="15.75" customHeight="1">
      <c r="B488" s="24"/>
      <c r="C488" s="22">
        <v>44834.0</v>
      </c>
      <c r="D488" s="23"/>
    </row>
    <row r="489" ht="15.75" customHeight="1">
      <c r="B489" s="24"/>
      <c r="C489" s="22">
        <v>44835.0</v>
      </c>
      <c r="D489" s="23"/>
    </row>
    <row r="490" ht="15.75" customHeight="1">
      <c r="B490" s="24"/>
      <c r="C490" s="22">
        <v>44836.0</v>
      </c>
      <c r="D490" s="23"/>
    </row>
    <row r="491" ht="15.75" customHeight="1">
      <c r="B491" s="24"/>
      <c r="C491" s="22">
        <v>44837.0</v>
      </c>
      <c r="D491" s="23"/>
    </row>
    <row r="492" ht="15.75" customHeight="1">
      <c r="B492" s="24"/>
      <c r="C492" s="22">
        <v>44838.0</v>
      </c>
      <c r="D492" s="23"/>
    </row>
    <row r="493" ht="15.75" customHeight="1">
      <c r="B493" s="24"/>
      <c r="C493" s="22">
        <v>44839.0</v>
      </c>
      <c r="D493" s="23"/>
    </row>
    <row r="494" ht="15.75" customHeight="1">
      <c r="B494" s="24"/>
      <c r="C494" s="22">
        <v>44840.0</v>
      </c>
      <c r="D494" s="23"/>
    </row>
    <row r="495" ht="15.75" customHeight="1">
      <c r="B495" s="24"/>
      <c r="C495" s="22">
        <v>44841.0</v>
      </c>
      <c r="D495" s="23"/>
    </row>
    <row r="496" ht="15.75" customHeight="1">
      <c r="B496" s="24"/>
      <c r="C496" s="22">
        <v>44842.0</v>
      </c>
      <c r="D496" s="23"/>
    </row>
    <row r="497" ht="15.75" customHeight="1">
      <c r="B497" s="24"/>
      <c r="C497" s="22">
        <v>44843.0</v>
      </c>
      <c r="D497" s="23"/>
    </row>
    <row r="498" ht="15.75" customHeight="1">
      <c r="B498" s="24"/>
      <c r="C498" s="22">
        <v>44844.0</v>
      </c>
      <c r="D498" s="23"/>
    </row>
    <row r="499" ht="15.75" customHeight="1">
      <c r="B499" s="24"/>
      <c r="C499" s="22">
        <v>44845.0</v>
      </c>
      <c r="D499" s="23"/>
    </row>
    <row r="500" ht="15.75" customHeight="1">
      <c r="B500" s="24"/>
      <c r="C500" s="22">
        <v>44846.0</v>
      </c>
      <c r="D500" s="23"/>
    </row>
    <row r="501" ht="15.75" customHeight="1">
      <c r="B501" s="24"/>
      <c r="C501" s="22">
        <v>44847.0</v>
      </c>
      <c r="D501" s="23"/>
    </row>
    <row r="502" ht="15.75" customHeight="1">
      <c r="B502" s="24"/>
      <c r="C502" s="22">
        <v>44848.0</v>
      </c>
      <c r="D502" s="23"/>
    </row>
    <row r="503" ht="15.75" customHeight="1">
      <c r="B503" s="24"/>
      <c r="C503" s="22">
        <v>44849.0</v>
      </c>
      <c r="D503" s="23"/>
    </row>
    <row r="504" ht="15.75" customHeight="1">
      <c r="B504" s="24"/>
      <c r="C504" s="22">
        <v>44850.0</v>
      </c>
      <c r="D504" s="23"/>
    </row>
    <row r="505" ht="15.75" customHeight="1">
      <c r="B505" s="24"/>
      <c r="C505" s="22">
        <v>44851.0</v>
      </c>
      <c r="D505" s="23"/>
    </row>
    <row r="506" ht="15.75" customHeight="1">
      <c r="B506" s="24"/>
      <c r="C506" s="22">
        <v>44852.0</v>
      </c>
      <c r="D506" s="23"/>
    </row>
    <row r="507" ht="15.75" customHeight="1">
      <c r="B507" s="24"/>
      <c r="C507" s="22">
        <v>44853.0</v>
      </c>
      <c r="D507" s="23"/>
    </row>
    <row r="508" ht="15.75" customHeight="1">
      <c r="B508" s="24"/>
      <c r="C508" s="22">
        <v>44854.0</v>
      </c>
      <c r="D508" s="23"/>
    </row>
    <row r="509" ht="15.75" customHeight="1">
      <c r="B509" s="24"/>
      <c r="C509" s="22">
        <v>44855.0</v>
      </c>
      <c r="D509" s="23"/>
    </row>
    <row r="510" ht="15.75" customHeight="1">
      <c r="B510" s="24"/>
      <c r="C510" s="22">
        <v>44856.0</v>
      </c>
      <c r="D510" s="23"/>
    </row>
    <row r="511" ht="15.75" customHeight="1">
      <c r="B511" s="24"/>
      <c r="C511" s="22">
        <v>44857.0</v>
      </c>
      <c r="D511" s="23"/>
    </row>
    <row r="512" ht="15.75" customHeight="1">
      <c r="B512" s="24"/>
      <c r="C512" s="22">
        <v>44858.0</v>
      </c>
      <c r="D512" s="23"/>
    </row>
    <row r="513" ht="15.75" customHeight="1">
      <c r="B513" s="24"/>
      <c r="C513" s="22">
        <v>44859.0</v>
      </c>
      <c r="D513" s="23"/>
    </row>
    <row r="514" ht="15.75" customHeight="1">
      <c r="B514" s="24"/>
      <c r="C514" s="22">
        <v>44860.0</v>
      </c>
      <c r="D514" s="23"/>
    </row>
    <row r="515" ht="15.75" customHeight="1">
      <c r="B515" s="24"/>
      <c r="C515" s="22">
        <v>44861.0</v>
      </c>
      <c r="D515" s="23"/>
    </row>
    <row r="516" ht="15.75" customHeight="1">
      <c r="B516" s="24"/>
      <c r="C516" s="22">
        <v>44862.0</v>
      </c>
      <c r="D516" s="23"/>
    </row>
    <row r="517" ht="15.75" customHeight="1">
      <c r="B517" s="24"/>
      <c r="C517" s="22">
        <v>44863.0</v>
      </c>
      <c r="D517" s="23"/>
    </row>
    <row r="518" ht="15.75" customHeight="1">
      <c r="B518" s="24"/>
      <c r="C518" s="22">
        <v>44864.0</v>
      </c>
      <c r="D518" s="23"/>
    </row>
    <row r="519" ht="15.75" customHeight="1">
      <c r="B519" s="24"/>
      <c r="C519" s="22">
        <v>44865.0</v>
      </c>
      <c r="D519" s="23"/>
    </row>
    <row r="520" ht="15.75" customHeight="1">
      <c r="B520" s="24"/>
      <c r="C520" s="22">
        <v>44866.0</v>
      </c>
      <c r="D520" s="23"/>
    </row>
    <row r="521" ht="15.75" customHeight="1">
      <c r="B521" s="24"/>
      <c r="C521" s="22">
        <v>44867.0</v>
      </c>
      <c r="D521" s="23"/>
    </row>
    <row r="522" ht="15.75" customHeight="1">
      <c r="B522" s="24"/>
      <c r="C522" s="22">
        <v>44868.0</v>
      </c>
      <c r="D522" s="23"/>
    </row>
    <row r="523" ht="15.75" customHeight="1">
      <c r="B523" s="24"/>
      <c r="C523" s="22">
        <v>44869.0</v>
      </c>
      <c r="D523" s="23"/>
    </row>
    <row r="524" ht="15.75" customHeight="1">
      <c r="B524" s="24"/>
      <c r="C524" s="22">
        <v>44870.0</v>
      </c>
      <c r="D524" s="23"/>
    </row>
    <row r="525" ht="15.75" customHeight="1">
      <c r="B525" s="24"/>
      <c r="C525" s="22">
        <v>44871.0</v>
      </c>
      <c r="D525" s="23"/>
    </row>
    <row r="526" ht="15.75" customHeight="1">
      <c r="B526" s="24"/>
      <c r="C526" s="22">
        <v>44872.0</v>
      </c>
      <c r="D526" s="23"/>
    </row>
    <row r="527" ht="15.75" customHeight="1">
      <c r="B527" s="24"/>
      <c r="C527" s="22">
        <v>44873.0</v>
      </c>
      <c r="D527" s="23"/>
    </row>
    <row r="528" ht="15.75" customHeight="1">
      <c r="B528" s="24"/>
      <c r="C528" s="22">
        <v>44874.0</v>
      </c>
      <c r="D528" s="23"/>
    </row>
    <row r="529" ht="15.75" customHeight="1">
      <c r="B529" s="24"/>
      <c r="C529" s="22">
        <v>44875.0</v>
      </c>
      <c r="D529" s="23"/>
    </row>
    <row r="530" ht="15.75" customHeight="1">
      <c r="B530" s="24"/>
      <c r="C530" s="22">
        <v>44876.0</v>
      </c>
      <c r="D530" s="23"/>
    </row>
    <row r="531" ht="15.75" customHeight="1">
      <c r="B531" s="24"/>
      <c r="C531" s="22">
        <v>44877.0</v>
      </c>
      <c r="D531" s="23"/>
    </row>
    <row r="532" ht="15.75" customHeight="1">
      <c r="B532" s="24"/>
      <c r="C532" s="22">
        <v>44878.0</v>
      </c>
      <c r="D532" s="23"/>
    </row>
    <row r="533" ht="15.75" customHeight="1">
      <c r="B533" s="24"/>
      <c r="C533" s="22">
        <v>44879.0</v>
      </c>
      <c r="D533" s="23"/>
    </row>
    <row r="534" ht="15.75" customHeight="1">
      <c r="B534" s="24"/>
      <c r="C534" s="22">
        <v>44880.0</v>
      </c>
      <c r="D534" s="23"/>
    </row>
    <row r="535" ht="15.75" customHeight="1">
      <c r="B535" s="24"/>
      <c r="C535" s="22">
        <v>44881.0</v>
      </c>
      <c r="D535" s="23"/>
    </row>
    <row r="536" ht="15.75" customHeight="1">
      <c r="B536" s="24"/>
      <c r="C536" s="22">
        <v>44882.0</v>
      </c>
      <c r="D536" s="23"/>
    </row>
    <row r="537" ht="15.75" customHeight="1">
      <c r="B537" s="24"/>
      <c r="C537" s="22">
        <v>44883.0</v>
      </c>
      <c r="D537" s="23"/>
    </row>
    <row r="538" ht="15.75" customHeight="1">
      <c r="B538" s="24"/>
      <c r="C538" s="22">
        <v>44884.0</v>
      </c>
      <c r="D538" s="23"/>
    </row>
    <row r="539" ht="15.75" customHeight="1">
      <c r="B539" s="24"/>
      <c r="C539" s="22">
        <v>44885.0</v>
      </c>
      <c r="D539" s="23"/>
    </row>
    <row r="540" ht="15.75" customHeight="1">
      <c r="B540" s="24"/>
      <c r="C540" s="22">
        <v>44886.0</v>
      </c>
      <c r="D540" s="23"/>
    </row>
    <row r="541" ht="15.75" customHeight="1">
      <c r="B541" s="24"/>
      <c r="C541" s="22">
        <v>44887.0</v>
      </c>
      <c r="D541" s="23"/>
    </row>
    <row r="542" ht="15.75" customHeight="1">
      <c r="B542" s="24"/>
      <c r="C542" s="22">
        <v>44888.0</v>
      </c>
      <c r="D542" s="23"/>
    </row>
    <row r="543" ht="15.75" customHeight="1">
      <c r="B543" s="24"/>
      <c r="C543" s="22">
        <v>44889.0</v>
      </c>
      <c r="D543" s="23"/>
    </row>
    <row r="544" ht="15.75" customHeight="1">
      <c r="B544" s="24"/>
      <c r="C544" s="22">
        <v>44890.0</v>
      </c>
      <c r="D544" s="23"/>
    </row>
    <row r="545" ht="15.75" customHeight="1">
      <c r="B545" s="24"/>
      <c r="C545" s="22">
        <v>44891.0</v>
      </c>
      <c r="D545" s="23"/>
    </row>
    <row r="546" ht="15.75" customHeight="1">
      <c r="B546" s="24"/>
      <c r="C546" s="22">
        <v>44892.0</v>
      </c>
      <c r="D546" s="23"/>
    </row>
    <row r="547" ht="15.75" customHeight="1">
      <c r="B547" s="24"/>
      <c r="C547" s="22">
        <v>44893.0</v>
      </c>
      <c r="D547" s="23"/>
    </row>
    <row r="548" ht="15.75" customHeight="1">
      <c r="B548" s="24"/>
      <c r="C548" s="22">
        <v>44894.0</v>
      </c>
      <c r="D548" s="23"/>
    </row>
    <row r="549" ht="15.75" customHeight="1">
      <c r="B549" s="24"/>
      <c r="C549" s="22">
        <v>44895.0</v>
      </c>
      <c r="D549" s="23"/>
    </row>
    <row r="550" ht="15.75" customHeight="1">
      <c r="B550" s="24"/>
      <c r="C550" s="22">
        <v>44896.0</v>
      </c>
      <c r="D550" s="23"/>
    </row>
    <row r="551" ht="15.75" customHeight="1">
      <c r="B551" s="24"/>
      <c r="C551" s="22">
        <v>44897.0</v>
      </c>
      <c r="D551" s="23"/>
    </row>
    <row r="552" ht="15.75" customHeight="1">
      <c r="B552" s="24"/>
      <c r="C552" s="22">
        <v>44898.0</v>
      </c>
      <c r="D552" s="23"/>
    </row>
    <row r="553" ht="15.75" customHeight="1">
      <c r="B553" s="24"/>
      <c r="C553" s="22">
        <v>44899.0</v>
      </c>
      <c r="D553" s="23"/>
    </row>
    <row r="554" ht="15.75" customHeight="1">
      <c r="B554" s="24"/>
      <c r="C554" s="22">
        <v>44900.0</v>
      </c>
      <c r="D554" s="23"/>
    </row>
    <row r="555" ht="15.75" customHeight="1">
      <c r="B555" s="24"/>
      <c r="C555" s="22">
        <v>44901.0</v>
      </c>
      <c r="D555" s="23"/>
    </row>
    <row r="556" ht="15.75" customHeight="1">
      <c r="B556" s="24"/>
      <c r="C556" s="22">
        <v>44902.0</v>
      </c>
      <c r="D556" s="23"/>
    </row>
    <row r="557" ht="15.75" customHeight="1">
      <c r="B557" s="24"/>
      <c r="C557" s="22">
        <v>44903.0</v>
      </c>
      <c r="D557" s="23"/>
    </row>
    <row r="558" ht="15.75" customHeight="1">
      <c r="B558" s="24"/>
      <c r="C558" s="22">
        <v>44904.0</v>
      </c>
      <c r="D558" s="23"/>
    </row>
    <row r="559" ht="15.75" customHeight="1">
      <c r="B559" s="24"/>
      <c r="C559" s="22">
        <v>44905.0</v>
      </c>
      <c r="D559" s="23"/>
    </row>
    <row r="560" ht="15.75" customHeight="1">
      <c r="B560" s="24"/>
      <c r="C560" s="22">
        <v>44906.0</v>
      </c>
      <c r="D560" s="23"/>
    </row>
    <row r="561" ht="15.75" customHeight="1">
      <c r="B561" s="24"/>
      <c r="C561" s="22">
        <v>44907.0</v>
      </c>
      <c r="D561" s="23"/>
    </row>
    <row r="562" ht="15.75" customHeight="1">
      <c r="B562" s="24"/>
      <c r="C562" s="22">
        <v>44908.0</v>
      </c>
      <c r="D562" s="23"/>
    </row>
    <row r="563" ht="15.75" customHeight="1">
      <c r="B563" s="24"/>
      <c r="C563" s="22">
        <v>44909.0</v>
      </c>
      <c r="D563" s="23"/>
    </row>
    <row r="564" ht="15.75" customHeight="1">
      <c r="B564" s="24"/>
      <c r="C564" s="22">
        <v>44910.0</v>
      </c>
      <c r="D564" s="23"/>
    </row>
    <row r="565" ht="15.75" customHeight="1">
      <c r="B565" s="24"/>
      <c r="C565" s="22">
        <v>44911.0</v>
      </c>
      <c r="D565" s="23"/>
    </row>
    <row r="566" ht="15.75" customHeight="1">
      <c r="B566" s="24"/>
      <c r="C566" s="22">
        <v>44912.0</v>
      </c>
      <c r="D566" s="23"/>
    </row>
    <row r="567" ht="15.75" customHeight="1">
      <c r="B567" s="24"/>
      <c r="C567" s="22">
        <v>44913.0</v>
      </c>
      <c r="D567" s="23"/>
    </row>
    <row r="568" ht="15.75" customHeight="1">
      <c r="B568" s="24"/>
      <c r="C568" s="22">
        <v>44914.0</v>
      </c>
      <c r="D568" s="23"/>
    </row>
    <row r="569" ht="15.75" customHeight="1">
      <c r="B569" s="24"/>
      <c r="C569" s="22">
        <v>44915.0</v>
      </c>
      <c r="D569" s="23"/>
    </row>
    <row r="570" ht="15.75" customHeight="1">
      <c r="B570" s="24"/>
      <c r="C570" s="22">
        <v>44916.0</v>
      </c>
      <c r="D570" s="23"/>
    </row>
    <row r="571" ht="15.75" customHeight="1">
      <c r="B571" s="24"/>
      <c r="C571" s="22">
        <v>44917.0</v>
      </c>
      <c r="D571" s="23"/>
    </row>
    <row r="572" ht="15.75" customHeight="1">
      <c r="B572" s="24"/>
      <c r="C572" s="22">
        <v>44918.0</v>
      </c>
      <c r="D572" s="23"/>
    </row>
    <row r="573" ht="15.75" customHeight="1">
      <c r="B573" s="24"/>
      <c r="C573" s="22">
        <v>44919.0</v>
      </c>
      <c r="D573" s="23"/>
    </row>
    <row r="574" ht="15.75" customHeight="1">
      <c r="B574" s="24"/>
      <c r="C574" s="22">
        <v>44920.0</v>
      </c>
      <c r="D574" s="23"/>
    </row>
    <row r="575" ht="15.75" customHeight="1">
      <c r="B575" s="24"/>
      <c r="C575" s="22">
        <v>44921.0</v>
      </c>
      <c r="D575" s="23"/>
    </row>
    <row r="576" ht="15.75" customHeight="1">
      <c r="B576" s="24"/>
      <c r="C576" s="22">
        <v>44922.0</v>
      </c>
      <c r="D576" s="23"/>
    </row>
    <row r="577" ht="15.75" customHeight="1">
      <c r="B577" s="24"/>
      <c r="C577" s="22">
        <v>44923.0</v>
      </c>
      <c r="D577" s="23"/>
    </row>
    <row r="578" ht="15.75" customHeight="1">
      <c r="B578" s="24"/>
      <c r="C578" s="22">
        <v>44924.0</v>
      </c>
      <c r="D578" s="23"/>
    </row>
    <row r="579" ht="15.75" customHeight="1">
      <c r="B579" s="24"/>
      <c r="C579" s="22">
        <v>44925.0</v>
      </c>
      <c r="D579" s="23"/>
    </row>
    <row r="580" ht="15.75" customHeight="1">
      <c r="B580" s="24"/>
      <c r="C580" s="22">
        <v>44926.0</v>
      </c>
      <c r="D580" s="23"/>
    </row>
    <row r="581" ht="15.75" customHeight="1">
      <c r="B581" s="24"/>
      <c r="C581" s="22">
        <v>44927.0</v>
      </c>
      <c r="D581" s="23"/>
    </row>
    <row r="582" ht="15.75" customHeight="1">
      <c r="B582" s="24"/>
      <c r="C582" s="22">
        <v>44928.0</v>
      </c>
      <c r="D582" s="23"/>
    </row>
    <row r="583" ht="15.75" customHeight="1">
      <c r="B583" s="24"/>
      <c r="C583" s="22">
        <v>44929.0</v>
      </c>
      <c r="D583" s="23"/>
    </row>
    <row r="584" ht="15.75" customHeight="1">
      <c r="B584" s="24"/>
      <c r="C584" s="22">
        <v>44930.0</v>
      </c>
      <c r="D584" s="23"/>
    </row>
    <row r="585" ht="15.75" customHeight="1">
      <c r="B585" s="24"/>
      <c r="C585" s="22">
        <v>44931.0</v>
      </c>
      <c r="D585" s="23"/>
    </row>
    <row r="586" ht="15.75" customHeight="1">
      <c r="B586" s="24"/>
      <c r="C586" s="22">
        <v>44932.0</v>
      </c>
      <c r="D586" s="23"/>
    </row>
    <row r="587" ht="15.75" customHeight="1">
      <c r="B587" s="24"/>
      <c r="C587" s="22">
        <v>44933.0</v>
      </c>
      <c r="D587" s="23"/>
    </row>
    <row r="588" ht="15.75" customHeight="1">
      <c r="B588" s="24"/>
      <c r="C588" s="22">
        <v>44934.0</v>
      </c>
      <c r="D588" s="23"/>
    </row>
    <row r="589" ht="15.75" customHeight="1">
      <c r="B589" s="24"/>
      <c r="C589" s="22">
        <v>44935.0</v>
      </c>
      <c r="D589" s="23"/>
    </row>
    <row r="590" ht="15.75" customHeight="1">
      <c r="B590" s="24"/>
      <c r="C590" s="22">
        <v>44936.0</v>
      </c>
      <c r="D590" s="23"/>
    </row>
    <row r="591" ht="15.75" customHeight="1">
      <c r="B591" s="24"/>
      <c r="C591" s="22">
        <v>44937.0</v>
      </c>
      <c r="D591" s="23"/>
    </row>
    <row r="592" ht="15.75" customHeight="1">
      <c r="B592" s="24"/>
      <c r="C592" s="22">
        <v>44938.0</v>
      </c>
      <c r="D592" s="23"/>
    </row>
    <row r="593" ht="15.75" customHeight="1">
      <c r="B593" s="24"/>
      <c r="C593" s="22">
        <v>44939.0</v>
      </c>
      <c r="D593" s="23"/>
    </row>
    <row r="594" ht="15.75" customHeight="1">
      <c r="B594" s="24"/>
      <c r="C594" s="22">
        <v>44940.0</v>
      </c>
      <c r="D594" s="23"/>
    </row>
    <row r="595" ht="15.75" customHeight="1">
      <c r="B595" s="24"/>
      <c r="C595" s="22">
        <v>44941.0</v>
      </c>
      <c r="D595" s="23"/>
    </row>
    <row r="596" ht="15.75" customHeight="1">
      <c r="B596" s="24"/>
      <c r="C596" s="22">
        <v>44942.0</v>
      </c>
      <c r="D596" s="23"/>
    </row>
    <row r="597" ht="15.75" customHeight="1">
      <c r="B597" s="24"/>
      <c r="C597" s="22">
        <v>44943.0</v>
      </c>
      <c r="D597" s="23"/>
    </row>
    <row r="598" ht="15.75" customHeight="1">
      <c r="B598" s="24"/>
      <c r="C598" s="22">
        <v>44944.0</v>
      </c>
      <c r="D598" s="23"/>
    </row>
    <row r="599" ht="15.75" customHeight="1">
      <c r="B599" s="24"/>
      <c r="C599" s="22">
        <v>44945.0</v>
      </c>
      <c r="D599" s="23"/>
    </row>
    <row r="600" ht="15.75" customHeight="1">
      <c r="B600" s="24"/>
      <c r="C600" s="22">
        <v>44946.0</v>
      </c>
      <c r="D600" s="23"/>
    </row>
    <row r="601" ht="15.75" customHeight="1">
      <c r="B601" s="24"/>
      <c r="C601" s="22">
        <v>44947.0</v>
      </c>
      <c r="D601" s="23"/>
    </row>
    <row r="602" ht="15.75" customHeight="1">
      <c r="B602" s="24"/>
      <c r="C602" s="22">
        <v>44948.0</v>
      </c>
      <c r="D602" s="23"/>
    </row>
    <row r="603" ht="15.75" customHeight="1">
      <c r="B603" s="24"/>
      <c r="C603" s="22">
        <v>44949.0</v>
      </c>
      <c r="D603" s="23"/>
    </row>
    <row r="604" ht="15.75" customHeight="1">
      <c r="B604" s="24"/>
      <c r="C604" s="22">
        <v>44950.0</v>
      </c>
      <c r="D604" s="23"/>
    </row>
    <row r="605" ht="15.75" customHeight="1">
      <c r="B605" s="24"/>
      <c r="C605" s="22">
        <v>44951.0</v>
      </c>
      <c r="D605" s="23"/>
    </row>
    <row r="606" ht="15.75" customHeight="1">
      <c r="B606" s="24"/>
      <c r="C606" s="22">
        <v>44952.0</v>
      </c>
      <c r="D606" s="23"/>
    </row>
    <row r="607" ht="15.75" customHeight="1">
      <c r="B607" s="24"/>
      <c r="C607" s="22">
        <v>44953.0</v>
      </c>
      <c r="D607" s="23"/>
    </row>
    <row r="608" ht="15.75" customHeight="1">
      <c r="B608" s="24"/>
      <c r="C608" s="22">
        <v>44954.0</v>
      </c>
      <c r="D608" s="23"/>
    </row>
    <row r="609" ht="15.75" customHeight="1">
      <c r="B609" s="24"/>
      <c r="C609" s="22">
        <v>44955.0</v>
      </c>
      <c r="D609" s="23"/>
    </row>
    <row r="610" ht="15.75" customHeight="1">
      <c r="B610" s="24"/>
      <c r="C610" s="22">
        <v>44956.0</v>
      </c>
      <c r="D610" s="23"/>
    </row>
    <row r="611" ht="15.75" customHeight="1">
      <c r="B611" s="24"/>
      <c r="C611" s="22">
        <v>44957.0</v>
      </c>
      <c r="D611" s="23"/>
    </row>
    <row r="612" ht="15.75" customHeight="1">
      <c r="B612" s="24"/>
      <c r="C612" s="22">
        <v>44958.0</v>
      </c>
      <c r="D612" s="23"/>
    </row>
    <row r="613" ht="15.75" customHeight="1">
      <c r="B613" s="24"/>
      <c r="C613" s="22">
        <v>44959.0</v>
      </c>
      <c r="D613" s="23"/>
    </row>
    <row r="614" ht="15.75" customHeight="1">
      <c r="B614" s="24"/>
      <c r="C614" s="22">
        <v>44960.0</v>
      </c>
      <c r="D614" s="23"/>
    </row>
    <row r="615" ht="15.75" customHeight="1">
      <c r="B615" s="24"/>
      <c r="C615" s="22">
        <v>44961.0</v>
      </c>
      <c r="D615" s="23"/>
    </row>
    <row r="616" ht="15.75" customHeight="1">
      <c r="B616" s="24"/>
      <c r="C616" s="22">
        <v>44962.0</v>
      </c>
      <c r="D616" s="23"/>
    </row>
    <row r="617" ht="15.75" customHeight="1">
      <c r="B617" s="24"/>
      <c r="C617" s="22">
        <v>44963.0</v>
      </c>
      <c r="D617" s="23"/>
    </row>
    <row r="618" ht="15.75" customHeight="1">
      <c r="B618" s="24"/>
      <c r="C618" s="22">
        <v>44964.0</v>
      </c>
      <c r="D618" s="23"/>
    </row>
    <row r="619" ht="15.75" customHeight="1">
      <c r="B619" s="24"/>
      <c r="C619" s="22">
        <v>44965.0</v>
      </c>
      <c r="D619" s="23"/>
    </row>
    <row r="620" ht="15.75" customHeight="1">
      <c r="B620" s="24"/>
      <c r="C620" s="22">
        <v>44966.0</v>
      </c>
      <c r="D620" s="23"/>
    </row>
    <row r="621" ht="15.75" customHeight="1">
      <c r="B621" s="24"/>
      <c r="C621" s="22">
        <v>44967.0</v>
      </c>
      <c r="D621" s="23"/>
    </row>
    <row r="622" ht="15.75" customHeight="1">
      <c r="B622" s="24"/>
      <c r="C622" s="22">
        <v>44968.0</v>
      </c>
      <c r="D622" s="23"/>
    </row>
    <row r="623" ht="15.75" customHeight="1">
      <c r="B623" s="24"/>
      <c r="C623" s="22">
        <v>44969.0</v>
      </c>
      <c r="D623" s="23"/>
    </row>
    <row r="624" ht="15.75" customHeight="1">
      <c r="B624" s="24"/>
      <c r="C624" s="22">
        <v>44970.0</v>
      </c>
      <c r="D624" s="23"/>
    </row>
    <row r="625" ht="15.75" customHeight="1">
      <c r="B625" s="24"/>
      <c r="C625" s="22">
        <v>44971.0</v>
      </c>
      <c r="D625" s="23"/>
    </row>
    <row r="626" ht="15.75" customHeight="1">
      <c r="B626" s="24"/>
      <c r="C626" s="22">
        <v>44972.0</v>
      </c>
      <c r="D626" s="23"/>
    </row>
    <row r="627" ht="15.75" customHeight="1">
      <c r="B627" s="24"/>
      <c r="C627" s="22">
        <v>44973.0</v>
      </c>
      <c r="D627" s="23"/>
    </row>
    <row r="628" ht="15.75" customHeight="1">
      <c r="B628" s="24"/>
      <c r="C628" s="22">
        <v>44974.0</v>
      </c>
      <c r="D628" s="23"/>
    </row>
    <row r="629" ht="15.75" customHeight="1">
      <c r="B629" s="24"/>
      <c r="C629" s="22">
        <v>44975.0</v>
      </c>
      <c r="D629" s="23"/>
    </row>
    <row r="630" ht="15.75" customHeight="1">
      <c r="B630" s="24"/>
      <c r="C630" s="22">
        <v>44976.0</v>
      </c>
      <c r="D630" s="23"/>
    </row>
    <row r="631" ht="15.75" customHeight="1">
      <c r="B631" s="24"/>
      <c r="C631" s="22">
        <v>44977.0</v>
      </c>
      <c r="D631" s="23"/>
    </row>
    <row r="632" ht="15.75" customHeight="1">
      <c r="B632" s="24"/>
      <c r="C632" s="22">
        <v>44978.0</v>
      </c>
      <c r="D632" s="23"/>
    </row>
    <row r="633" ht="15.75" customHeight="1">
      <c r="B633" s="24"/>
      <c r="C633" s="22">
        <v>44979.0</v>
      </c>
      <c r="D633" s="23"/>
    </row>
    <row r="634" ht="15.75" customHeight="1">
      <c r="B634" s="24"/>
      <c r="C634" s="22">
        <v>44980.0</v>
      </c>
      <c r="D634" s="23"/>
    </row>
    <row r="635" ht="15.75" customHeight="1">
      <c r="B635" s="24"/>
      <c r="C635" s="22">
        <v>44981.0</v>
      </c>
      <c r="D635" s="23"/>
    </row>
    <row r="636" ht="15.75" customHeight="1">
      <c r="B636" s="24"/>
      <c r="C636" s="22">
        <v>44982.0</v>
      </c>
      <c r="D636" s="23"/>
    </row>
    <row r="637" ht="15.75" customHeight="1">
      <c r="B637" s="24"/>
      <c r="C637" s="22">
        <v>44983.0</v>
      </c>
      <c r="D637" s="23"/>
    </row>
    <row r="638" ht="15.75" customHeight="1">
      <c r="B638" s="24"/>
      <c r="C638" s="22">
        <v>44984.0</v>
      </c>
      <c r="D638" s="23"/>
    </row>
    <row r="639" ht="15.75" customHeight="1">
      <c r="B639" s="24"/>
      <c r="C639" s="22">
        <v>44985.0</v>
      </c>
      <c r="D639" s="23"/>
    </row>
    <row r="640" ht="15.75" customHeight="1">
      <c r="B640" s="24"/>
      <c r="C640" s="22">
        <v>44986.0</v>
      </c>
      <c r="D640" s="23"/>
    </row>
    <row r="641" ht="15.75" customHeight="1">
      <c r="B641" s="24"/>
      <c r="C641" s="22">
        <v>44987.0</v>
      </c>
      <c r="D641" s="23"/>
    </row>
    <row r="642" ht="15.75" customHeight="1">
      <c r="B642" s="24"/>
      <c r="C642" s="22">
        <v>44988.0</v>
      </c>
      <c r="D642" s="23"/>
    </row>
    <row r="643" ht="15.75" customHeight="1">
      <c r="B643" s="24"/>
      <c r="C643" s="22">
        <v>44989.0</v>
      </c>
      <c r="D643" s="23"/>
    </row>
    <row r="644" ht="15.75" customHeight="1">
      <c r="B644" s="24"/>
      <c r="C644" s="22">
        <v>44990.0</v>
      </c>
      <c r="D644" s="23"/>
    </row>
    <row r="645" ht="15.75" customHeight="1">
      <c r="B645" s="24"/>
      <c r="C645" s="22">
        <v>44991.0</v>
      </c>
      <c r="D645" s="23"/>
    </row>
    <row r="646" ht="15.75" customHeight="1">
      <c r="B646" s="24"/>
      <c r="C646" s="22">
        <v>44992.0</v>
      </c>
      <c r="D646" s="23"/>
    </row>
    <row r="647" ht="15.75" customHeight="1">
      <c r="B647" s="24"/>
      <c r="C647" s="22">
        <v>44993.0</v>
      </c>
      <c r="D647" s="23"/>
    </row>
    <row r="648" ht="15.75" customHeight="1">
      <c r="B648" s="24"/>
      <c r="C648" s="22">
        <v>44994.0</v>
      </c>
      <c r="D648" s="23"/>
    </row>
    <row r="649" ht="15.75" customHeight="1">
      <c r="B649" s="24"/>
      <c r="C649" s="22">
        <v>44995.0</v>
      </c>
      <c r="D649" s="23"/>
    </row>
    <row r="650" ht="15.75" customHeight="1">
      <c r="B650" s="24"/>
      <c r="C650" s="22">
        <v>44996.0</v>
      </c>
      <c r="D650" s="23"/>
    </row>
    <row r="651" ht="15.75" customHeight="1">
      <c r="B651" s="24"/>
      <c r="C651" s="22">
        <v>44997.0</v>
      </c>
      <c r="D651" s="23"/>
    </row>
    <row r="652" ht="15.75" customHeight="1">
      <c r="B652" s="24"/>
      <c r="C652" s="22">
        <v>44998.0</v>
      </c>
      <c r="D652" s="23"/>
    </row>
    <row r="653" ht="15.75" customHeight="1">
      <c r="B653" s="24"/>
      <c r="C653" s="22">
        <v>44999.0</v>
      </c>
      <c r="D653" s="23"/>
    </row>
    <row r="654" ht="15.75" customHeight="1">
      <c r="B654" s="24"/>
      <c r="C654" s="22">
        <v>45000.0</v>
      </c>
      <c r="D654" s="23"/>
    </row>
    <row r="655" ht="15.75" customHeight="1">
      <c r="B655" s="24"/>
      <c r="C655" s="22">
        <v>45001.0</v>
      </c>
      <c r="D655" s="23"/>
    </row>
    <row r="656" ht="15.75" customHeight="1">
      <c r="B656" s="24"/>
      <c r="C656" s="22">
        <v>45002.0</v>
      </c>
      <c r="D656" s="23"/>
    </row>
    <row r="657" ht="15.75" customHeight="1">
      <c r="B657" s="24"/>
      <c r="C657" s="22">
        <v>45003.0</v>
      </c>
      <c r="D657" s="23"/>
    </row>
    <row r="658" ht="15.75" customHeight="1">
      <c r="B658" s="24"/>
      <c r="C658" s="22">
        <v>45004.0</v>
      </c>
      <c r="D658" s="23"/>
    </row>
    <row r="659" ht="15.75" customHeight="1">
      <c r="B659" s="24"/>
      <c r="C659" s="22">
        <v>45005.0</v>
      </c>
      <c r="D659" s="23"/>
    </row>
    <row r="660" ht="15.75" customHeight="1">
      <c r="B660" s="24"/>
      <c r="C660" s="22">
        <v>45006.0</v>
      </c>
      <c r="D660" s="23"/>
    </row>
    <row r="661" ht="15.75" customHeight="1">
      <c r="B661" s="24"/>
      <c r="C661" s="22">
        <v>45007.0</v>
      </c>
      <c r="D661" s="23"/>
    </row>
    <row r="662" ht="15.75" customHeight="1">
      <c r="B662" s="24"/>
      <c r="C662" s="22">
        <v>45008.0</v>
      </c>
      <c r="D662" s="23"/>
    </row>
    <row r="663" ht="15.75" customHeight="1">
      <c r="B663" s="24"/>
      <c r="C663" s="22">
        <v>45009.0</v>
      </c>
      <c r="D663" s="23"/>
    </row>
    <row r="664" ht="15.75" customHeight="1">
      <c r="B664" s="24"/>
      <c r="C664" s="22">
        <v>45010.0</v>
      </c>
      <c r="D664" s="23"/>
    </row>
    <row r="665" ht="15.75" customHeight="1">
      <c r="B665" s="24"/>
      <c r="C665" s="22">
        <v>45011.0</v>
      </c>
      <c r="D665" s="23"/>
    </row>
    <row r="666" ht="15.75" customHeight="1">
      <c r="B666" s="24"/>
      <c r="C666" s="22">
        <v>45012.0</v>
      </c>
      <c r="D666" s="23"/>
    </row>
    <row r="667" ht="15.75" customHeight="1">
      <c r="B667" s="24"/>
      <c r="C667" s="22">
        <v>45013.0</v>
      </c>
      <c r="D667" s="23"/>
    </row>
    <row r="668" ht="15.75" customHeight="1">
      <c r="B668" s="24"/>
      <c r="C668" s="22">
        <v>45014.0</v>
      </c>
      <c r="D668" s="23"/>
    </row>
    <row r="669" ht="15.75" customHeight="1">
      <c r="B669" s="24"/>
      <c r="C669" s="22">
        <v>45015.0</v>
      </c>
      <c r="D669" s="23"/>
    </row>
    <row r="670" ht="15.75" customHeight="1">
      <c r="B670" s="24"/>
      <c r="C670" s="22">
        <v>45016.0</v>
      </c>
      <c r="D670" s="23"/>
    </row>
    <row r="671" ht="15.75" customHeight="1">
      <c r="B671" s="24"/>
      <c r="C671" s="22">
        <v>45017.0</v>
      </c>
      <c r="D671" s="23"/>
    </row>
    <row r="672" ht="15.75" customHeight="1">
      <c r="B672" s="24"/>
      <c r="C672" s="22">
        <v>45018.0</v>
      </c>
      <c r="D672" s="23"/>
    </row>
    <row r="673" ht="15.75" customHeight="1">
      <c r="B673" s="24"/>
      <c r="C673" s="22">
        <v>45019.0</v>
      </c>
      <c r="D673" s="23"/>
    </row>
    <row r="674" ht="15.75" customHeight="1">
      <c r="B674" s="24"/>
      <c r="C674" s="22">
        <v>45020.0</v>
      </c>
      <c r="D674" s="23"/>
    </row>
    <row r="675" ht="15.75" customHeight="1">
      <c r="B675" s="24"/>
      <c r="C675" s="22">
        <v>45021.0</v>
      </c>
      <c r="D675" s="23"/>
    </row>
    <row r="676" ht="15.75" customHeight="1">
      <c r="B676" s="24"/>
      <c r="C676" s="22">
        <v>45022.0</v>
      </c>
      <c r="D676" s="23"/>
    </row>
    <row r="677" ht="15.75" customHeight="1">
      <c r="B677" s="24"/>
      <c r="C677" s="22">
        <v>45023.0</v>
      </c>
      <c r="D677" s="23"/>
    </row>
    <row r="678" ht="15.75" customHeight="1">
      <c r="B678" s="24"/>
      <c r="C678" s="22">
        <v>45024.0</v>
      </c>
      <c r="D678" s="23"/>
    </row>
    <row r="679" ht="15.75" customHeight="1">
      <c r="B679" s="24"/>
      <c r="C679" s="22">
        <v>45025.0</v>
      </c>
      <c r="D679" s="23"/>
    </row>
    <row r="680" ht="15.75" customHeight="1">
      <c r="B680" s="24"/>
      <c r="C680" s="22">
        <v>45026.0</v>
      </c>
      <c r="D680" s="23"/>
    </row>
    <row r="681" ht="15.75" customHeight="1">
      <c r="B681" s="24"/>
      <c r="C681" s="22">
        <v>45027.0</v>
      </c>
      <c r="D681" s="23"/>
    </row>
    <row r="682" ht="15.75" customHeight="1">
      <c r="B682" s="24"/>
      <c r="C682" s="22">
        <v>45028.0</v>
      </c>
      <c r="D682" s="23"/>
    </row>
    <row r="683" ht="15.75" customHeight="1">
      <c r="B683" s="24"/>
      <c r="C683" s="22">
        <v>45029.0</v>
      </c>
      <c r="D683" s="23"/>
    </row>
    <row r="684" ht="15.75" customHeight="1">
      <c r="B684" s="24"/>
      <c r="C684" s="22">
        <v>45030.0</v>
      </c>
      <c r="D684" s="23"/>
    </row>
    <row r="685" ht="15.75" customHeight="1">
      <c r="B685" s="24"/>
      <c r="C685" s="22">
        <v>45031.0</v>
      </c>
      <c r="D685" s="23"/>
    </row>
    <row r="686" ht="15.75" customHeight="1">
      <c r="B686" s="24"/>
      <c r="C686" s="22">
        <v>45032.0</v>
      </c>
      <c r="D686" s="23"/>
    </row>
    <row r="687" ht="15.75" customHeight="1">
      <c r="B687" s="24"/>
      <c r="C687" s="22">
        <v>45033.0</v>
      </c>
      <c r="D687" s="23"/>
    </row>
    <row r="688" ht="15.75" customHeight="1">
      <c r="B688" s="24"/>
      <c r="C688" s="22">
        <v>45034.0</v>
      </c>
      <c r="D688" s="23"/>
    </row>
    <row r="689" ht="15.75" customHeight="1">
      <c r="B689" s="24"/>
      <c r="C689" s="22">
        <v>45035.0</v>
      </c>
      <c r="D689" s="23"/>
    </row>
    <row r="690" ht="15.75" customHeight="1">
      <c r="B690" s="24"/>
      <c r="C690" s="22">
        <v>45036.0</v>
      </c>
      <c r="D690" s="23"/>
    </row>
    <row r="691" ht="15.75" customHeight="1">
      <c r="B691" s="24"/>
      <c r="C691" s="22">
        <v>45037.0</v>
      </c>
      <c r="D691" s="23"/>
    </row>
    <row r="692" ht="15.75" customHeight="1">
      <c r="B692" s="24"/>
      <c r="C692" s="22">
        <v>45038.0</v>
      </c>
      <c r="D692" s="23"/>
    </row>
    <row r="693" ht="15.75" customHeight="1">
      <c r="B693" s="24"/>
      <c r="C693" s="22">
        <v>45039.0</v>
      </c>
      <c r="D693" s="23"/>
    </row>
    <row r="694" ht="15.75" customHeight="1">
      <c r="B694" s="24"/>
      <c r="C694" s="22">
        <v>45040.0</v>
      </c>
      <c r="D694" s="23"/>
    </row>
    <row r="695" ht="15.75" customHeight="1">
      <c r="B695" s="24"/>
      <c r="C695" s="22">
        <v>45041.0</v>
      </c>
      <c r="D695" s="23"/>
    </row>
    <row r="696" ht="15.75" customHeight="1">
      <c r="B696" s="24"/>
      <c r="C696" s="22">
        <v>45042.0</v>
      </c>
      <c r="D696" s="23"/>
    </row>
    <row r="697" ht="15.75" customHeight="1">
      <c r="B697" s="24"/>
      <c r="C697" s="22">
        <v>45043.0</v>
      </c>
      <c r="D697" s="23"/>
    </row>
    <row r="698" ht="15.75" customHeight="1">
      <c r="B698" s="24"/>
      <c r="C698" s="22">
        <v>45044.0</v>
      </c>
      <c r="D698" s="23"/>
    </row>
    <row r="699" ht="15.75" customHeight="1">
      <c r="B699" s="24"/>
      <c r="C699" s="22">
        <v>45045.0</v>
      </c>
      <c r="D699" s="23"/>
    </row>
    <row r="700" ht="15.75" customHeight="1">
      <c r="B700" s="24"/>
      <c r="C700" s="22">
        <v>45046.0</v>
      </c>
      <c r="D700" s="23"/>
    </row>
    <row r="701" ht="15.75" customHeight="1">
      <c r="B701" s="24"/>
      <c r="C701" s="22">
        <v>45047.0</v>
      </c>
      <c r="D701" s="23"/>
    </row>
    <row r="702" ht="15.75" customHeight="1">
      <c r="B702" s="24"/>
      <c r="C702" s="22">
        <v>45048.0</v>
      </c>
      <c r="D702" s="23"/>
    </row>
    <row r="703" ht="15.75" customHeight="1">
      <c r="B703" s="24"/>
      <c r="C703" s="22">
        <v>45049.0</v>
      </c>
      <c r="D703" s="23"/>
    </row>
    <row r="704" ht="15.75" customHeight="1">
      <c r="B704" s="24"/>
      <c r="C704" s="22">
        <v>45050.0</v>
      </c>
      <c r="D704" s="23"/>
    </row>
    <row r="705" ht="15.75" customHeight="1">
      <c r="B705" s="24"/>
      <c r="C705" s="22">
        <v>45051.0</v>
      </c>
      <c r="D705" s="23"/>
    </row>
    <row r="706" ht="15.75" customHeight="1">
      <c r="B706" s="24"/>
      <c r="C706" s="22">
        <v>45052.0</v>
      </c>
      <c r="D706" s="23"/>
    </row>
    <row r="707" ht="15.75" customHeight="1">
      <c r="B707" s="24"/>
      <c r="C707" s="22">
        <v>45053.0</v>
      </c>
      <c r="D707" s="23"/>
    </row>
    <row r="708" ht="15.75" customHeight="1">
      <c r="B708" s="24"/>
      <c r="C708" s="22">
        <v>45054.0</v>
      </c>
      <c r="D708" s="23"/>
    </row>
    <row r="709" ht="15.75" customHeight="1">
      <c r="B709" s="24"/>
      <c r="C709" s="22">
        <v>45055.0</v>
      </c>
      <c r="D709" s="23"/>
    </row>
    <row r="710" ht="15.75" customHeight="1">
      <c r="B710" s="24"/>
      <c r="C710" s="22">
        <v>45056.0</v>
      </c>
      <c r="D710" s="23"/>
    </row>
    <row r="711" ht="15.75" customHeight="1">
      <c r="B711" s="24"/>
      <c r="C711" s="22">
        <v>45057.0</v>
      </c>
      <c r="D711" s="23"/>
    </row>
    <row r="712" ht="15.75" customHeight="1">
      <c r="B712" s="24"/>
      <c r="C712" s="22">
        <v>45058.0</v>
      </c>
      <c r="D712" s="23"/>
    </row>
    <row r="713" ht="15.75" customHeight="1">
      <c r="B713" s="24"/>
      <c r="C713" s="22">
        <v>45059.0</v>
      </c>
      <c r="D713" s="23"/>
    </row>
    <row r="714" ht="15.75" customHeight="1">
      <c r="B714" s="24"/>
      <c r="C714" s="22">
        <v>45060.0</v>
      </c>
      <c r="D714" s="23"/>
    </row>
    <row r="715" ht="15.75" customHeight="1">
      <c r="B715" s="24"/>
      <c r="C715" s="22">
        <v>45061.0</v>
      </c>
      <c r="D715" s="23"/>
    </row>
    <row r="716" ht="15.75" customHeight="1">
      <c r="B716" s="24"/>
      <c r="C716" s="22">
        <v>45062.0</v>
      </c>
      <c r="D716" s="23"/>
    </row>
    <row r="717" ht="15.75" customHeight="1">
      <c r="B717" s="24"/>
      <c r="C717" s="22">
        <v>45063.0</v>
      </c>
      <c r="D717" s="23"/>
    </row>
    <row r="718" ht="15.75" customHeight="1">
      <c r="B718" s="24"/>
      <c r="C718" s="22">
        <v>45064.0</v>
      </c>
      <c r="D718" s="23"/>
    </row>
    <row r="719" ht="15.75" customHeight="1">
      <c r="B719" s="24"/>
      <c r="C719" s="22">
        <v>45065.0</v>
      </c>
      <c r="D719" s="23"/>
    </row>
    <row r="720" ht="15.75" customHeight="1">
      <c r="B720" s="24"/>
      <c r="C720" s="22">
        <v>45066.0</v>
      </c>
      <c r="D720" s="23"/>
    </row>
    <row r="721" ht="15.75" customHeight="1">
      <c r="B721" s="24"/>
      <c r="C721" s="22">
        <v>45067.0</v>
      </c>
      <c r="D721" s="23"/>
    </row>
    <row r="722" ht="15.75" customHeight="1">
      <c r="B722" s="24"/>
      <c r="C722" s="22">
        <v>45068.0</v>
      </c>
      <c r="D722" s="23"/>
    </row>
    <row r="723" ht="15.75" customHeight="1">
      <c r="B723" s="24"/>
      <c r="C723" s="22">
        <v>45069.0</v>
      </c>
      <c r="D723" s="23"/>
    </row>
    <row r="724" ht="15.75" customHeight="1">
      <c r="B724" s="24"/>
      <c r="C724" s="22">
        <v>45070.0</v>
      </c>
      <c r="D724" s="23"/>
    </row>
    <row r="725" ht="15.75" customHeight="1">
      <c r="B725" s="24"/>
      <c r="C725" s="22">
        <v>45071.0</v>
      </c>
      <c r="D725" s="23"/>
    </row>
    <row r="726" ht="15.75" customHeight="1">
      <c r="B726" s="24"/>
      <c r="C726" s="22">
        <v>45072.0</v>
      </c>
      <c r="D726" s="23"/>
    </row>
    <row r="727" ht="15.75" customHeight="1">
      <c r="B727" s="24"/>
      <c r="C727" s="22">
        <v>45073.0</v>
      </c>
      <c r="D727" s="23"/>
    </row>
    <row r="728" ht="15.75" customHeight="1">
      <c r="B728" s="24"/>
      <c r="C728" s="22">
        <v>45074.0</v>
      </c>
      <c r="D728" s="23"/>
    </row>
    <row r="729" ht="15.75" customHeight="1">
      <c r="B729" s="24"/>
      <c r="C729" s="22">
        <v>45075.0</v>
      </c>
      <c r="D729" s="23"/>
    </row>
    <row r="730" ht="15.75" customHeight="1">
      <c r="B730" s="24"/>
      <c r="C730" s="22">
        <v>45076.0</v>
      </c>
      <c r="D730" s="23"/>
    </row>
    <row r="731" ht="15.75" customHeight="1">
      <c r="B731" s="24"/>
      <c r="C731" s="22">
        <v>45077.0</v>
      </c>
      <c r="D731" s="23"/>
    </row>
    <row r="732" ht="15.75" customHeight="1">
      <c r="B732" s="24"/>
      <c r="C732" s="22">
        <v>45078.0</v>
      </c>
      <c r="D732" s="23"/>
    </row>
    <row r="733" ht="15.75" customHeight="1">
      <c r="B733" s="24"/>
      <c r="C733" s="22">
        <v>45079.0</v>
      </c>
      <c r="D733" s="23"/>
    </row>
    <row r="734" ht="15.75" customHeight="1">
      <c r="B734" s="24"/>
      <c r="C734" s="22">
        <v>45080.0</v>
      </c>
      <c r="D734" s="23"/>
    </row>
    <row r="735" ht="15.75" customHeight="1">
      <c r="B735" s="24"/>
      <c r="C735" s="22">
        <v>45081.0</v>
      </c>
      <c r="D735" s="23"/>
    </row>
    <row r="736" ht="15.75" customHeight="1">
      <c r="B736" s="24"/>
      <c r="C736" s="22">
        <v>45082.0</v>
      </c>
      <c r="D736" s="23"/>
    </row>
    <row r="737" ht="15.75" customHeight="1">
      <c r="B737" s="24"/>
      <c r="C737" s="22">
        <v>45083.0</v>
      </c>
      <c r="D737" s="23"/>
    </row>
    <row r="738" ht="15.75" customHeight="1">
      <c r="B738" s="24"/>
      <c r="C738" s="22">
        <v>45084.0</v>
      </c>
      <c r="D738" s="23"/>
    </row>
    <row r="739" ht="15.75" customHeight="1">
      <c r="B739" s="24"/>
      <c r="C739" s="22">
        <v>45085.0</v>
      </c>
      <c r="D739" s="23"/>
    </row>
    <row r="740" ht="15.75" customHeight="1">
      <c r="B740" s="24"/>
      <c r="C740" s="22">
        <v>45086.0</v>
      </c>
      <c r="D740" s="23"/>
    </row>
    <row r="741" ht="15.75" customHeight="1">
      <c r="B741" s="24"/>
      <c r="C741" s="22">
        <v>45087.0</v>
      </c>
      <c r="D741" s="23"/>
    </row>
    <row r="742" ht="15.75" customHeight="1">
      <c r="B742" s="24"/>
      <c r="C742" s="22">
        <v>45088.0</v>
      </c>
      <c r="D742" s="23"/>
    </row>
    <row r="743" ht="15.75" customHeight="1">
      <c r="B743" s="24"/>
      <c r="C743" s="22">
        <v>45089.0</v>
      </c>
      <c r="D743" s="23"/>
    </row>
    <row r="744" ht="15.75" customHeight="1">
      <c r="B744" s="24"/>
      <c r="C744" s="22">
        <v>45090.0</v>
      </c>
      <c r="D744" s="23"/>
    </row>
    <row r="745" ht="15.75" customHeight="1">
      <c r="B745" s="24"/>
      <c r="C745" s="22">
        <v>45091.0</v>
      </c>
      <c r="D745" s="23"/>
    </row>
    <row r="746" ht="15.75" customHeight="1">
      <c r="B746" s="24"/>
      <c r="C746" s="22">
        <v>45092.0</v>
      </c>
      <c r="D746" s="23"/>
    </row>
    <row r="747" ht="15.75" customHeight="1">
      <c r="B747" s="24"/>
      <c r="C747" s="22">
        <v>45093.0</v>
      </c>
      <c r="D747" s="23"/>
    </row>
    <row r="748" ht="15.75" customHeight="1">
      <c r="B748" s="24"/>
      <c r="C748" s="22">
        <v>45094.0</v>
      </c>
      <c r="D748" s="23"/>
    </row>
    <row r="749" ht="15.75" customHeight="1">
      <c r="B749" s="24"/>
      <c r="C749" s="22">
        <v>45095.0</v>
      </c>
      <c r="D749" s="23"/>
    </row>
    <row r="750" ht="15.75" customHeight="1">
      <c r="B750" s="24"/>
      <c r="C750" s="22">
        <v>45096.0</v>
      </c>
      <c r="D750" s="23"/>
    </row>
    <row r="751" ht="15.75" customHeight="1">
      <c r="B751" s="24"/>
      <c r="C751" s="22">
        <v>45097.0</v>
      </c>
      <c r="D751" s="23"/>
    </row>
    <row r="752" ht="15.75" customHeight="1">
      <c r="B752" s="24"/>
      <c r="C752" s="22">
        <v>45098.0</v>
      </c>
      <c r="D752" s="23"/>
    </row>
    <row r="753" ht="15.75" customHeight="1">
      <c r="B753" s="24"/>
      <c r="C753" s="22">
        <v>45099.0</v>
      </c>
      <c r="D753" s="23"/>
    </row>
    <row r="754" ht="15.75" customHeight="1">
      <c r="B754" s="24"/>
      <c r="C754" s="22">
        <v>45100.0</v>
      </c>
      <c r="D754" s="23"/>
    </row>
    <row r="755" ht="15.75" customHeight="1">
      <c r="B755" s="24"/>
      <c r="C755" s="22">
        <v>45101.0</v>
      </c>
      <c r="D755" s="23"/>
    </row>
    <row r="756" ht="15.75" customHeight="1">
      <c r="B756" s="24"/>
      <c r="C756" s="22">
        <v>45102.0</v>
      </c>
      <c r="D756" s="23"/>
    </row>
    <row r="757" ht="15.75" customHeight="1">
      <c r="B757" s="24"/>
      <c r="C757" s="22">
        <v>45103.0</v>
      </c>
      <c r="D757" s="23"/>
    </row>
    <row r="758" ht="15.75" customHeight="1">
      <c r="B758" s="24"/>
      <c r="C758" s="22">
        <v>45104.0</v>
      </c>
      <c r="D758" s="23"/>
    </row>
    <row r="759" ht="15.75" customHeight="1">
      <c r="B759" s="24"/>
      <c r="C759" s="22">
        <v>45105.0</v>
      </c>
      <c r="D759" s="23"/>
    </row>
    <row r="760" ht="15.75" customHeight="1">
      <c r="B760" s="24"/>
      <c r="C760" s="22">
        <v>45106.0</v>
      </c>
      <c r="D760" s="23"/>
    </row>
    <row r="761" ht="15.75" customHeight="1">
      <c r="B761" s="24"/>
      <c r="C761" s="22">
        <v>45107.0</v>
      </c>
      <c r="D761" s="23"/>
    </row>
    <row r="762" ht="15.75" customHeight="1">
      <c r="B762" s="24"/>
      <c r="C762" s="22">
        <v>45108.0</v>
      </c>
      <c r="D762" s="23"/>
    </row>
    <row r="763" ht="15.75" customHeight="1">
      <c r="B763" s="24"/>
      <c r="C763" s="22">
        <v>45109.0</v>
      </c>
      <c r="D763" s="23"/>
    </row>
    <row r="764" ht="15.75" customHeight="1">
      <c r="B764" s="24"/>
      <c r="C764" s="22">
        <v>45110.0</v>
      </c>
      <c r="D764" s="23"/>
    </row>
    <row r="765" ht="15.75" customHeight="1">
      <c r="B765" s="24"/>
      <c r="C765" s="22">
        <v>45111.0</v>
      </c>
      <c r="D765" s="23"/>
    </row>
    <row r="766" ht="15.75" customHeight="1">
      <c r="B766" s="24"/>
      <c r="C766" s="22">
        <v>45112.0</v>
      </c>
      <c r="D766" s="23"/>
    </row>
    <row r="767" ht="15.75" customHeight="1">
      <c r="B767" s="24"/>
      <c r="C767" s="22">
        <v>45113.0</v>
      </c>
      <c r="D767" s="23"/>
    </row>
    <row r="768" ht="15.75" customHeight="1">
      <c r="B768" s="24"/>
      <c r="C768" s="22">
        <v>45114.0</v>
      </c>
      <c r="D768" s="23"/>
    </row>
    <row r="769" ht="15.75" customHeight="1">
      <c r="B769" s="24"/>
      <c r="C769" s="22">
        <v>45115.0</v>
      </c>
      <c r="D769" s="23"/>
    </row>
    <row r="770" ht="15.75" customHeight="1">
      <c r="B770" s="24"/>
      <c r="C770" s="22">
        <v>45116.0</v>
      </c>
      <c r="D770" s="23"/>
    </row>
    <row r="771" ht="15.75" customHeight="1">
      <c r="B771" s="24"/>
      <c r="C771" s="22">
        <v>45117.0</v>
      </c>
      <c r="D771" s="23"/>
    </row>
    <row r="772" ht="15.75" customHeight="1">
      <c r="B772" s="24"/>
      <c r="C772" s="22">
        <v>45118.0</v>
      </c>
      <c r="D772" s="23"/>
    </row>
    <row r="773" ht="15.75" customHeight="1">
      <c r="B773" s="24"/>
      <c r="C773" s="22">
        <v>45119.0</v>
      </c>
      <c r="D773" s="23"/>
    </row>
    <row r="774" ht="15.75" customHeight="1">
      <c r="B774" s="24"/>
      <c r="C774" s="22">
        <v>45120.0</v>
      </c>
      <c r="D774" s="23"/>
    </row>
    <row r="775" ht="15.75" customHeight="1">
      <c r="B775" s="24"/>
      <c r="C775" s="22">
        <v>45121.0</v>
      </c>
      <c r="D775" s="23"/>
    </row>
    <row r="776" ht="15.75" customHeight="1">
      <c r="B776" s="24"/>
      <c r="C776" s="22">
        <v>45122.0</v>
      </c>
      <c r="D776" s="23"/>
    </row>
    <row r="777" ht="15.75" customHeight="1">
      <c r="B777" s="24"/>
      <c r="C777" s="22">
        <v>45123.0</v>
      </c>
      <c r="D777" s="23"/>
    </row>
    <row r="778" ht="15.75" customHeight="1">
      <c r="B778" s="24"/>
      <c r="C778" s="22">
        <v>45124.0</v>
      </c>
      <c r="D778" s="23"/>
    </row>
    <row r="779" ht="15.75" customHeight="1">
      <c r="B779" s="24"/>
      <c r="C779" s="22">
        <v>45125.0</v>
      </c>
      <c r="D779" s="23"/>
    </row>
    <row r="780" ht="15.75" customHeight="1">
      <c r="B780" s="24"/>
      <c r="C780" s="22">
        <v>45126.0</v>
      </c>
      <c r="D780" s="23"/>
    </row>
    <row r="781" ht="15.75" customHeight="1">
      <c r="B781" s="24"/>
      <c r="C781" s="22">
        <v>45127.0</v>
      </c>
      <c r="D781" s="23"/>
    </row>
    <row r="782" ht="15.75" customHeight="1">
      <c r="B782" s="24"/>
      <c r="C782" s="22">
        <v>45128.0</v>
      </c>
      <c r="D782" s="23"/>
    </row>
    <row r="783" ht="15.75" customHeight="1">
      <c r="B783" s="24"/>
      <c r="C783" s="22">
        <v>45129.0</v>
      </c>
      <c r="D783" s="23"/>
    </row>
    <row r="784" ht="15.75" customHeight="1">
      <c r="B784" s="24"/>
      <c r="C784" s="22">
        <v>45130.0</v>
      </c>
      <c r="D784" s="23"/>
    </row>
    <row r="785" ht="15.75" customHeight="1">
      <c r="B785" s="24"/>
      <c r="C785" s="22">
        <v>45131.0</v>
      </c>
      <c r="D785" s="23"/>
    </row>
    <row r="786" ht="15.75" customHeight="1">
      <c r="B786" s="24"/>
      <c r="C786" s="22">
        <v>45132.0</v>
      </c>
      <c r="D786" s="23"/>
    </row>
    <row r="787" ht="15.75" customHeight="1">
      <c r="B787" s="24"/>
      <c r="C787" s="22">
        <v>45133.0</v>
      </c>
      <c r="D787" s="23"/>
    </row>
    <row r="788" ht="15.75" customHeight="1">
      <c r="B788" s="24"/>
      <c r="C788" s="22">
        <v>45134.0</v>
      </c>
      <c r="D788" s="23"/>
    </row>
    <row r="789" ht="15.75" customHeight="1">
      <c r="B789" s="24"/>
      <c r="C789" s="22">
        <v>45135.0</v>
      </c>
      <c r="D789" s="23"/>
    </row>
    <row r="790" ht="15.75" customHeight="1">
      <c r="B790" s="24"/>
      <c r="C790" s="22">
        <v>45136.0</v>
      </c>
      <c r="D790" s="23"/>
    </row>
    <row r="791" ht="15.75" customHeight="1">
      <c r="B791" s="24"/>
      <c r="C791" s="22">
        <v>45137.0</v>
      </c>
      <c r="D791" s="23"/>
    </row>
    <row r="792" ht="15.75" customHeight="1">
      <c r="B792" s="24"/>
      <c r="C792" s="22">
        <v>45138.0</v>
      </c>
      <c r="D792" s="23"/>
    </row>
    <row r="793" ht="15.75" customHeight="1">
      <c r="B793" s="24"/>
      <c r="C793" s="22">
        <v>45139.0</v>
      </c>
      <c r="D793" s="23"/>
    </row>
    <row r="794" ht="15.75" customHeight="1">
      <c r="B794" s="24"/>
      <c r="C794" s="22">
        <v>45140.0</v>
      </c>
      <c r="D794" s="23"/>
    </row>
    <row r="795" ht="15.75" customHeight="1">
      <c r="B795" s="24"/>
      <c r="C795" s="22">
        <v>45141.0</v>
      </c>
      <c r="D795" s="23"/>
    </row>
    <row r="796" ht="15.75" customHeight="1">
      <c r="B796" s="24"/>
      <c r="C796" s="22">
        <v>45142.0</v>
      </c>
      <c r="D796" s="23"/>
    </row>
    <row r="797" ht="15.75" customHeight="1">
      <c r="B797" s="24"/>
      <c r="C797" s="22">
        <v>45143.0</v>
      </c>
      <c r="D797" s="23"/>
    </row>
    <row r="798" ht="15.75" customHeight="1">
      <c r="B798" s="24"/>
      <c r="C798" s="22">
        <v>45144.0</v>
      </c>
      <c r="D798" s="23"/>
    </row>
    <row r="799" ht="15.75" customHeight="1">
      <c r="B799" s="24"/>
      <c r="C799" s="22">
        <v>45145.0</v>
      </c>
      <c r="D799" s="23"/>
    </row>
    <row r="800" ht="15.75" customHeight="1">
      <c r="B800" s="24"/>
      <c r="C800" s="22">
        <v>45146.0</v>
      </c>
      <c r="D800" s="23"/>
    </row>
    <row r="801" ht="15.75" customHeight="1">
      <c r="B801" s="24"/>
      <c r="C801" s="22">
        <v>45147.0</v>
      </c>
      <c r="D801" s="23"/>
    </row>
    <row r="802" ht="15.75" customHeight="1">
      <c r="B802" s="24"/>
      <c r="C802" s="22">
        <v>45148.0</v>
      </c>
      <c r="D802" s="23"/>
    </row>
    <row r="803" ht="15.75" customHeight="1">
      <c r="B803" s="24"/>
      <c r="C803" s="22">
        <v>45149.0</v>
      </c>
      <c r="D803" s="23"/>
    </row>
    <row r="804" ht="15.75" customHeight="1">
      <c r="B804" s="24"/>
      <c r="C804" s="22">
        <v>45150.0</v>
      </c>
      <c r="D804" s="23"/>
    </row>
    <row r="805" ht="15.75" customHeight="1">
      <c r="B805" s="24"/>
      <c r="C805" s="22">
        <v>45151.0</v>
      </c>
      <c r="D805" s="23"/>
    </row>
    <row r="806" ht="15.75" customHeight="1">
      <c r="B806" s="24"/>
      <c r="C806" s="22">
        <v>45152.0</v>
      </c>
      <c r="D806" s="23"/>
    </row>
    <row r="807" ht="15.75" customHeight="1">
      <c r="B807" s="24"/>
      <c r="C807" s="22">
        <v>45153.0</v>
      </c>
      <c r="D807" s="23"/>
    </row>
    <row r="808" ht="15.75" customHeight="1">
      <c r="B808" s="24"/>
      <c r="C808" s="22">
        <v>45154.0</v>
      </c>
      <c r="D808" s="23"/>
    </row>
    <row r="809" ht="15.75" customHeight="1">
      <c r="B809" s="24"/>
      <c r="C809" s="22">
        <v>45155.0</v>
      </c>
      <c r="D809" s="23"/>
    </row>
    <row r="810" ht="15.75" customHeight="1">
      <c r="B810" s="24"/>
      <c r="C810" s="22">
        <v>45156.0</v>
      </c>
      <c r="D810" s="23"/>
    </row>
    <row r="811" ht="15.75" customHeight="1">
      <c r="B811" s="24"/>
      <c r="C811" s="22">
        <v>45157.0</v>
      </c>
      <c r="D811" s="23"/>
    </row>
    <row r="812" ht="15.75" customHeight="1">
      <c r="B812" s="24"/>
      <c r="C812" s="22">
        <v>45158.0</v>
      </c>
      <c r="D812" s="23"/>
    </row>
    <row r="813" ht="15.75" customHeight="1">
      <c r="B813" s="24"/>
      <c r="C813" s="22">
        <v>45159.0</v>
      </c>
      <c r="D813" s="23"/>
    </row>
    <row r="814" ht="15.75" customHeight="1">
      <c r="B814" s="24"/>
      <c r="C814" s="22">
        <v>45160.0</v>
      </c>
      <c r="D814" s="23"/>
    </row>
    <row r="815" ht="15.75" customHeight="1">
      <c r="B815" s="24"/>
      <c r="C815" s="22">
        <v>45161.0</v>
      </c>
      <c r="D815" s="23"/>
    </row>
    <row r="816" ht="15.75" customHeight="1">
      <c r="B816" s="24"/>
      <c r="C816" s="22">
        <v>45162.0</v>
      </c>
      <c r="D816" s="23"/>
    </row>
    <row r="817" ht="15.75" customHeight="1">
      <c r="B817" s="24"/>
      <c r="C817" s="22">
        <v>45163.0</v>
      </c>
      <c r="D817" s="23"/>
    </row>
    <row r="818" ht="15.75" customHeight="1">
      <c r="B818" s="24"/>
      <c r="C818" s="22">
        <v>45164.0</v>
      </c>
      <c r="D818" s="23"/>
    </row>
    <row r="819" ht="15.75" customHeight="1">
      <c r="B819" s="24"/>
      <c r="C819" s="22">
        <v>45165.0</v>
      </c>
      <c r="D819" s="23"/>
    </row>
    <row r="820" ht="15.75" customHeight="1">
      <c r="B820" s="24"/>
      <c r="C820" s="22">
        <v>45166.0</v>
      </c>
      <c r="D820" s="23"/>
    </row>
    <row r="821" ht="15.75" customHeight="1">
      <c r="B821" s="24"/>
      <c r="C821" s="22">
        <v>45167.0</v>
      </c>
      <c r="D821" s="23"/>
    </row>
    <row r="822" ht="15.75" customHeight="1">
      <c r="B822" s="24"/>
      <c r="C822" s="22">
        <v>45168.0</v>
      </c>
      <c r="D822" s="23"/>
    </row>
    <row r="823" ht="15.75" customHeight="1">
      <c r="B823" s="24"/>
      <c r="C823" s="22">
        <v>45169.0</v>
      </c>
      <c r="D823" s="23"/>
    </row>
    <row r="824" ht="15.75" customHeight="1">
      <c r="B824" s="24"/>
      <c r="C824" s="22">
        <v>45170.0</v>
      </c>
      <c r="D824" s="23"/>
    </row>
    <row r="825" ht="15.75" customHeight="1">
      <c r="B825" s="24"/>
      <c r="C825" s="22">
        <v>45171.0</v>
      </c>
      <c r="D825" s="23"/>
    </row>
    <row r="826" ht="15.75" customHeight="1">
      <c r="B826" s="24"/>
      <c r="C826" s="22">
        <v>45172.0</v>
      </c>
      <c r="D826" s="23"/>
    </row>
    <row r="827" ht="15.75" customHeight="1">
      <c r="B827" s="24"/>
      <c r="C827" s="22">
        <v>45173.0</v>
      </c>
      <c r="D827" s="23"/>
    </row>
    <row r="828" ht="15.75" customHeight="1">
      <c r="B828" s="24"/>
      <c r="C828" s="22">
        <v>45174.0</v>
      </c>
      <c r="D828" s="23"/>
    </row>
    <row r="829" ht="15.75" customHeight="1">
      <c r="B829" s="24"/>
      <c r="C829" s="22">
        <v>45175.0</v>
      </c>
      <c r="D829" s="23"/>
    </row>
    <row r="830" ht="15.75" customHeight="1">
      <c r="B830" s="24"/>
      <c r="C830" s="22">
        <v>45176.0</v>
      </c>
      <c r="D830" s="23"/>
    </row>
    <row r="831" ht="15.75" customHeight="1">
      <c r="B831" s="24"/>
      <c r="C831" s="22">
        <v>45177.0</v>
      </c>
      <c r="D831" s="23"/>
    </row>
    <row r="832" ht="15.75" customHeight="1">
      <c r="B832" s="24"/>
      <c r="C832" s="22">
        <v>45178.0</v>
      </c>
      <c r="D832" s="23"/>
    </row>
    <row r="833" ht="15.75" customHeight="1">
      <c r="B833" s="24"/>
      <c r="C833" s="22">
        <v>45179.0</v>
      </c>
      <c r="D833" s="23"/>
    </row>
    <row r="834" ht="15.75" customHeight="1">
      <c r="B834" s="24"/>
      <c r="C834" s="22">
        <v>45180.0</v>
      </c>
      <c r="D834" s="23"/>
    </row>
    <row r="835" ht="15.75" customHeight="1">
      <c r="B835" s="24"/>
      <c r="C835" s="22">
        <v>45181.0</v>
      </c>
      <c r="D835" s="23"/>
    </row>
    <row r="836" ht="15.75" customHeight="1">
      <c r="B836" s="24"/>
      <c r="C836" s="22">
        <v>45182.0</v>
      </c>
      <c r="D836" s="23"/>
    </row>
    <row r="837" ht="15.75" customHeight="1">
      <c r="B837" s="24"/>
      <c r="C837" s="22">
        <v>45183.0</v>
      </c>
      <c r="D837" s="23"/>
    </row>
    <row r="838" ht="15.75" customHeight="1">
      <c r="B838" s="24"/>
      <c r="C838" s="22">
        <v>45184.0</v>
      </c>
      <c r="D838" s="23"/>
    </row>
    <row r="839" ht="15.75" customHeight="1">
      <c r="B839" s="24"/>
      <c r="C839" s="22">
        <v>45185.0</v>
      </c>
      <c r="D839" s="23"/>
    </row>
    <row r="840" ht="15.75" customHeight="1">
      <c r="B840" s="24"/>
      <c r="C840" s="22">
        <v>45186.0</v>
      </c>
      <c r="D840" s="23"/>
    </row>
    <row r="841" ht="15.75" customHeight="1">
      <c r="B841" s="24"/>
      <c r="C841" s="22">
        <v>45187.0</v>
      </c>
      <c r="D841" s="23"/>
    </row>
    <row r="842" ht="15.75" customHeight="1">
      <c r="B842" s="24"/>
      <c r="C842" s="22">
        <v>45188.0</v>
      </c>
      <c r="D842" s="23"/>
    </row>
    <row r="843" ht="15.75" customHeight="1">
      <c r="B843" s="24"/>
      <c r="C843" s="22">
        <v>45189.0</v>
      </c>
      <c r="D843" s="23"/>
    </row>
    <row r="844" ht="15.75" customHeight="1">
      <c r="B844" s="24"/>
      <c r="C844" s="22">
        <v>45190.0</v>
      </c>
      <c r="D844" s="23"/>
    </row>
    <row r="845" ht="15.75" customHeight="1">
      <c r="B845" s="24"/>
      <c r="C845" s="22">
        <v>45191.0</v>
      </c>
      <c r="D845" s="23"/>
    </row>
    <row r="846" ht="15.75" customHeight="1">
      <c r="B846" s="24"/>
      <c r="C846" s="22">
        <v>45192.0</v>
      </c>
      <c r="D846" s="23"/>
    </row>
    <row r="847" ht="15.75" customHeight="1">
      <c r="B847" s="24"/>
      <c r="C847" s="22">
        <v>45193.0</v>
      </c>
      <c r="D847" s="23"/>
    </row>
    <row r="848" ht="15.75" customHeight="1">
      <c r="B848" s="24"/>
      <c r="C848" s="22">
        <v>45194.0</v>
      </c>
      <c r="D848" s="23"/>
    </row>
    <row r="849" ht="15.75" customHeight="1">
      <c r="B849" s="24"/>
      <c r="C849" s="22">
        <v>45195.0</v>
      </c>
      <c r="D849" s="23"/>
    </row>
    <row r="850" ht="15.75" customHeight="1">
      <c r="B850" s="24"/>
      <c r="C850" s="22">
        <v>45196.0</v>
      </c>
      <c r="D850" s="23"/>
    </row>
    <row r="851" ht="15.75" customHeight="1">
      <c r="B851" s="24"/>
      <c r="C851" s="22">
        <v>45197.0</v>
      </c>
      <c r="D851" s="23"/>
    </row>
    <row r="852" ht="15.75" customHeight="1">
      <c r="B852" s="24"/>
      <c r="C852" s="22">
        <v>45198.0</v>
      </c>
      <c r="D852" s="23"/>
    </row>
    <row r="853" ht="15.75" customHeight="1">
      <c r="B853" s="24"/>
      <c r="C853" s="22">
        <v>45199.0</v>
      </c>
      <c r="D853" s="23"/>
    </row>
    <row r="854" ht="15.75" customHeight="1">
      <c r="B854" s="24"/>
      <c r="C854" s="22">
        <v>45200.0</v>
      </c>
      <c r="D854" s="23"/>
    </row>
    <row r="855" ht="15.75" customHeight="1">
      <c r="B855" s="24"/>
      <c r="C855" s="22">
        <v>45201.0</v>
      </c>
      <c r="D855" s="23"/>
    </row>
    <row r="856" ht="15.75" customHeight="1">
      <c r="B856" s="24"/>
      <c r="C856" s="22">
        <v>45202.0</v>
      </c>
      <c r="D856" s="23"/>
    </row>
    <row r="857" ht="15.75" customHeight="1">
      <c r="B857" s="24"/>
      <c r="C857" s="22">
        <v>45203.0</v>
      </c>
      <c r="D857" s="23"/>
    </row>
    <row r="858" ht="15.75" customHeight="1">
      <c r="B858" s="24"/>
      <c r="C858" s="22">
        <v>45204.0</v>
      </c>
      <c r="D858" s="23"/>
    </row>
    <row r="859" ht="15.75" customHeight="1">
      <c r="B859" s="24"/>
      <c r="C859" s="22">
        <v>45205.0</v>
      </c>
      <c r="D859" s="23"/>
    </row>
    <row r="860" ht="15.75" customHeight="1">
      <c r="B860" s="24"/>
      <c r="C860" s="22">
        <v>45206.0</v>
      </c>
      <c r="D860" s="23"/>
    </row>
    <row r="861" ht="15.75" customHeight="1">
      <c r="B861" s="24"/>
      <c r="C861" s="22">
        <v>45207.0</v>
      </c>
      <c r="D861" s="23"/>
    </row>
    <row r="862" ht="15.75" customHeight="1">
      <c r="B862" s="24"/>
      <c r="C862" s="22">
        <v>45208.0</v>
      </c>
      <c r="D862" s="23"/>
    </row>
    <row r="863" ht="15.75" customHeight="1">
      <c r="B863" s="24"/>
      <c r="C863" s="22">
        <v>45209.0</v>
      </c>
      <c r="D863" s="23"/>
    </row>
    <row r="864" ht="15.75" customHeight="1">
      <c r="B864" s="24"/>
      <c r="C864" s="22">
        <v>45210.0</v>
      </c>
      <c r="D864" s="23"/>
    </row>
    <row r="865" ht="15.75" customHeight="1">
      <c r="B865" s="24"/>
      <c r="C865" s="22">
        <v>45211.0</v>
      </c>
      <c r="D865" s="23"/>
    </row>
    <row r="866" ht="15.75" customHeight="1">
      <c r="B866" s="24"/>
      <c r="C866" s="22">
        <v>45212.0</v>
      </c>
      <c r="D866" s="23"/>
    </row>
    <row r="867" ht="15.75" customHeight="1">
      <c r="B867" s="24"/>
      <c r="C867" s="22">
        <v>45213.0</v>
      </c>
      <c r="D867" s="23"/>
    </row>
    <row r="868" ht="15.75" customHeight="1">
      <c r="B868" s="24"/>
      <c r="C868" s="22">
        <v>45214.0</v>
      </c>
      <c r="D868" s="23"/>
    </row>
    <row r="869" ht="15.75" customHeight="1">
      <c r="B869" s="24"/>
      <c r="C869" s="22">
        <v>45215.0</v>
      </c>
      <c r="D869" s="23"/>
    </row>
    <row r="870" ht="15.75" customHeight="1">
      <c r="B870" s="24"/>
      <c r="C870" s="22">
        <v>45216.0</v>
      </c>
      <c r="D870" s="23"/>
    </row>
    <row r="871" ht="15.75" customHeight="1">
      <c r="B871" s="24"/>
      <c r="C871" s="22">
        <v>45217.0</v>
      </c>
      <c r="D871" s="23"/>
    </row>
    <row r="872" ht="15.75" customHeight="1">
      <c r="B872" s="24"/>
      <c r="C872" s="22">
        <v>45218.0</v>
      </c>
      <c r="D872" s="23"/>
    </row>
    <row r="873" ht="15.75" customHeight="1">
      <c r="B873" s="24"/>
      <c r="C873" s="22">
        <v>45219.0</v>
      </c>
      <c r="D873" s="23"/>
    </row>
    <row r="874" ht="15.75" customHeight="1">
      <c r="B874" s="24"/>
      <c r="C874" s="22">
        <v>45220.0</v>
      </c>
      <c r="D874" s="23"/>
    </row>
    <row r="875" ht="15.75" customHeight="1">
      <c r="B875" s="24"/>
      <c r="C875" s="22">
        <v>45221.0</v>
      </c>
      <c r="D875" s="23"/>
    </row>
    <row r="876" ht="15.75" customHeight="1">
      <c r="B876" s="24"/>
      <c r="C876" s="22">
        <v>45222.0</v>
      </c>
      <c r="D876" s="23"/>
    </row>
    <row r="877" ht="15.75" customHeight="1">
      <c r="B877" s="24"/>
      <c r="C877" s="22">
        <v>45223.0</v>
      </c>
      <c r="D877" s="23"/>
    </row>
    <row r="878" ht="15.75" customHeight="1">
      <c r="B878" s="24"/>
      <c r="C878" s="22">
        <v>45224.0</v>
      </c>
      <c r="D878" s="23"/>
    </row>
    <row r="879" ht="15.75" customHeight="1">
      <c r="B879" s="24"/>
      <c r="C879" s="22">
        <v>45225.0</v>
      </c>
      <c r="D879" s="23"/>
    </row>
    <row r="880" ht="15.75" customHeight="1">
      <c r="B880" s="24"/>
      <c r="C880" s="22">
        <v>45226.0</v>
      </c>
      <c r="D880" s="23"/>
    </row>
    <row r="881" ht="15.75" customHeight="1">
      <c r="B881" s="24"/>
      <c r="C881" s="22">
        <v>45227.0</v>
      </c>
      <c r="D881" s="23"/>
    </row>
    <row r="882" ht="15.75" customHeight="1">
      <c r="B882" s="24"/>
      <c r="C882" s="22">
        <v>45228.0</v>
      </c>
      <c r="D882" s="23"/>
    </row>
    <row r="883" ht="15.75" customHeight="1">
      <c r="B883" s="24"/>
      <c r="C883" s="22">
        <v>45229.0</v>
      </c>
      <c r="D883" s="23"/>
    </row>
    <row r="884" ht="15.75" customHeight="1">
      <c r="B884" s="24"/>
      <c r="C884" s="22">
        <v>45230.0</v>
      </c>
      <c r="D884" s="23"/>
    </row>
    <row r="885" ht="15.75" customHeight="1">
      <c r="B885" s="24"/>
      <c r="C885" s="22">
        <v>45231.0</v>
      </c>
      <c r="D885" s="23"/>
    </row>
    <row r="886" ht="15.75" customHeight="1">
      <c r="B886" s="24"/>
      <c r="C886" s="22">
        <v>45232.0</v>
      </c>
      <c r="D886" s="23"/>
    </row>
    <row r="887" ht="15.75" customHeight="1">
      <c r="B887" s="24"/>
      <c r="C887" s="22">
        <v>45233.0</v>
      </c>
      <c r="D887" s="23"/>
    </row>
    <row r="888" ht="15.75" customHeight="1">
      <c r="B888" s="24"/>
      <c r="C888" s="22">
        <v>45234.0</v>
      </c>
      <c r="D888" s="23"/>
    </row>
    <row r="889" ht="15.75" customHeight="1">
      <c r="B889" s="24"/>
      <c r="C889" s="22">
        <v>45235.0</v>
      </c>
      <c r="D889" s="23"/>
    </row>
    <row r="890" ht="15.75" customHeight="1">
      <c r="B890" s="24"/>
      <c r="C890" s="22">
        <v>45236.0</v>
      </c>
      <c r="D890" s="23"/>
    </row>
    <row r="891" ht="15.75" customHeight="1">
      <c r="B891" s="24"/>
      <c r="C891" s="22">
        <v>45237.0</v>
      </c>
      <c r="D891" s="23"/>
    </row>
    <row r="892" ht="15.75" customHeight="1">
      <c r="B892" s="24"/>
      <c r="C892" s="22">
        <v>45238.0</v>
      </c>
      <c r="D892" s="23"/>
    </row>
    <row r="893" ht="15.75" customHeight="1">
      <c r="B893" s="24"/>
      <c r="C893" s="22">
        <v>45239.0</v>
      </c>
      <c r="D893" s="23"/>
    </row>
    <row r="894" ht="15.75" customHeight="1">
      <c r="B894" s="24"/>
      <c r="C894" s="22">
        <v>45240.0</v>
      </c>
      <c r="D894" s="23"/>
    </row>
    <row r="895" ht="15.75" customHeight="1">
      <c r="B895" s="24"/>
      <c r="C895" s="22">
        <v>45241.0</v>
      </c>
      <c r="D895" s="23"/>
    </row>
    <row r="896" ht="15.75" customHeight="1">
      <c r="B896" s="24"/>
      <c r="C896" s="22">
        <v>45242.0</v>
      </c>
      <c r="D896" s="23"/>
    </row>
    <row r="897" ht="15.75" customHeight="1">
      <c r="B897" s="24"/>
      <c r="C897" s="22">
        <v>45243.0</v>
      </c>
      <c r="D897" s="23"/>
    </row>
    <row r="898" ht="15.75" customHeight="1">
      <c r="B898" s="24"/>
      <c r="C898" s="22">
        <v>45244.0</v>
      </c>
      <c r="D898" s="23"/>
    </row>
    <row r="899" ht="15.75" customHeight="1">
      <c r="B899" s="24"/>
      <c r="C899" s="22">
        <v>45245.0</v>
      </c>
      <c r="D899" s="23"/>
    </row>
    <row r="900" ht="15.75" customHeight="1">
      <c r="B900" s="24"/>
      <c r="C900" s="22">
        <v>45246.0</v>
      </c>
      <c r="D900" s="23"/>
    </row>
    <row r="901" ht="15.75" customHeight="1">
      <c r="B901" s="24"/>
      <c r="C901" s="22">
        <v>45247.0</v>
      </c>
      <c r="D901" s="23"/>
    </row>
    <row r="902" ht="15.75" customHeight="1">
      <c r="B902" s="24"/>
      <c r="C902" s="22">
        <v>45248.0</v>
      </c>
      <c r="D902" s="23"/>
    </row>
    <row r="903" ht="15.75" customHeight="1">
      <c r="B903" s="24"/>
      <c r="C903" s="22">
        <v>45249.0</v>
      </c>
      <c r="D903" s="23"/>
    </row>
    <row r="904" ht="15.75" customHeight="1">
      <c r="B904" s="24"/>
      <c r="C904" s="22">
        <v>45250.0</v>
      </c>
      <c r="D904" s="23"/>
    </row>
    <row r="905" ht="15.75" customHeight="1">
      <c r="B905" s="24"/>
      <c r="C905" s="22">
        <v>45251.0</v>
      </c>
      <c r="D905" s="23"/>
    </row>
    <row r="906" ht="15.75" customHeight="1">
      <c r="B906" s="24"/>
      <c r="C906" s="22">
        <v>45252.0</v>
      </c>
      <c r="D906" s="23"/>
    </row>
    <row r="907" ht="15.75" customHeight="1">
      <c r="B907" s="24"/>
      <c r="C907" s="22">
        <v>45253.0</v>
      </c>
      <c r="D907" s="23"/>
    </row>
    <row r="908" ht="15.75" customHeight="1">
      <c r="B908" s="24"/>
      <c r="C908" s="22">
        <v>45254.0</v>
      </c>
      <c r="D908" s="23"/>
    </row>
    <row r="909" ht="15.75" customHeight="1">
      <c r="B909" s="24"/>
      <c r="C909" s="22">
        <v>45255.0</v>
      </c>
      <c r="D909" s="23"/>
    </row>
    <row r="910" ht="15.75" customHeight="1">
      <c r="B910" s="24"/>
      <c r="C910" s="22">
        <v>45256.0</v>
      </c>
      <c r="D910" s="23"/>
    </row>
    <row r="911" ht="15.75" customHeight="1">
      <c r="B911" s="24"/>
      <c r="C911" s="22">
        <v>45257.0</v>
      </c>
      <c r="D911" s="23"/>
    </row>
    <row r="912" ht="15.75" customHeight="1">
      <c r="B912" s="24"/>
      <c r="C912" s="22">
        <v>45258.0</v>
      </c>
      <c r="D912" s="23"/>
    </row>
    <row r="913" ht="15.75" customHeight="1">
      <c r="B913" s="24"/>
      <c r="C913" s="22">
        <v>45259.0</v>
      </c>
      <c r="D913" s="23"/>
    </row>
    <row r="914" ht="15.75" customHeight="1">
      <c r="B914" s="24"/>
      <c r="C914" s="22">
        <v>45260.0</v>
      </c>
      <c r="D914" s="23"/>
    </row>
    <row r="915" ht="15.75" customHeight="1">
      <c r="B915" s="24"/>
      <c r="C915" s="22">
        <v>45261.0</v>
      </c>
      <c r="D915" s="23"/>
    </row>
    <row r="916" ht="15.75" customHeight="1">
      <c r="B916" s="24"/>
      <c r="C916" s="22">
        <v>45262.0</v>
      </c>
      <c r="D916" s="23"/>
    </row>
    <row r="917" ht="15.75" customHeight="1">
      <c r="B917" s="24"/>
      <c r="C917" s="22">
        <v>45263.0</v>
      </c>
      <c r="D917" s="23"/>
    </row>
    <row r="918" ht="15.75" customHeight="1">
      <c r="B918" s="24"/>
      <c r="C918" s="22">
        <v>45264.0</v>
      </c>
      <c r="D918" s="23"/>
    </row>
    <row r="919" ht="15.75" customHeight="1">
      <c r="B919" s="24"/>
      <c r="C919" s="22">
        <v>45265.0</v>
      </c>
      <c r="D919" s="23"/>
    </row>
    <row r="920" ht="15.75" customHeight="1">
      <c r="B920" s="24"/>
      <c r="C920" s="22">
        <v>45266.0</v>
      </c>
      <c r="D920" s="23"/>
    </row>
    <row r="921" ht="15.75" customHeight="1">
      <c r="B921" s="24"/>
      <c r="C921" s="22">
        <v>45267.0</v>
      </c>
      <c r="D921" s="23"/>
    </row>
    <row r="922" ht="15.75" customHeight="1">
      <c r="B922" s="24"/>
      <c r="C922" s="22">
        <v>45268.0</v>
      </c>
      <c r="D922" s="23"/>
    </row>
    <row r="923" ht="15.75" customHeight="1">
      <c r="B923" s="24"/>
      <c r="C923" s="22">
        <v>45269.0</v>
      </c>
      <c r="D923" s="23"/>
    </row>
    <row r="924" ht="15.75" customHeight="1">
      <c r="B924" s="24"/>
      <c r="C924" s="22">
        <v>45270.0</v>
      </c>
      <c r="D924" s="23"/>
    </row>
    <row r="925" ht="15.75" customHeight="1">
      <c r="B925" s="24"/>
      <c r="C925" s="22">
        <v>45271.0</v>
      </c>
      <c r="D925" s="23"/>
    </row>
    <row r="926" ht="15.75" customHeight="1">
      <c r="B926" s="24"/>
      <c r="C926" s="22">
        <v>45272.0</v>
      </c>
      <c r="D926" s="23"/>
    </row>
    <row r="927" ht="15.75" customHeight="1">
      <c r="B927" s="24"/>
      <c r="C927" s="22">
        <v>45273.0</v>
      </c>
      <c r="D927" s="23"/>
    </row>
    <row r="928" ht="15.75" customHeight="1">
      <c r="B928" s="24"/>
      <c r="C928" s="22">
        <v>45274.0</v>
      </c>
      <c r="D928" s="23"/>
    </row>
    <row r="929" ht="15.75" customHeight="1">
      <c r="B929" s="24"/>
      <c r="C929" s="22">
        <v>45275.0</v>
      </c>
      <c r="D929" s="23"/>
    </row>
    <row r="930" ht="15.75" customHeight="1">
      <c r="B930" s="24"/>
      <c r="C930" s="22">
        <v>45276.0</v>
      </c>
      <c r="D930" s="23"/>
    </row>
    <row r="931" ht="15.75" customHeight="1">
      <c r="B931" s="24"/>
      <c r="C931" s="22">
        <v>45277.0</v>
      </c>
      <c r="D931" s="23"/>
    </row>
    <row r="932" ht="15.75" customHeight="1">
      <c r="B932" s="24"/>
      <c r="C932" s="22">
        <v>45278.0</v>
      </c>
      <c r="D932" s="23"/>
    </row>
    <row r="933" ht="15.75" customHeight="1">
      <c r="B933" s="24"/>
      <c r="C933" s="22">
        <v>45279.0</v>
      </c>
      <c r="D933" s="23"/>
    </row>
    <row r="934" ht="15.75" customHeight="1">
      <c r="B934" s="24"/>
      <c r="C934" s="22">
        <v>45280.0</v>
      </c>
      <c r="D934" s="23"/>
    </row>
    <row r="935" ht="15.75" customHeight="1">
      <c r="B935" s="24"/>
      <c r="C935" s="22">
        <v>45281.0</v>
      </c>
      <c r="D935" s="23"/>
    </row>
    <row r="936" ht="15.75" customHeight="1">
      <c r="B936" s="24"/>
      <c r="C936" s="22">
        <v>45282.0</v>
      </c>
      <c r="D936" s="23"/>
    </row>
    <row r="937" ht="15.75" customHeight="1">
      <c r="B937" s="24"/>
      <c r="C937" s="22">
        <v>45283.0</v>
      </c>
      <c r="D937" s="23"/>
    </row>
    <row r="938" ht="15.75" customHeight="1">
      <c r="B938" s="24"/>
      <c r="C938" s="22">
        <v>45284.0</v>
      </c>
      <c r="D938" s="23"/>
    </row>
    <row r="939" ht="15.75" customHeight="1">
      <c r="B939" s="24"/>
      <c r="C939" s="22">
        <v>45285.0</v>
      </c>
      <c r="D939" s="23"/>
    </row>
    <row r="940" ht="15.75" customHeight="1">
      <c r="B940" s="24"/>
      <c r="C940" s="22">
        <v>45286.0</v>
      </c>
      <c r="D940" s="23"/>
    </row>
    <row r="941" ht="15.75" customHeight="1">
      <c r="B941" s="24"/>
      <c r="C941" s="22">
        <v>45287.0</v>
      </c>
      <c r="D941" s="23"/>
    </row>
    <row r="942" ht="15.75" customHeight="1">
      <c r="B942" s="24"/>
      <c r="C942" s="22">
        <v>45288.0</v>
      </c>
      <c r="D942" s="23"/>
    </row>
    <row r="943" ht="15.75" customHeight="1">
      <c r="B943" s="24"/>
      <c r="C943" s="22">
        <v>45289.0</v>
      </c>
      <c r="D943" s="23"/>
    </row>
    <row r="944" ht="15.75" customHeight="1">
      <c r="B944" s="24"/>
      <c r="C944" s="22">
        <v>45290.0</v>
      </c>
      <c r="D944" s="23"/>
    </row>
    <row r="945" ht="15.75" customHeight="1">
      <c r="B945" s="24"/>
      <c r="C945" s="22">
        <v>45291.0</v>
      </c>
      <c r="D945" s="23"/>
    </row>
    <row r="946" ht="15.75" customHeight="1">
      <c r="B946" s="24"/>
      <c r="C946" s="22">
        <v>45292.0</v>
      </c>
      <c r="D946" s="23"/>
    </row>
    <row r="947" ht="15.75" customHeight="1">
      <c r="B947" s="24"/>
      <c r="C947" s="22">
        <v>45293.0</v>
      </c>
      <c r="D947" s="23"/>
    </row>
    <row r="948" ht="15.75" customHeight="1">
      <c r="B948" s="24"/>
      <c r="C948" s="22">
        <v>45294.0</v>
      </c>
      <c r="D948" s="23"/>
    </row>
    <row r="949" ht="15.75" customHeight="1">
      <c r="B949" s="24"/>
      <c r="C949" s="22">
        <v>45295.0</v>
      </c>
      <c r="D949" s="23"/>
    </row>
    <row r="950" ht="15.75" customHeight="1">
      <c r="B950" s="24"/>
      <c r="C950" s="22">
        <v>45296.0</v>
      </c>
      <c r="D950" s="23"/>
    </row>
    <row r="951" ht="15.75" customHeight="1">
      <c r="B951" s="24"/>
      <c r="C951" s="22">
        <v>45297.0</v>
      </c>
      <c r="D951" s="23"/>
    </row>
    <row r="952" ht="15.75" customHeight="1">
      <c r="B952" s="24"/>
      <c r="C952" s="22">
        <v>45298.0</v>
      </c>
      <c r="D952" s="23"/>
    </row>
    <row r="953" ht="15.75" customHeight="1">
      <c r="B953" s="24"/>
      <c r="C953" s="22">
        <v>45299.0</v>
      </c>
      <c r="D953" s="23"/>
    </row>
    <row r="954" ht="15.75" customHeight="1">
      <c r="B954" s="24"/>
      <c r="C954" s="22">
        <v>45300.0</v>
      </c>
      <c r="D954" s="23"/>
    </row>
    <row r="955" ht="15.75" customHeight="1">
      <c r="B955" s="24"/>
      <c r="C955" s="22">
        <v>45301.0</v>
      </c>
      <c r="D955" s="23"/>
    </row>
    <row r="956" ht="15.75" customHeight="1">
      <c r="B956" s="24"/>
      <c r="C956" s="22">
        <v>45302.0</v>
      </c>
      <c r="D956" s="23"/>
    </row>
    <row r="957" ht="15.75" customHeight="1">
      <c r="B957" s="24"/>
      <c r="C957" s="22">
        <v>45303.0</v>
      </c>
      <c r="D957" s="23"/>
    </row>
    <row r="958" ht="15.75" customHeight="1">
      <c r="B958" s="24"/>
      <c r="C958" s="22">
        <v>45304.0</v>
      </c>
      <c r="D958" s="23"/>
    </row>
    <row r="959" ht="15.75" customHeight="1">
      <c r="B959" s="24"/>
      <c r="C959" s="22">
        <v>45305.0</v>
      </c>
      <c r="D959" s="23"/>
    </row>
    <row r="960" ht="15.75" customHeight="1">
      <c r="B960" s="24"/>
      <c r="C960" s="22">
        <v>45306.0</v>
      </c>
      <c r="D960" s="23"/>
    </row>
    <row r="961" ht="15.75" customHeight="1">
      <c r="B961" s="24"/>
      <c r="C961" s="22">
        <v>45307.0</v>
      </c>
      <c r="D961" s="23"/>
    </row>
    <row r="962" ht="15.75" customHeight="1">
      <c r="B962" s="24"/>
      <c r="C962" s="22">
        <v>45308.0</v>
      </c>
      <c r="D962" s="23"/>
    </row>
    <row r="963" ht="15.75" customHeight="1">
      <c r="B963" s="24"/>
      <c r="C963" s="22">
        <v>45309.0</v>
      </c>
      <c r="D963" s="23"/>
    </row>
    <row r="964" ht="15.75" customHeight="1">
      <c r="B964" s="24"/>
      <c r="C964" s="22">
        <v>45310.0</v>
      </c>
      <c r="D964" s="23"/>
    </row>
    <row r="965" ht="15.75" customHeight="1">
      <c r="B965" s="24"/>
      <c r="C965" s="22">
        <v>45311.0</v>
      </c>
      <c r="D965" s="23"/>
    </row>
    <row r="966" ht="15.75" customHeight="1">
      <c r="B966" s="24"/>
      <c r="C966" s="22">
        <v>45312.0</v>
      </c>
      <c r="D966" s="23"/>
    </row>
    <row r="967" ht="15.75" customHeight="1">
      <c r="B967" s="24"/>
      <c r="C967" s="22">
        <v>45313.0</v>
      </c>
      <c r="D967" s="23"/>
    </row>
    <row r="968" ht="15.75" customHeight="1">
      <c r="B968" s="24"/>
      <c r="C968" s="22">
        <v>45314.0</v>
      </c>
      <c r="D968" s="23"/>
    </row>
    <row r="969" ht="15.75" customHeight="1">
      <c r="B969" s="24"/>
      <c r="C969" s="22">
        <v>45315.0</v>
      </c>
      <c r="D969" s="23"/>
    </row>
    <row r="970" ht="15.75" customHeight="1">
      <c r="B970" s="24"/>
      <c r="C970" s="22">
        <v>45316.0</v>
      </c>
      <c r="D970" s="23"/>
    </row>
    <row r="971" ht="15.75" customHeight="1">
      <c r="B971" s="24"/>
      <c r="C971" s="22">
        <v>45317.0</v>
      </c>
      <c r="D971" s="23"/>
    </row>
    <row r="972" ht="15.75" customHeight="1">
      <c r="B972" s="24"/>
      <c r="C972" s="22">
        <v>45318.0</v>
      </c>
      <c r="D972" s="23"/>
    </row>
    <row r="973" ht="15.75" customHeight="1">
      <c r="B973" s="24"/>
      <c r="C973" s="22">
        <v>45319.0</v>
      </c>
      <c r="D973" s="23"/>
    </row>
    <row r="974" ht="15.75" customHeight="1">
      <c r="B974" s="24"/>
      <c r="C974" s="22">
        <v>45320.0</v>
      </c>
      <c r="D974" s="23"/>
    </row>
    <row r="975" ht="15.75" customHeight="1">
      <c r="B975" s="24"/>
      <c r="C975" s="22">
        <v>45321.0</v>
      </c>
      <c r="D975" s="23"/>
    </row>
    <row r="976" ht="15.75" customHeight="1">
      <c r="B976" s="24"/>
      <c r="C976" s="22">
        <v>45322.0</v>
      </c>
      <c r="D976" s="23"/>
    </row>
    <row r="977" ht="15.75" customHeight="1">
      <c r="B977" s="24"/>
      <c r="C977" s="22">
        <v>45323.0</v>
      </c>
      <c r="D977" s="23"/>
    </row>
    <row r="978" ht="15.75" customHeight="1">
      <c r="B978" s="24"/>
      <c r="C978" s="22">
        <v>45324.0</v>
      </c>
      <c r="D978" s="23"/>
    </row>
    <row r="979" ht="15.75" customHeight="1">
      <c r="B979" s="24"/>
      <c r="C979" s="22">
        <v>45325.0</v>
      </c>
      <c r="D979" s="23"/>
    </row>
    <row r="980" ht="15.75" customHeight="1">
      <c r="B980" s="24"/>
      <c r="C980" s="22">
        <v>45326.0</v>
      </c>
      <c r="D980" s="23"/>
    </row>
    <row r="981" ht="15.75" customHeight="1">
      <c r="B981" s="24"/>
      <c r="C981" s="22">
        <v>45327.0</v>
      </c>
      <c r="D981" s="23"/>
    </row>
    <row r="982" ht="15.75" customHeight="1">
      <c r="B982" s="24"/>
      <c r="C982" s="22">
        <v>45328.0</v>
      </c>
      <c r="D982" s="23"/>
    </row>
    <row r="983" ht="15.75" customHeight="1">
      <c r="B983" s="24"/>
      <c r="C983" s="22">
        <v>45329.0</v>
      </c>
      <c r="D983" s="23"/>
    </row>
    <row r="984" ht="15.75" customHeight="1">
      <c r="B984" s="24"/>
      <c r="C984" s="22">
        <v>45330.0</v>
      </c>
      <c r="D984" s="23"/>
    </row>
    <row r="985" ht="15.75" customHeight="1">
      <c r="B985" s="24"/>
      <c r="C985" s="22">
        <v>45331.0</v>
      </c>
      <c r="D985" s="23"/>
    </row>
    <row r="986" ht="15.75" customHeight="1">
      <c r="B986" s="24"/>
      <c r="C986" s="22">
        <v>45332.0</v>
      </c>
      <c r="D986" s="23"/>
    </row>
    <row r="987" ht="15.75" customHeight="1">
      <c r="B987" s="24"/>
      <c r="C987" s="22">
        <v>45333.0</v>
      </c>
      <c r="D987" s="23"/>
    </row>
    <row r="988" ht="15.75" customHeight="1">
      <c r="B988" s="24"/>
      <c r="C988" s="22">
        <v>45334.0</v>
      </c>
      <c r="D988" s="23"/>
    </row>
    <row r="989" ht="15.75" customHeight="1">
      <c r="B989" s="24"/>
      <c r="C989" s="22">
        <v>45335.0</v>
      </c>
      <c r="D989" s="23"/>
    </row>
    <row r="990" ht="15.75" customHeight="1">
      <c r="B990" s="24"/>
      <c r="C990" s="22">
        <v>45336.0</v>
      </c>
      <c r="D990" s="23"/>
    </row>
    <row r="991" ht="15.75" customHeight="1">
      <c r="B991" s="24"/>
      <c r="C991" s="22">
        <v>45337.0</v>
      </c>
      <c r="D991" s="23"/>
    </row>
    <row r="992" ht="15.75" customHeight="1">
      <c r="B992" s="24"/>
      <c r="C992" s="22">
        <v>45338.0</v>
      </c>
      <c r="D992" s="23"/>
    </row>
    <row r="993" ht="15.75" customHeight="1">
      <c r="B993" s="24"/>
      <c r="C993" s="22">
        <v>45339.0</v>
      </c>
      <c r="D993" s="23"/>
    </row>
    <row r="994" ht="15.75" customHeight="1">
      <c r="B994" s="24"/>
      <c r="C994" s="22">
        <v>45340.0</v>
      </c>
      <c r="D994" s="23"/>
    </row>
    <row r="995" ht="15.75" customHeight="1">
      <c r="B995" s="24"/>
      <c r="C995" s="22">
        <v>45341.0</v>
      </c>
      <c r="D995" s="23"/>
    </row>
    <row r="996" ht="15.75" customHeight="1">
      <c r="B996" s="24"/>
      <c r="C996" s="22">
        <v>45342.0</v>
      </c>
      <c r="D996" s="23"/>
    </row>
    <row r="997" ht="15.75" customHeight="1">
      <c r="B997" s="27"/>
      <c r="C997" s="22">
        <v>45343.0</v>
      </c>
      <c r="D997" s="28"/>
    </row>
    <row r="998" ht="15.75" customHeight="1"/>
    <row r="999" ht="15.75" customHeight="1"/>
    <row r="1000" ht="15.75" customHeight="1"/>
  </sheetData>
  <autoFilter ref="$A$1:$A$997">
    <sortState ref="A1:A997">
      <sortCondition ref="A1:A99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6.13"/>
    <col customWidth="1" min="3" max="3" width="60.25"/>
    <col customWidth="1" min="4" max="4" width="6.13"/>
    <col customWidth="1" min="5" max="5" width="6.5"/>
    <col customWidth="1" min="6" max="6" width="1.5"/>
    <col customWidth="1" min="7" max="7" width="8.38"/>
    <col customWidth="1" hidden="1" min="8" max="27" width="6.5"/>
  </cols>
  <sheetData>
    <row r="1" ht="15.75" customHeight="1">
      <c r="A1" s="29" t="s">
        <v>6493</v>
      </c>
      <c r="B1" s="29" t="s">
        <v>6368</v>
      </c>
      <c r="C1" s="30" t="s">
        <v>32</v>
      </c>
      <c r="D1" s="31" t="s">
        <v>3</v>
      </c>
      <c r="E1" s="32" t="s">
        <v>1</v>
      </c>
      <c r="F1" s="33" t="s">
        <v>6494</v>
      </c>
      <c r="G1" s="34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ht="15.75" customHeight="1">
      <c r="A2" s="35">
        <f t="array" ref="A2:A129">SORT(SCAN!A2:A499,0,0)</f>
        <v>44615.69761</v>
      </c>
      <c r="B2" s="36">
        <f t="shared" ref="B2:B499" si="1">ifs($A2=FALSE,"",$A2,DATEVALUE(A2))</f>
        <v>44615</v>
      </c>
      <c r="C2" s="37" t="str">
        <f>ifs($A2=FALSE,"",$A2,VLOOKUP($A2,SCAN!$A:$C,3,0))</f>
        <v>13885, 9265, 18125, 11389, 14185, 18128, 9242, 16135, 16035, 16739, 18159, 16388, 14900, 10047, 9676, 12556, 14256, 18130, 18127, 17982, 18178, 18023, 18144, 17581, 13235, 14184, 17637, 10623, 15910, 11690, 9361, 15972, 16096, 12275, 15831, 10337, 15379, 17209, 12795, 15555, 10766</v>
      </c>
      <c r="D2" s="36">
        <f>ifs($A2=FALSE,"",$A2,VLOOKUP($A2,SCAN!$A:$D,4,0))</f>
        <v>44613</v>
      </c>
      <c r="E2" s="38" t="str">
        <f>ifs($A2=FALSE,"",$A2,VLOOKUP($A2,SCAN!$A:$C,2,0))</f>
        <v>FA</v>
      </c>
      <c r="F2" s="39"/>
      <c r="G2" s="38">
        <f t="shared" ref="G2:G499" si="2">ifs($A2=FALSE,"",$A2,MONTH(D2))</f>
        <v>2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ht="15.75" customHeight="1">
      <c r="A3" s="40">
        <v>44615.703261180555</v>
      </c>
      <c r="B3" s="36">
        <f t="shared" si="1"/>
        <v>44615</v>
      </c>
      <c r="C3" s="37" t="str">
        <f>ifs($A3=FALSE,"",$A3,VLOOKUP($A3,SCAN!$A:$C,3,0))</f>
        <v>17683, 17804, 18160, 18142, 18167,18185, 18179, 13673, 17432,  18149, 16983, 10817,  11207, 14520, 16873, 15570, 14257, 16320, 14373, 17945, 18154, 18173, 15611, 13830, 9492, 11357, 16245, 10718</v>
      </c>
      <c r="D3" s="36">
        <f>ifs($A3=FALSE,"",$A3,VLOOKUP($A3,SCAN!$A:$D,4,0))</f>
        <v>44614</v>
      </c>
      <c r="E3" s="38" t="str">
        <f>ifs($A3=FALSE,"",$A3,VLOOKUP($A3,SCAN!$A:$C,2,0))</f>
        <v>JA</v>
      </c>
      <c r="F3" s="39"/>
      <c r="G3" s="38">
        <f t="shared" si="2"/>
        <v>2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ht="15.75" customHeight="1">
      <c r="A4" s="40">
        <v>44616.731304699075</v>
      </c>
      <c r="B4" s="36">
        <f t="shared" si="1"/>
        <v>44616</v>
      </c>
      <c r="C4" s="37" t="str">
        <f>ifs($A4=FALSE,"",$A4,VLOOKUP($A4,SCAN!$A:$C,3,0))</f>
        <v>16695, 13601,17645,17214,10796, 16333,10115,13458,10323,16053, 13799, 14503, 15591, 12669, 12775, 15604, 14602, 11223, 16974, 11797, 15145, 17316, 10583, 17587, 12866, 17548, 16474, 17911, 9878, 10395, 14183</v>
      </c>
      <c r="D4" s="36">
        <f>ifs($A4=FALSE,"",$A4,VLOOKUP($A4,SCAN!$A:$D,4,0))</f>
        <v>44616</v>
      </c>
      <c r="E4" s="38" t="str">
        <f>ifs($A4=FALSE,"",$A4,VLOOKUP($A4,SCAN!$A:$C,2,0))</f>
        <v>FA</v>
      </c>
      <c r="F4" s="39"/>
      <c r="G4" s="38">
        <f t="shared" si="2"/>
        <v>2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ht="15.75" customHeight="1">
      <c r="A5" s="40">
        <v>44617.71005543981</v>
      </c>
      <c r="B5" s="36">
        <f t="shared" si="1"/>
        <v>44617</v>
      </c>
      <c r="C5" s="37" t="str">
        <f>ifs($A5=FALSE,"",$A5,VLOOKUP($A5,SCAN!$A:$C,3,0))</f>
        <v>17276, 9187, 15786, 16637, 10878, 16355, 16236, 11004, 15606, 16252</v>
      </c>
      <c r="D5" s="36">
        <f>ifs($A5=FALSE,"",$A5,VLOOKUP($A5,SCAN!$A:$D,4,0))</f>
        <v>44617</v>
      </c>
      <c r="E5" s="38" t="str">
        <f>ifs($A5=FALSE,"",$A5,VLOOKUP($A5,SCAN!$A:$C,2,0))</f>
        <v>FA</v>
      </c>
      <c r="F5" s="39"/>
      <c r="G5" s="38">
        <f t="shared" si="2"/>
        <v>2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ht="15.75" customHeight="1">
      <c r="A6" s="40">
        <v>44621.693452824074</v>
      </c>
      <c r="B6" s="36">
        <f t="shared" si="1"/>
        <v>44621</v>
      </c>
      <c r="C6" s="37" t="str">
        <f>ifs($A6=FALSE,"",$A6,VLOOKUP($A6,SCAN!$A:$C,3,0))</f>
        <v>18011, 15785, 14276, 9218, 16958, 11827, 18182, 14079, 11037, 11131, 11163, 18220, 9950, 13853, 16219, 12697, 13205, 18150, 14729, 10444, 16373, 13734, 11773, 17166, 18218, 11162, 15702, 9820, 16039, 18164, 11365</v>
      </c>
      <c r="D6" s="36">
        <f>ifs($A6=FALSE,"",$A6,VLOOKUP($A6,SCAN!$A:$D,4,0))</f>
        <v>44621</v>
      </c>
      <c r="E6" s="38" t="str">
        <f>ifs($A6=FALSE,"",$A6,VLOOKUP($A6,SCAN!$A:$C,2,0))</f>
        <v>FA</v>
      </c>
      <c r="F6" s="39"/>
      <c r="G6" s="38">
        <f t="shared" si="2"/>
        <v>3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ht="15.75" customHeight="1">
      <c r="A7" s="40">
        <v>44621.70452342593</v>
      </c>
      <c r="B7" s="36">
        <f t="shared" si="1"/>
        <v>44621</v>
      </c>
      <c r="C7" s="37" t="str">
        <f>ifs($A7=FALSE,"",$A7,VLOOKUP($A7,SCAN!$A:$C,3,0))</f>
        <v>9283, 15328, 13429, 15223, 15530, 11411, 17789, 12446, 10466, 9574, 16392, 16286, 11059, 18174, 11072, 18192, 18176, 18189, 17512, 12375, 17854, 10031, 11738, 16294, 11728, 15044, 15659, 9164, 15219, 18207, 16262, 14985, 10445, 14757</v>
      </c>
      <c r="D7" s="36">
        <f>ifs($A7=FALSE,"",$A7,VLOOKUP($A7,SCAN!$A:$D,4,0))</f>
        <v>44615</v>
      </c>
      <c r="E7" s="38" t="str">
        <f>ifs($A7=FALSE,"",$A7,VLOOKUP($A7,SCAN!$A:$C,2,0))</f>
        <v>FA</v>
      </c>
      <c r="F7" s="39"/>
      <c r="G7" s="38">
        <f t="shared" si="2"/>
        <v>2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ht="15.75" customHeight="1">
      <c r="A8" s="40">
        <v>44622.47943774305</v>
      </c>
      <c r="B8" s="36">
        <f t="shared" si="1"/>
        <v>44622</v>
      </c>
      <c r="C8" s="37" t="str">
        <f>ifs($A8=FALSE,"",$A8,VLOOKUP($A8,SCAN!$A:$C,3,0))</f>
        <v>15549, 18202, 18171, 18105, 18201, 16128, 14186, 14612, 18009, 15175, 18199, 18205, 14909, 10573, 15375, 14753, 12224, 17887, 18246, 11761, 17657</v>
      </c>
      <c r="D8" s="36">
        <f>ifs($A8=FALSE,"",$A8,VLOOKUP($A8,SCAN!$A:$D,4,0))</f>
        <v>44620</v>
      </c>
      <c r="E8" s="38" t="str">
        <f>ifs($A8=FALSE,"",$A8,VLOOKUP($A8,SCAN!$A:$C,2,0))</f>
        <v>FA</v>
      </c>
      <c r="F8" s="39"/>
      <c r="G8" s="38">
        <f t="shared" si="2"/>
        <v>2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40">
        <v>44623.70641018519</v>
      </c>
      <c r="B9" s="36">
        <f t="shared" si="1"/>
        <v>44623</v>
      </c>
      <c r="C9" s="37" t="str">
        <f>ifs($A9=FALSE,"",$A9,VLOOKUP($A9,SCAN!$A:$C,3,0))</f>
        <v>14212, 9794, 14293, 9416, 11830, 9286, 16404, 11637, 12662, 17182, 16554, 17948, 16163, 10084, 12875, 17575, 9854, 16347, 9433, 13053, 14986, 17162, 14219, 12124, 15739, 17696, 9376, 13442, 12509, 10157, 17481, 15806, 16875</v>
      </c>
      <c r="D9" s="36">
        <f>ifs($A9=FALSE,"",$A9,VLOOKUP($A9,SCAN!$A:$D,4,0))</f>
        <v>44623</v>
      </c>
      <c r="E9" s="38" t="str">
        <f>ifs($A9=FALSE,"",$A9,VLOOKUP($A9,SCAN!$A:$C,2,0))</f>
        <v>JA</v>
      </c>
      <c r="F9" s="39"/>
      <c r="G9" s="38">
        <f t="shared" si="2"/>
        <v>3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40">
        <v>44628.392790729165</v>
      </c>
      <c r="B10" s="36">
        <f t="shared" si="1"/>
        <v>44628</v>
      </c>
      <c r="C10" s="37" t="str">
        <f>ifs($A10=FALSE,"",$A10,VLOOKUP($A10,SCAN!$A:$C,3,0))</f>
        <v>15891, 15892, 15368, 14862, 16167, 16677, 15621, 18215, 18273, 18267, 16914, 18295, 11192, 18136, 18242, 9426, 18145, 9479, 9377, 15791, 11865, 17461, 15176, 15642, 16166, 16425, 15602, 14126, 13970, 10607, 18250, 16443, 16117, 10185, 18243, 18316, 18236, 14103</v>
      </c>
      <c r="D10" s="36">
        <f>ifs($A10=FALSE,"",$A10,VLOOKUP($A10,SCAN!$A:$D,4,0))</f>
        <v>44627</v>
      </c>
      <c r="E10" s="38" t="str">
        <f>ifs($A10=FALSE,"",$A10,VLOOKUP($A10,SCAN!$A:$C,2,0))</f>
        <v>JA</v>
      </c>
      <c r="F10" s="39"/>
      <c r="G10" s="38">
        <f t="shared" si="2"/>
        <v>3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40">
        <v>44628.713353240746</v>
      </c>
      <c r="B11" s="36">
        <f t="shared" si="1"/>
        <v>44628</v>
      </c>
      <c r="C11" s="37" t="str">
        <f>ifs($A11=FALSE,"",$A11,VLOOKUP($A11,SCAN!$A:$C,3,0))</f>
        <v>11852, 17761, 13180, 17076, 13273, 17513, 11303, 17714, 16502, 17472, 15479, 10495, 15337, 12884, 17606, 14275, 16483, 13405, 15689, 11065, 13167, 14682, 9220, 9726, 10016</v>
      </c>
      <c r="D11" s="36">
        <f>ifs($A11=FALSE,"",$A11,VLOOKUP($A11,SCAN!$A:$D,4,0))</f>
        <v>44628</v>
      </c>
      <c r="E11" s="38" t="str">
        <f>ifs($A11=FALSE,"",$A11,VLOOKUP($A11,SCAN!$A:$C,2,0))</f>
        <v>JA</v>
      </c>
      <c r="F11" s="39"/>
      <c r="G11" s="38">
        <f t="shared" si="2"/>
        <v>3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40">
        <v>44630.69913111111</v>
      </c>
      <c r="B12" s="36">
        <f t="shared" si="1"/>
        <v>44630</v>
      </c>
      <c r="C12" s="37">
        <f>ifs($A12=FALSE,"",$A12,VLOOKUP($A12,SCAN!$A:$C,3,0))</f>
        <v>10016</v>
      </c>
      <c r="D12" s="36">
        <f>ifs($A12=FALSE,"",$A12,VLOOKUP($A12,SCAN!$A:$D,4,0))</f>
        <v>44628</v>
      </c>
      <c r="E12" s="38" t="str">
        <f>ifs($A12=FALSE,"",$A12,VLOOKUP($A12,SCAN!$A:$C,2,0))</f>
        <v>JA</v>
      </c>
      <c r="F12" s="39"/>
      <c r="G12" s="38">
        <f t="shared" si="2"/>
        <v>3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40">
        <v>44630.703505150464</v>
      </c>
      <c r="B13" s="36">
        <f t="shared" si="1"/>
        <v>44630</v>
      </c>
      <c r="C13" s="37" t="str">
        <f>ifs($A13=FALSE,"",$A13,VLOOKUP($A13,SCAN!$A:$C,3,0))</f>
        <v>18307, 18332, 9998, 18292, 9810, 13512, 18290, 15668, 17557, 16106, 11152, 16574, 10100, 16442, 14406, 16928, 15683, 9170, 17635, 15544, 12572, 17726, 15803, 9245, 16993, 11174, 16299, 11792</v>
      </c>
      <c r="D13" s="36">
        <f>ifs($A13=FALSE,"",$A13,VLOOKUP($A13,SCAN!$A:$D,4,0))</f>
        <v>44630</v>
      </c>
      <c r="E13" s="38" t="str">
        <f>ifs($A13=FALSE,"",$A13,VLOOKUP($A13,SCAN!$A:$C,2,0))</f>
        <v>JA</v>
      </c>
      <c r="F13" s="39"/>
      <c r="G13" s="38">
        <f t="shared" si="2"/>
        <v>3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40">
        <v>44631.7233215625</v>
      </c>
      <c r="B14" s="36">
        <f t="shared" si="1"/>
        <v>44631</v>
      </c>
      <c r="C14" s="37" t="str">
        <f>ifs($A14=FALSE,"",$A14,VLOOKUP($A14,SCAN!$A:$C,3,0))</f>
        <v>9623, 12675, 14668, 9858, 11881, 15555, 12752, 10154, 9284, 9945, 10176, 11034, 14019, 17844, 16763, 16995, 17812, 11084, 12938, 14571, 10277, 11218, 9170, 13299, 17343, 9141, 17706, 13892, 15216, 10525</v>
      </c>
      <c r="D14" s="36">
        <f>ifs($A14=FALSE,"",$A14,VLOOKUP($A14,SCAN!$A:$D,4,0))</f>
        <v>44631</v>
      </c>
      <c r="E14" s="38" t="str">
        <f>ifs($A14=FALSE,"",$A14,VLOOKUP($A14,SCAN!$A:$C,2,0))</f>
        <v>JA</v>
      </c>
      <c r="F14" s="39"/>
      <c r="G14" s="38">
        <f t="shared" si="2"/>
        <v>3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40">
        <v>44634.711401759254</v>
      </c>
      <c r="B15" s="36">
        <f t="shared" si="1"/>
        <v>44634</v>
      </c>
      <c r="C15" s="37" t="str">
        <f>ifs($A15=FALSE,"",$A15,VLOOKUP($A15,SCAN!$A:$C,3,0))</f>
        <v>15771, 13798, 16246, 11959, 9760, 17367, 10273, 15657, 15002, 15167, 10114, 15335, 14411, 9197, 11171, 13078, 16542, 11856, 9538, 16044</v>
      </c>
      <c r="D15" s="36">
        <f>ifs($A15=FALSE,"",$A15,VLOOKUP($A15,SCAN!$A:$D,4,0))</f>
        <v>44634</v>
      </c>
      <c r="E15" s="38" t="str">
        <f>ifs($A15=FALSE,"",$A15,VLOOKUP($A15,SCAN!$A:$C,2,0))</f>
        <v>FA</v>
      </c>
      <c r="F15" s="39"/>
      <c r="G15" s="38">
        <f t="shared" si="2"/>
        <v>3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40">
        <v>44635.72831180556</v>
      </c>
      <c r="B16" s="36">
        <f t="shared" si="1"/>
        <v>44635</v>
      </c>
      <c r="C16" s="37" t="str">
        <f>ifs($A16=FALSE,"",$A16,VLOOKUP($A16,SCAN!$A:$C,3,0))</f>
        <v>16239, 16923, 9309, 18297, 18313, 16310, 15207, 12274,  9303, 18323, 18310, 18403, 18212, 18299, 18122, 9420, 17947, 16873, 16000, 16325, 16156, 10697, 13293, 11562, 9779, 9259, 15716, 11357, 15697, 17476, 16488, 12083, 11026, 16807</v>
      </c>
      <c r="D16" s="36">
        <f>ifs($A16=FALSE,"",$A16,VLOOKUP($A16,SCAN!$A:$D,4,0))</f>
        <v>44635</v>
      </c>
      <c r="E16" s="38" t="str">
        <f>ifs($A16=FALSE,"",$A16,VLOOKUP($A16,SCAN!$A:$C,2,0))</f>
        <v>JA</v>
      </c>
      <c r="F16" s="39"/>
      <c r="G16" s="38">
        <f t="shared" si="2"/>
        <v>3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40">
        <v>44637.707298877314</v>
      </c>
      <c r="B17" s="36">
        <f t="shared" si="1"/>
        <v>44637</v>
      </c>
      <c r="C17" s="37" t="str">
        <f>ifs($A17=FALSE,"",$A17,VLOOKUP($A17,SCAN!$A:$C,3,0))</f>
        <v>9200, 14897, 18350, 9892, 14076, 18394, 16312, 15620, 16433, 12792, 18368, 12131, 16822, 1138917025, 9361, 15914, 13830, 17259, 17388, 17127, 14602, 15763, 9488</v>
      </c>
      <c r="D17" s="36">
        <f>ifs($A17=FALSE,"",$A17,VLOOKUP($A17,SCAN!$A:$D,4,0))</f>
        <v>44637</v>
      </c>
      <c r="E17" s="38" t="str">
        <f>ifs($A17=FALSE,"",$A17,VLOOKUP($A17,SCAN!$A:$C,2,0))</f>
        <v>JA</v>
      </c>
      <c r="F17" s="39"/>
      <c r="G17" s="38">
        <f t="shared" si="2"/>
        <v>3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40">
        <v>44637.71668324074</v>
      </c>
      <c r="B18" s="36">
        <f t="shared" si="1"/>
        <v>44637</v>
      </c>
      <c r="C18" s="37" t="str">
        <f>ifs($A18=FALSE,"",$A18,VLOOKUP($A18,SCAN!$A:$C,3,0))</f>
        <v>12167, 16560,16037, 15521, 10477, 17055, 10732,  9775, 15600, 9241, 13084, 13331, 17068, 18237, 10708, 15789, 13428, 17042, 14178, 11416, 12888, 17704, 15790, 14502, 18244, 13225, 17318, 17022, 15272, 10801, 11870, 10945, 11012</v>
      </c>
      <c r="D18" s="36">
        <f>ifs($A18=FALSE,"",$A18,VLOOKUP($A18,SCAN!$A:$D,4,0))</f>
        <v>44622</v>
      </c>
      <c r="E18" s="38" t="str">
        <f>ifs($A18=FALSE,"",$A18,VLOOKUP($A18,SCAN!$A:$C,2,0))</f>
        <v>FA</v>
      </c>
      <c r="F18" s="39"/>
      <c r="G18" s="38">
        <f t="shared" si="2"/>
        <v>3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40">
        <v>44638.70673435185</v>
      </c>
      <c r="B19" s="36">
        <f t="shared" si="1"/>
        <v>44638</v>
      </c>
      <c r="C19" s="37" t="str">
        <f>ifs($A19=FALSE,"",$A19,VLOOKUP($A19,SCAN!$A:$C,3,0))</f>
        <v>15461, 14200, 17639, 12566, 14816, 15972, 9976, 9308, 14486, 12303, 13118, 14434, 12134, 14267, 14054, 10818, 13355, 14384, 15298, 12876, 9244, 9534, 12225, 10047, 9897, 16476, 15099, 9153, 12088, 15831, 16449, 10623, 15647</v>
      </c>
      <c r="D19" s="36">
        <f>ifs($A19=FALSE,"",$A19,VLOOKUP($A19,SCAN!$A:$D,4,0))</f>
        <v>44638</v>
      </c>
      <c r="E19" s="38" t="str">
        <f>ifs($A19=FALSE,"",$A19,VLOOKUP($A19,SCAN!$A:$C,2,0))</f>
        <v>JA</v>
      </c>
      <c r="F19" s="39"/>
      <c r="G19" s="38">
        <f t="shared" si="2"/>
        <v>3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40">
        <v>44641.702516053236</v>
      </c>
      <c r="B20" s="36">
        <f t="shared" si="1"/>
        <v>44641</v>
      </c>
      <c r="C20" s="37" t="str">
        <f>ifs($A20=FALSE,"",$A20,VLOOKUP($A20,SCAN!$A:$C,3,0))</f>
        <v>9957, 14520, 16664, 11476, 11471, 15591, 14587, 12275, 17470, 13579, 9139, 10718, 13673, 16245, 17597, 15571, 14373, 15654, 12795, 17434, 18256, 18312, 9204, 13861, 18337, 10817, 9217, 18463, 18282, 18317, 18281, 14257, 12577, 13440, 18383, 18359, 10330, 14489, 18393, 18318, 18287, 18262, 18376, 18421, 18448, 10291, 18356, 18345</v>
      </c>
      <c r="D20" s="36">
        <f>ifs($A20=FALSE,"",$A20,VLOOKUP($A20,SCAN!$A:$D,4,0))</f>
        <v>44641</v>
      </c>
      <c r="E20" s="38" t="str">
        <f>ifs($A20=FALSE,"",$A20,VLOOKUP($A20,SCAN!$A:$C,2,0))</f>
        <v>FA</v>
      </c>
      <c r="F20" s="39"/>
      <c r="G20" s="38">
        <f t="shared" si="2"/>
        <v>3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40">
        <v>44642.71662060185</v>
      </c>
      <c r="B21" s="36">
        <f t="shared" si="1"/>
        <v>44642</v>
      </c>
      <c r="C21" s="37" t="str">
        <f>ifs($A21=FALSE,"",$A21,VLOOKUP($A21,SCAN!$A:$C,3,0))</f>
        <v>18302, 18360, 18426, 18439, 18437, 13719, 14916, 18415, 12787, 18361, 18401, 17728, 15584, 18081, 14810, 18464, 15145, 10323, 10466, 13839, 15984, 15328, 17321, 17092, 17854, 10593, 16974, 12071, 17405, 15604, 16294, 11223, 16685, 11207, 14959</v>
      </c>
      <c r="D21" s="36">
        <f>ifs($A21=FALSE,"",$A21,VLOOKUP($A21,SCAN!$A:$D,4,0))</f>
        <v>44642</v>
      </c>
      <c r="E21" s="38" t="str">
        <f>ifs($A21=FALSE,"",$A21,VLOOKUP($A21,SCAN!$A:$C,2,0))</f>
        <v>FA</v>
      </c>
      <c r="F21" s="39"/>
      <c r="G21" s="38">
        <f t="shared" si="2"/>
        <v>3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40">
        <v>44643.712944548606</v>
      </c>
      <c r="B22" s="36">
        <f t="shared" si="1"/>
        <v>44643</v>
      </c>
      <c r="C22" s="37" t="str">
        <f>ifs($A22=FALSE,"",$A22,VLOOKUP($A22,SCAN!$A:$C,3,0))</f>
        <v>10395, 12489, 17186, 9878, 9143, 13880, 15606, 11252, 10416, 15192, 9986, 10316, 14870, 17391, 16427, 15378, 18386, 18225, 13383, 16262, 18399, 14691, 18288, 15255, 18474, 12902, 18489, 17064, 18465</v>
      </c>
      <c r="D22" s="36">
        <f>ifs($A22=FALSE,"",$A22,VLOOKUP($A22,SCAN!$A:$D,4,0))</f>
        <v>44643</v>
      </c>
      <c r="E22" s="38" t="str">
        <f>ifs($A22=FALSE,"",$A22,VLOOKUP($A22,SCAN!$A:$C,2,0))</f>
        <v>FA</v>
      </c>
      <c r="F22" s="39"/>
      <c r="G22" s="38">
        <f t="shared" si="2"/>
        <v>3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40">
        <v>44644.69775902778</v>
      </c>
      <c r="B23" s="36">
        <f t="shared" si="1"/>
        <v>44644</v>
      </c>
      <c r="C23" s="37" t="str">
        <f>ifs($A23=FALSE,"",$A23,VLOOKUP($A23,SCAN!$A:$C,3,0))</f>
        <v>15998, 9800, 16562, 18440, 13422, 9586, 18487, 16983, 15665, 18498, 13946, 10604, 17626, 15910, 15923, 16345, 13023, 18364, 17956, 15485, 14955, 18435, 9235, 16481, 10442, 10754, 13488, 15430, 18485, 17345, 17553, 14578</v>
      </c>
      <c r="D23" s="36">
        <f>ifs($A23=FALSE,"",$A23,VLOOKUP($A23,SCAN!$A:$D,4,0))</f>
        <v>44644</v>
      </c>
      <c r="E23" s="38" t="str">
        <f>ifs($A23=FALSE,"",$A23,VLOOKUP($A23,SCAN!$A:$C,2,0))</f>
        <v>JA</v>
      </c>
      <c r="F23" s="39"/>
      <c r="G23" s="38">
        <f t="shared" si="2"/>
        <v>3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40">
        <v>44645.717794502314</v>
      </c>
      <c r="B24" s="36">
        <f t="shared" si="1"/>
        <v>44645</v>
      </c>
      <c r="C24" s="37" t="str">
        <f>ifs($A24=FALSE,"",$A24,VLOOKUP($A24,SCAN!$A:$C,3,0))</f>
        <v>11025, 15786, 13528, 12849, 14821, 10355, 16527, 16365, 13432, 9683, 16320, 9903, 9676, 17079, 18066, 16421, 12040, 17777, 17869, 15712, 15175, 14186</v>
      </c>
      <c r="D24" s="36">
        <f>ifs($A24=FALSE,"",$A24,VLOOKUP($A24,SCAN!$A:$D,4,0))</f>
        <v>44645</v>
      </c>
      <c r="E24" s="38" t="str">
        <f>ifs($A24=FALSE,"",$A24,VLOOKUP($A24,SCAN!$A:$C,2,0))</f>
        <v>JA</v>
      </c>
      <c r="F24" s="39"/>
      <c r="G24" s="38">
        <f t="shared" si="2"/>
        <v>3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40">
        <v>44648.69661304398</v>
      </c>
      <c r="B25" s="36">
        <f t="shared" si="1"/>
        <v>44648</v>
      </c>
      <c r="C25" s="37" t="str">
        <f>ifs($A25=FALSE,"",$A25,VLOOKUP($A25,SCAN!$A:$C,3,0))</f>
        <v>14388, 10115, 10626, 12659, 9807, 12724, 10941, 16128, 14924, 13152, 16703, 10109, 9861, 15375, 15957, 12614, 14612, 17591, 16548, 18476, 17876, 18366, 18195, 18355, 18333, 15575, 18473, 18420, 18461, 17529, 10583, 10472, 18452, 18454, 18425</v>
      </c>
      <c r="D25" s="36">
        <f>ifs($A25=FALSE,"",$A25,VLOOKUP($A25,SCAN!$A:$D,4,0))</f>
        <v>44648</v>
      </c>
      <c r="E25" s="38" t="str">
        <f>ifs($A25=FALSE,"",$A25,VLOOKUP($A25,SCAN!$A:$C,2,0))</f>
        <v>JA</v>
      </c>
      <c r="F25" s="39"/>
      <c r="G25" s="38">
        <f t="shared" si="2"/>
        <v>3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40">
        <v>44649.681795972225</v>
      </c>
      <c r="B26" s="36">
        <f t="shared" si="1"/>
        <v>44649</v>
      </c>
      <c r="C26" s="37" t="str">
        <f>ifs($A26=FALSE,"",$A26,VLOOKUP($A26,SCAN!$A:$C,3,0))</f>
        <v>9583, 17432, 9234, 17722, 9278, 17801, 14066, 18495, 9299, 18468, 18455, 18405, 18370, 11761, 18419, 18412, 10445, 18375, 18509, 18453, 18245, 13522, 18491, 13779, 18438</v>
      </c>
      <c r="D26" s="36">
        <f>ifs($A26=FALSE,"",$A26,VLOOKUP($A26,SCAN!$A:$D,4,0))</f>
        <v>44649</v>
      </c>
      <c r="E26" s="38" t="str">
        <f>ifs($A26=FALSE,"",$A26,VLOOKUP($A26,SCAN!$A:$C,2,0))</f>
        <v>FA</v>
      </c>
      <c r="F26" s="39"/>
      <c r="G26" s="38">
        <f t="shared" si="2"/>
        <v>3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40">
        <v>44650.71016412037</v>
      </c>
      <c r="B27" s="36">
        <f t="shared" si="1"/>
        <v>44650</v>
      </c>
      <c r="C27" s="37" t="str">
        <f>ifs($A27=FALSE,"",$A27,VLOOKUP($A27,SCAN!$A:$C,3,0))</f>
        <v>15845, 15407, 18502, 17539, 10882, 18444, 14183, 15502, 18570, 13885, 16119, 14120, 18518, 18486, 15412</v>
      </c>
      <c r="D27" s="36">
        <f>ifs($A27=FALSE,"",$A27,VLOOKUP($A27,SCAN!$A:$D,4,0))</f>
        <v>44650</v>
      </c>
      <c r="E27" s="38" t="str">
        <f>ifs($A27=FALSE,"",$A27,VLOOKUP($A27,SCAN!$A:$C,2,0))</f>
        <v>JA</v>
      </c>
      <c r="F27" s="39"/>
      <c r="G27" s="38">
        <f t="shared" si="2"/>
        <v>3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40">
        <v>44651.6877396412</v>
      </c>
      <c r="B28" s="36">
        <f t="shared" si="1"/>
        <v>44651</v>
      </c>
      <c r="C28" s="37" t="str">
        <f>ifs($A28=FALSE,"",$A28,VLOOKUP($A28,SCAN!$A:$C,3,0))</f>
        <v>18043, 18410,16473, 18572, 18574, 18521, 14826, 17540, 13536, 17549, 9300, 17421, 11903, 16295 </v>
      </c>
      <c r="D28" s="36">
        <f>ifs($A28=FALSE,"",$A28,VLOOKUP($A28,SCAN!$A:$D,4,0))</f>
        <v>44651</v>
      </c>
      <c r="E28" s="38" t="str">
        <f>ifs($A28=FALSE,"",$A28,VLOOKUP($A28,SCAN!$A:$C,2,0))</f>
        <v>JA</v>
      </c>
      <c r="F28" s="39"/>
      <c r="G28" s="38">
        <f t="shared" si="2"/>
        <v>3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40">
        <v>44651.70589952546</v>
      </c>
      <c r="B29" s="36">
        <f t="shared" si="1"/>
        <v>44651</v>
      </c>
      <c r="C29" s="37">
        <f>ifs($A29=FALSE,"",$A29,VLOOKUP($A29,SCAN!$A:$C,3,0))</f>
        <v>15277</v>
      </c>
      <c r="D29" s="36">
        <f>ifs($A29=FALSE,"",$A29,VLOOKUP($A29,SCAN!$A:$D,4,0))</f>
        <v>44651</v>
      </c>
      <c r="E29" s="38" t="str">
        <f>ifs($A29=FALSE,"",$A29,VLOOKUP($A29,SCAN!$A:$C,2,0))</f>
        <v>JA</v>
      </c>
      <c r="F29" s="39"/>
      <c r="G29" s="38">
        <f t="shared" si="2"/>
        <v>3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41"/>
      <c r="B30" s="36" t="str">
        <f t="shared" si="1"/>
        <v/>
      </c>
      <c r="C30" s="37" t="str">
        <f>ifs($A30=FALSE,"",$A30,VLOOKUP($A30,SCAN!$A:$C,3,0))</f>
        <v/>
      </c>
      <c r="D30" s="36" t="str">
        <f>ifs($A30=FALSE,"",$A30,VLOOKUP($A30,SCAN!$A:$D,4,0))</f>
        <v/>
      </c>
      <c r="E30" s="38" t="str">
        <f>ifs($A30=FALSE,"",$A30,VLOOKUP($A30,SCAN!$A:$C,2,0))</f>
        <v/>
      </c>
      <c r="F30" s="39"/>
      <c r="G30" s="38" t="str">
        <f t="shared" si="2"/>
        <v/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41"/>
      <c r="B31" s="36" t="str">
        <f t="shared" si="1"/>
        <v/>
      </c>
      <c r="C31" s="37" t="str">
        <f>ifs($A31=FALSE,"",$A31,VLOOKUP($A31,SCAN!$A:$C,3,0))</f>
        <v/>
      </c>
      <c r="D31" s="36" t="str">
        <f>ifs($A31=FALSE,"",$A31,VLOOKUP($A31,SCAN!$A:$D,4,0))</f>
        <v/>
      </c>
      <c r="E31" s="38" t="str">
        <f>ifs($A31=FALSE,"",$A31,VLOOKUP($A31,SCAN!$A:$C,2,0))</f>
        <v/>
      </c>
      <c r="F31" s="39"/>
      <c r="G31" s="38" t="str">
        <f t="shared" si="2"/>
        <v/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41"/>
      <c r="B32" s="36" t="str">
        <f t="shared" si="1"/>
        <v/>
      </c>
      <c r="C32" s="37" t="str">
        <f>ifs($A32=FALSE,"",$A32,VLOOKUP($A32,SCAN!$A:$C,3,0))</f>
        <v/>
      </c>
      <c r="D32" s="36" t="str">
        <f>ifs($A32=FALSE,"",$A32,VLOOKUP($A32,SCAN!$A:$D,4,0))</f>
        <v/>
      </c>
      <c r="E32" s="38" t="str">
        <f>ifs($A32=FALSE,"",$A32,VLOOKUP($A32,SCAN!$A:$C,2,0))</f>
        <v/>
      </c>
      <c r="F32" s="39"/>
      <c r="G32" s="38" t="str">
        <f t="shared" si="2"/>
        <v/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41"/>
      <c r="B33" s="36" t="str">
        <f t="shared" si="1"/>
        <v/>
      </c>
      <c r="C33" s="37" t="str">
        <f>ifs($A33=FALSE,"",$A33,VLOOKUP($A33,SCAN!$A:$C,3,0))</f>
        <v/>
      </c>
      <c r="D33" s="36" t="str">
        <f>ifs($A33=FALSE,"",$A33,VLOOKUP($A33,SCAN!$A:$D,4,0))</f>
        <v/>
      </c>
      <c r="E33" s="38" t="str">
        <f>ifs($A33=FALSE,"",$A33,VLOOKUP($A33,SCAN!$A:$C,2,0))</f>
        <v/>
      </c>
      <c r="F33" s="39"/>
      <c r="G33" s="38" t="str">
        <f t="shared" si="2"/>
        <v/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41"/>
      <c r="B34" s="36" t="str">
        <f t="shared" si="1"/>
        <v/>
      </c>
      <c r="C34" s="37" t="str">
        <f>ifs($A34=FALSE,"",$A34,VLOOKUP($A34,SCAN!$A:$C,3,0))</f>
        <v/>
      </c>
      <c r="D34" s="36" t="str">
        <f>ifs($A34=FALSE,"",$A34,VLOOKUP($A34,SCAN!$A:$D,4,0))</f>
        <v/>
      </c>
      <c r="E34" s="38" t="str">
        <f>ifs($A34=FALSE,"",$A34,VLOOKUP($A34,SCAN!$A:$C,2,0))</f>
        <v/>
      </c>
      <c r="F34" s="39"/>
      <c r="G34" s="38" t="str">
        <f t="shared" si="2"/>
        <v/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41"/>
      <c r="B35" s="36" t="str">
        <f t="shared" si="1"/>
        <v/>
      </c>
      <c r="C35" s="37" t="str">
        <f>ifs($A35=FALSE,"",$A35,VLOOKUP($A35,SCAN!$A:$C,3,0))</f>
        <v/>
      </c>
      <c r="D35" s="36" t="str">
        <f>ifs($A35=FALSE,"",$A35,VLOOKUP($A35,SCAN!$A:$D,4,0))</f>
        <v/>
      </c>
      <c r="E35" s="38" t="str">
        <f>ifs($A35=FALSE,"",$A35,VLOOKUP($A35,SCAN!$A:$C,2,0))</f>
        <v/>
      </c>
      <c r="F35" s="39"/>
      <c r="G35" s="38" t="str">
        <f t="shared" si="2"/>
        <v/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41"/>
      <c r="B36" s="36" t="str">
        <f t="shared" si="1"/>
        <v/>
      </c>
      <c r="C36" s="37" t="str">
        <f>ifs($A36=FALSE,"",$A36,VLOOKUP($A36,SCAN!$A:$C,3,0))</f>
        <v/>
      </c>
      <c r="D36" s="36" t="str">
        <f>ifs($A36=FALSE,"",$A36,VLOOKUP($A36,SCAN!$A:$D,4,0))</f>
        <v/>
      </c>
      <c r="E36" s="38" t="str">
        <f>ifs($A36=FALSE,"",$A36,VLOOKUP($A36,SCAN!$A:$C,2,0))</f>
        <v/>
      </c>
      <c r="F36" s="39"/>
      <c r="G36" s="38" t="str">
        <f t="shared" si="2"/>
        <v/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41"/>
      <c r="B37" s="36" t="str">
        <f t="shared" si="1"/>
        <v/>
      </c>
      <c r="C37" s="37" t="str">
        <f>ifs($A37=FALSE,"",$A37,VLOOKUP($A37,SCAN!$A:$C,3,0))</f>
        <v/>
      </c>
      <c r="D37" s="36" t="str">
        <f>ifs($A37=FALSE,"",$A37,VLOOKUP($A37,SCAN!$A:$D,4,0))</f>
        <v/>
      </c>
      <c r="E37" s="38" t="str">
        <f>ifs($A37=FALSE,"",$A37,VLOOKUP($A37,SCAN!$A:$C,2,0))</f>
        <v/>
      </c>
      <c r="F37" s="39"/>
      <c r="G37" s="38" t="str">
        <f t="shared" si="2"/>
        <v/>
      </c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41"/>
      <c r="B38" s="36" t="str">
        <f t="shared" si="1"/>
        <v/>
      </c>
      <c r="C38" s="37" t="str">
        <f>ifs($A38=FALSE,"",$A38,VLOOKUP($A38,SCAN!$A:$C,3,0))</f>
        <v/>
      </c>
      <c r="D38" s="36" t="str">
        <f>ifs($A38=FALSE,"",$A38,VLOOKUP($A38,SCAN!$A:$D,4,0))</f>
        <v/>
      </c>
      <c r="E38" s="38" t="str">
        <f>ifs($A38=FALSE,"",$A38,VLOOKUP($A38,SCAN!$A:$C,2,0))</f>
        <v/>
      </c>
      <c r="F38" s="39"/>
      <c r="G38" s="38" t="str">
        <f t="shared" si="2"/>
        <v/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41"/>
      <c r="B39" s="36" t="str">
        <f t="shared" si="1"/>
        <v/>
      </c>
      <c r="C39" s="37" t="str">
        <f>ifs($A39=FALSE,"",$A39,VLOOKUP($A39,SCAN!$A:$C,3,0))</f>
        <v/>
      </c>
      <c r="D39" s="36" t="str">
        <f>ifs($A39=FALSE,"",$A39,VLOOKUP($A39,SCAN!$A:$D,4,0))</f>
        <v/>
      </c>
      <c r="E39" s="38" t="str">
        <f>ifs($A39=FALSE,"",$A39,VLOOKUP($A39,SCAN!$A:$C,2,0))</f>
        <v/>
      </c>
      <c r="F39" s="39"/>
      <c r="G39" s="38" t="str">
        <f t="shared" si="2"/>
        <v/>
      </c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41"/>
      <c r="B40" s="36" t="str">
        <f t="shared" si="1"/>
        <v/>
      </c>
      <c r="C40" s="37" t="str">
        <f>ifs($A40=FALSE,"",$A40,VLOOKUP($A40,SCAN!$A:$C,3,0))</f>
        <v/>
      </c>
      <c r="D40" s="36" t="str">
        <f>ifs($A40=FALSE,"",$A40,VLOOKUP($A40,SCAN!$A:$D,4,0))</f>
        <v/>
      </c>
      <c r="E40" s="38" t="str">
        <f>ifs($A40=FALSE,"",$A40,VLOOKUP($A40,SCAN!$A:$C,2,0))</f>
        <v/>
      </c>
      <c r="F40" s="39"/>
      <c r="G40" s="38" t="str">
        <f t="shared" si="2"/>
        <v/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41"/>
      <c r="B41" s="36" t="str">
        <f t="shared" si="1"/>
        <v/>
      </c>
      <c r="C41" s="37" t="str">
        <f>ifs($A41=FALSE,"",$A41,VLOOKUP($A41,SCAN!$A:$C,3,0))</f>
        <v/>
      </c>
      <c r="D41" s="36" t="str">
        <f>ifs($A41=FALSE,"",$A41,VLOOKUP($A41,SCAN!$A:$D,4,0))</f>
        <v/>
      </c>
      <c r="E41" s="38" t="str">
        <f>ifs($A41=FALSE,"",$A41,VLOOKUP($A41,SCAN!$A:$C,2,0))</f>
        <v/>
      </c>
      <c r="F41" s="39"/>
      <c r="G41" s="38" t="str">
        <f t="shared" si="2"/>
        <v/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41"/>
      <c r="B42" s="36" t="str">
        <f t="shared" si="1"/>
        <v/>
      </c>
      <c r="C42" s="37" t="str">
        <f>ifs($A42=FALSE,"",$A42,VLOOKUP($A42,SCAN!$A:$C,3,0))</f>
        <v/>
      </c>
      <c r="D42" s="36" t="str">
        <f>ifs($A42=FALSE,"",$A42,VLOOKUP($A42,SCAN!$A:$D,4,0))</f>
        <v/>
      </c>
      <c r="E42" s="38" t="str">
        <f>ifs($A42=FALSE,"",$A42,VLOOKUP($A42,SCAN!$A:$C,2,0))</f>
        <v/>
      </c>
      <c r="F42" s="39"/>
      <c r="G42" s="38" t="str">
        <f t="shared" si="2"/>
        <v/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41"/>
      <c r="B43" s="36" t="str">
        <f t="shared" si="1"/>
        <v/>
      </c>
      <c r="C43" s="37" t="str">
        <f>ifs($A43=FALSE,"",$A43,VLOOKUP($A43,SCAN!$A:$C,3,0))</f>
        <v/>
      </c>
      <c r="D43" s="36" t="str">
        <f>ifs($A43=FALSE,"",$A43,VLOOKUP($A43,SCAN!$A:$D,4,0))</f>
        <v/>
      </c>
      <c r="E43" s="38" t="str">
        <f>ifs($A43=FALSE,"",$A43,VLOOKUP($A43,SCAN!$A:$C,2,0))</f>
        <v/>
      </c>
      <c r="F43" s="39"/>
      <c r="G43" s="38" t="str">
        <f t="shared" si="2"/>
        <v/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41"/>
      <c r="B44" s="36" t="str">
        <f t="shared" si="1"/>
        <v/>
      </c>
      <c r="C44" s="37" t="str">
        <f>ifs($A44=FALSE,"",$A44,VLOOKUP($A44,SCAN!$A:$C,3,0))</f>
        <v/>
      </c>
      <c r="D44" s="36" t="str">
        <f>ifs($A44=FALSE,"",$A44,VLOOKUP($A44,SCAN!$A:$D,4,0))</f>
        <v/>
      </c>
      <c r="E44" s="38" t="str">
        <f>ifs($A44=FALSE,"",$A44,VLOOKUP($A44,SCAN!$A:$C,2,0))</f>
        <v/>
      </c>
      <c r="F44" s="39"/>
      <c r="G44" s="38" t="str">
        <f t="shared" si="2"/>
        <v/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41"/>
      <c r="B45" s="36" t="str">
        <f t="shared" si="1"/>
        <v/>
      </c>
      <c r="C45" s="37" t="str">
        <f>ifs($A45=FALSE,"",$A45,VLOOKUP($A45,SCAN!$A:$C,3,0))</f>
        <v/>
      </c>
      <c r="D45" s="36" t="str">
        <f>ifs($A45=FALSE,"",$A45,VLOOKUP($A45,SCAN!$A:$D,4,0))</f>
        <v/>
      </c>
      <c r="E45" s="38" t="str">
        <f>ifs($A45=FALSE,"",$A45,VLOOKUP($A45,SCAN!$A:$C,2,0))</f>
        <v/>
      </c>
      <c r="F45" s="39"/>
      <c r="G45" s="38" t="str">
        <f t="shared" si="2"/>
        <v/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41"/>
      <c r="B46" s="36" t="str">
        <f t="shared" si="1"/>
        <v/>
      </c>
      <c r="C46" s="37" t="str">
        <f>ifs($A46=FALSE,"",$A46,VLOOKUP($A46,SCAN!$A:$C,3,0))</f>
        <v/>
      </c>
      <c r="D46" s="36" t="str">
        <f>ifs($A46=FALSE,"",$A46,VLOOKUP($A46,SCAN!$A:$D,4,0))</f>
        <v/>
      </c>
      <c r="E46" s="38" t="str">
        <f>ifs($A46=FALSE,"",$A46,VLOOKUP($A46,SCAN!$A:$C,2,0))</f>
        <v/>
      </c>
      <c r="F46" s="39"/>
      <c r="G46" s="38" t="str">
        <f t="shared" si="2"/>
        <v/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41"/>
      <c r="B47" s="36" t="str">
        <f t="shared" si="1"/>
        <v/>
      </c>
      <c r="C47" s="37" t="str">
        <f>ifs($A47=FALSE,"",$A47,VLOOKUP($A47,SCAN!$A:$C,3,0))</f>
        <v/>
      </c>
      <c r="D47" s="36" t="str">
        <f>ifs($A47=FALSE,"",$A47,VLOOKUP($A47,SCAN!$A:$D,4,0))</f>
        <v/>
      </c>
      <c r="E47" s="38" t="str">
        <f>ifs($A47=FALSE,"",$A47,VLOOKUP($A47,SCAN!$A:$C,2,0))</f>
        <v/>
      </c>
      <c r="F47" s="39"/>
      <c r="G47" s="38" t="str">
        <f t="shared" si="2"/>
        <v/>
      </c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41"/>
      <c r="B48" s="36" t="str">
        <f t="shared" si="1"/>
        <v/>
      </c>
      <c r="C48" s="37" t="str">
        <f>ifs($A48=FALSE,"",$A48,VLOOKUP($A48,SCAN!$A:$C,3,0))</f>
        <v/>
      </c>
      <c r="D48" s="36" t="str">
        <f>ifs($A48=FALSE,"",$A48,VLOOKUP($A48,SCAN!$A:$D,4,0))</f>
        <v/>
      </c>
      <c r="E48" s="38" t="str">
        <f>ifs($A48=FALSE,"",$A48,VLOOKUP($A48,SCAN!$A:$C,2,0))</f>
        <v/>
      </c>
      <c r="F48" s="39"/>
      <c r="G48" s="38" t="str">
        <f t="shared" si="2"/>
        <v/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41"/>
      <c r="B49" s="36" t="str">
        <f t="shared" si="1"/>
        <v/>
      </c>
      <c r="C49" s="37" t="str">
        <f>ifs($A49=FALSE,"",$A49,VLOOKUP($A49,SCAN!$A:$C,3,0))</f>
        <v/>
      </c>
      <c r="D49" s="36" t="str">
        <f>ifs($A49=FALSE,"",$A49,VLOOKUP($A49,SCAN!$A:$D,4,0))</f>
        <v/>
      </c>
      <c r="E49" s="38" t="str">
        <f>ifs($A49=FALSE,"",$A49,VLOOKUP($A49,SCAN!$A:$C,2,0))</f>
        <v/>
      </c>
      <c r="F49" s="39"/>
      <c r="G49" s="38" t="str">
        <f t="shared" si="2"/>
        <v/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41"/>
      <c r="B50" s="36" t="str">
        <f t="shared" si="1"/>
        <v/>
      </c>
      <c r="C50" s="37" t="str">
        <f>ifs($A50=FALSE,"",$A50,VLOOKUP($A50,SCAN!$A:$C,3,0))</f>
        <v/>
      </c>
      <c r="D50" s="36" t="str">
        <f>ifs($A50=FALSE,"",$A50,VLOOKUP($A50,SCAN!$A:$D,4,0))</f>
        <v/>
      </c>
      <c r="E50" s="38" t="str">
        <f>ifs($A50=FALSE,"",$A50,VLOOKUP($A50,SCAN!$A:$C,2,0))</f>
        <v/>
      </c>
      <c r="F50" s="39"/>
      <c r="G50" s="38" t="str">
        <f t="shared" si="2"/>
        <v/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41"/>
      <c r="B51" s="36" t="str">
        <f t="shared" si="1"/>
        <v/>
      </c>
      <c r="C51" s="37" t="str">
        <f>ifs($A51=FALSE,"",$A51,VLOOKUP($A51,SCAN!$A:$C,3,0))</f>
        <v/>
      </c>
      <c r="D51" s="36" t="str">
        <f>ifs($A51=FALSE,"",$A51,VLOOKUP($A51,SCAN!$A:$D,4,0))</f>
        <v/>
      </c>
      <c r="E51" s="38" t="str">
        <f>ifs($A51=FALSE,"",$A51,VLOOKUP($A51,SCAN!$A:$C,2,0))</f>
        <v/>
      </c>
      <c r="F51" s="39"/>
      <c r="G51" s="38" t="str">
        <f t="shared" si="2"/>
        <v/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41"/>
      <c r="B52" s="36" t="str">
        <f t="shared" si="1"/>
        <v/>
      </c>
      <c r="C52" s="37" t="str">
        <f>ifs($A52=FALSE,"",$A52,VLOOKUP($A52,SCAN!$A:$C,3,0))</f>
        <v/>
      </c>
      <c r="D52" s="36" t="str">
        <f>ifs($A52=FALSE,"",$A52,VLOOKUP($A52,SCAN!$A:$D,4,0))</f>
        <v/>
      </c>
      <c r="E52" s="38" t="str">
        <f>ifs($A52=FALSE,"",$A52,VLOOKUP($A52,SCAN!$A:$C,2,0))</f>
        <v/>
      </c>
      <c r="F52" s="39"/>
      <c r="G52" s="38" t="str">
        <f t="shared" si="2"/>
        <v/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41"/>
      <c r="B53" s="36" t="str">
        <f t="shared" si="1"/>
        <v/>
      </c>
      <c r="C53" s="37" t="str">
        <f>ifs($A53=FALSE,"",$A53,VLOOKUP($A53,SCAN!$A:$C,3,0))</f>
        <v/>
      </c>
      <c r="D53" s="36" t="str">
        <f>ifs($A53=FALSE,"",$A53,VLOOKUP($A53,SCAN!$A:$D,4,0))</f>
        <v/>
      </c>
      <c r="E53" s="38" t="str">
        <f>ifs($A53=FALSE,"",$A53,VLOOKUP($A53,SCAN!$A:$C,2,0))</f>
        <v/>
      </c>
      <c r="F53" s="39"/>
      <c r="G53" s="38" t="str">
        <f t="shared" si="2"/>
        <v/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41"/>
      <c r="B54" s="36" t="str">
        <f t="shared" si="1"/>
        <v/>
      </c>
      <c r="C54" s="37" t="str">
        <f>ifs($A54=FALSE,"",$A54,VLOOKUP($A54,SCAN!$A:$C,3,0))</f>
        <v/>
      </c>
      <c r="D54" s="36" t="str">
        <f>ifs($A54=FALSE,"",$A54,VLOOKUP($A54,SCAN!$A:$D,4,0))</f>
        <v/>
      </c>
      <c r="E54" s="38" t="str">
        <f>ifs($A54=FALSE,"",$A54,VLOOKUP($A54,SCAN!$A:$C,2,0))</f>
        <v/>
      </c>
      <c r="F54" s="39"/>
      <c r="G54" s="38" t="str">
        <f t="shared" si="2"/>
        <v/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41"/>
      <c r="B55" s="36" t="str">
        <f t="shared" si="1"/>
        <v/>
      </c>
      <c r="C55" s="37" t="str">
        <f>ifs($A55=FALSE,"",$A55,VLOOKUP($A55,SCAN!$A:$C,3,0))</f>
        <v/>
      </c>
      <c r="D55" s="36" t="str">
        <f>ifs($A55=FALSE,"",$A55,VLOOKUP($A55,SCAN!$A:$D,4,0))</f>
        <v/>
      </c>
      <c r="E55" s="38" t="str">
        <f>ifs($A55=FALSE,"",$A55,VLOOKUP($A55,SCAN!$A:$C,2,0))</f>
        <v/>
      </c>
      <c r="F55" s="39"/>
      <c r="G55" s="38" t="str">
        <f t="shared" si="2"/>
        <v/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41"/>
      <c r="B56" s="36" t="str">
        <f t="shared" si="1"/>
        <v/>
      </c>
      <c r="C56" s="37" t="str">
        <f>ifs($A56=FALSE,"",$A56,VLOOKUP($A56,SCAN!$A:$C,3,0))</f>
        <v/>
      </c>
      <c r="D56" s="36" t="str">
        <f>ifs($A56=FALSE,"",$A56,VLOOKUP($A56,SCAN!$A:$D,4,0))</f>
        <v/>
      </c>
      <c r="E56" s="38" t="str">
        <f>ifs($A56=FALSE,"",$A56,VLOOKUP($A56,SCAN!$A:$C,2,0))</f>
        <v/>
      </c>
      <c r="F56" s="39"/>
      <c r="G56" s="38" t="str">
        <f t="shared" si="2"/>
        <v/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41"/>
      <c r="B57" s="36" t="str">
        <f t="shared" si="1"/>
        <v/>
      </c>
      <c r="C57" s="37" t="str">
        <f>ifs($A57=FALSE,"",$A57,VLOOKUP($A57,SCAN!$A:$C,3,0))</f>
        <v/>
      </c>
      <c r="D57" s="36" t="str">
        <f>ifs($A57=FALSE,"",$A57,VLOOKUP($A57,SCAN!$A:$D,4,0))</f>
        <v/>
      </c>
      <c r="E57" s="38" t="str">
        <f>ifs($A57=FALSE,"",$A57,VLOOKUP($A57,SCAN!$A:$C,2,0))</f>
        <v/>
      </c>
      <c r="F57" s="39"/>
      <c r="G57" s="38" t="str">
        <f t="shared" si="2"/>
        <v/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41"/>
      <c r="B58" s="36" t="str">
        <f t="shared" si="1"/>
        <v/>
      </c>
      <c r="C58" s="37" t="str">
        <f>ifs($A58=FALSE,"",$A58,VLOOKUP($A58,SCAN!$A:$C,3,0))</f>
        <v/>
      </c>
      <c r="D58" s="36" t="str">
        <f>ifs($A58=FALSE,"",$A58,VLOOKUP($A58,SCAN!$A:$D,4,0))</f>
        <v/>
      </c>
      <c r="E58" s="38" t="str">
        <f>ifs($A58=FALSE,"",$A58,VLOOKUP($A58,SCAN!$A:$C,2,0))</f>
        <v/>
      </c>
      <c r="F58" s="39"/>
      <c r="G58" s="38" t="str">
        <f t="shared" si="2"/>
        <v/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41"/>
      <c r="B59" s="36" t="str">
        <f t="shared" si="1"/>
        <v/>
      </c>
      <c r="C59" s="37" t="str">
        <f>ifs($A59=FALSE,"",$A59,VLOOKUP($A59,SCAN!$A:$C,3,0))</f>
        <v/>
      </c>
      <c r="D59" s="36" t="str">
        <f>ifs($A59=FALSE,"",$A59,VLOOKUP($A59,SCAN!$A:$D,4,0))</f>
        <v/>
      </c>
      <c r="E59" s="38" t="str">
        <f>ifs($A59=FALSE,"",$A59,VLOOKUP($A59,SCAN!$A:$C,2,0))</f>
        <v/>
      </c>
      <c r="F59" s="39"/>
      <c r="G59" s="38" t="str">
        <f t="shared" si="2"/>
        <v/>
      </c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41"/>
      <c r="B60" s="36" t="str">
        <f t="shared" si="1"/>
        <v/>
      </c>
      <c r="C60" s="37" t="str">
        <f>ifs($A60=FALSE,"",$A60,VLOOKUP($A60,SCAN!$A:$C,3,0))</f>
        <v/>
      </c>
      <c r="D60" s="36" t="str">
        <f>ifs($A60=FALSE,"",$A60,VLOOKUP($A60,SCAN!$A:$D,4,0))</f>
        <v/>
      </c>
      <c r="E60" s="38" t="str">
        <f>ifs($A60=FALSE,"",$A60,VLOOKUP($A60,SCAN!$A:$C,2,0))</f>
        <v/>
      </c>
      <c r="F60" s="39"/>
      <c r="G60" s="38" t="str">
        <f t="shared" si="2"/>
        <v/>
      </c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41"/>
      <c r="B61" s="36" t="str">
        <f t="shared" si="1"/>
        <v/>
      </c>
      <c r="C61" s="37" t="str">
        <f>ifs($A61=FALSE,"",$A61,VLOOKUP($A61,SCAN!$A:$C,3,0))</f>
        <v/>
      </c>
      <c r="D61" s="36" t="str">
        <f>ifs($A61=FALSE,"",$A61,VLOOKUP($A61,SCAN!$A:$D,4,0))</f>
        <v/>
      </c>
      <c r="E61" s="38" t="str">
        <f>ifs($A61=FALSE,"",$A61,VLOOKUP($A61,SCAN!$A:$C,2,0))</f>
        <v/>
      </c>
      <c r="F61" s="39"/>
      <c r="G61" s="38" t="str">
        <f t="shared" si="2"/>
        <v/>
      </c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41"/>
      <c r="B62" s="36" t="str">
        <f t="shared" si="1"/>
        <v/>
      </c>
      <c r="C62" s="37" t="str">
        <f>ifs($A62=FALSE,"",$A62,VLOOKUP($A62,SCAN!$A:$C,3,0))</f>
        <v/>
      </c>
      <c r="D62" s="36" t="str">
        <f>ifs($A62=FALSE,"",$A62,VLOOKUP($A62,SCAN!$A:$D,4,0))</f>
        <v/>
      </c>
      <c r="E62" s="38" t="str">
        <f>ifs($A62=FALSE,"",$A62,VLOOKUP($A62,SCAN!$A:$C,2,0))</f>
        <v/>
      </c>
      <c r="F62" s="39"/>
      <c r="G62" s="38" t="str">
        <f t="shared" si="2"/>
        <v/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41"/>
      <c r="B63" s="36" t="str">
        <f t="shared" si="1"/>
        <v/>
      </c>
      <c r="C63" s="37" t="str">
        <f>ifs($A63=FALSE,"",$A63,VLOOKUP($A63,SCAN!$A:$C,3,0))</f>
        <v/>
      </c>
      <c r="D63" s="36" t="str">
        <f>ifs($A63=FALSE,"",$A63,VLOOKUP($A63,SCAN!$A:$D,4,0))</f>
        <v/>
      </c>
      <c r="E63" s="38" t="str">
        <f>ifs($A63=FALSE,"",$A63,VLOOKUP($A63,SCAN!$A:$C,2,0))</f>
        <v/>
      </c>
      <c r="F63" s="39"/>
      <c r="G63" s="38" t="str">
        <f t="shared" si="2"/>
        <v/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41"/>
      <c r="B64" s="36" t="str">
        <f t="shared" si="1"/>
        <v/>
      </c>
      <c r="C64" s="37" t="str">
        <f>ifs($A64=FALSE,"",$A64,VLOOKUP($A64,SCAN!$A:$C,3,0))</f>
        <v/>
      </c>
      <c r="D64" s="36" t="str">
        <f>ifs($A64=FALSE,"",$A64,VLOOKUP($A64,SCAN!$A:$D,4,0))</f>
        <v/>
      </c>
      <c r="E64" s="38" t="str">
        <f>ifs($A64=FALSE,"",$A64,VLOOKUP($A64,SCAN!$A:$C,2,0))</f>
        <v/>
      </c>
      <c r="F64" s="39"/>
      <c r="G64" s="38" t="str">
        <f t="shared" si="2"/>
        <v/>
      </c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41"/>
      <c r="B65" s="36" t="str">
        <f t="shared" si="1"/>
        <v/>
      </c>
      <c r="C65" s="37" t="str">
        <f>ifs($A65=FALSE,"",$A65,VLOOKUP($A65,SCAN!$A:$C,3,0))</f>
        <v/>
      </c>
      <c r="D65" s="36" t="str">
        <f>ifs($A65=FALSE,"",$A65,VLOOKUP($A65,SCAN!$A:$D,4,0))</f>
        <v/>
      </c>
      <c r="E65" s="38" t="str">
        <f>ifs($A65=FALSE,"",$A65,VLOOKUP($A65,SCAN!$A:$C,2,0))</f>
        <v/>
      </c>
      <c r="F65" s="39"/>
      <c r="G65" s="38" t="str">
        <f t="shared" si="2"/>
        <v/>
      </c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41"/>
      <c r="B66" s="36" t="str">
        <f t="shared" si="1"/>
        <v/>
      </c>
      <c r="C66" s="37" t="str">
        <f>ifs($A66=FALSE,"",$A66,VLOOKUP($A66,SCAN!$A:$C,3,0))</f>
        <v/>
      </c>
      <c r="D66" s="36" t="str">
        <f>ifs($A66=FALSE,"",$A66,VLOOKUP($A66,SCAN!$A:$D,4,0))</f>
        <v/>
      </c>
      <c r="E66" s="38" t="str">
        <f>ifs($A66=FALSE,"",$A66,VLOOKUP($A66,SCAN!$A:$C,2,0))</f>
        <v/>
      </c>
      <c r="F66" s="39"/>
      <c r="G66" s="38" t="str">
        <f t="shared" si="2"/>
        <v/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41"/>
      <c r="B67" s="36" t="str">
        <f t="shared" si="1"/>
        <v/>
      </c>
      <c r="C67" s="37" t="str">
        <f>ifs($A67=FALSE,"",$A67,VLOOKUP($A67,SCAN!$A:$C,3,0))</f>
        <v/>
      </c>
      <c r="D67" s="36" t="str">
        <f>ifs($A67=FALSE,"",$A67,VLOOKUP($A67,SCAN!$A:$D,4,0))</f>
        <v/>
      </c>
      <c r="E67" s="38" t="str">
        <f>ifs($A67=FALSE,"",$A67,VLOOKUP($A67,SCAN!$A:$C,2,0))</f>
        <v/>
      </c>
      <c r="F67" s="39"/>
      <c r="G67" s="38" t="str">
        <f t="shared" si="2"/>
        <v/>
      </c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41"/>
      <c r="B68" s="36" t="str">
        <f t="shared" si="1"/>
        <v/>
      </c>
      <c r="C68" s="37" t="str">
        <f>ifs($A68=FALSE,"",$A68,VLOOKUP($A68,SCAN!$A:$C,3,0))</f>
        <v/>
      </c>
      <c r="D68" s="36" t="str">
        <f>ifs($A68=FALSE,"",$A68,VLOOKUP($A68,SCAN!$A:$D,4,0))</f>
        <v/>
      </c>
      <c r="E68" s="38" t="str">
        <f>ifs($A68=FALSE,"",$A68,VLOOKUP($A68,SCAN!$A:$C,2,0))</f>
        <v/>
      </c>
      <c r="F68" s="39"/>
      <c r="G68" s="38" t="str">
        <f t="shared" si="2"/>
        <v/>
      </c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41"/>
      <c r="B69" s="36" t="str">
        <f t="shared" si="1"/>
        <v/>
      </c>
      <c r="C69" s="37" t="str">
        <f>ifs($A69=FALSE,"",$A69,VLOOKUP($A69,SCAN!$A:$C,3,0))</f>
        <v/>
      </c>
      <c r="D69" s="36" t="str">
        <f>ifs($A69=FALSE,"",$A69,VLOOKUP($A69,SCAN!$A:$D,4,0))</f>
        <v/>
      </c>
      <c r="E69" s="38" t="str">
        <f>ifs($A69=FALSE,"",$A69,VLOOKUP($A69,SCAN!$A:$C,2,0))</f>
        <v/>
      </c>
      <c r="F69" s="39"/>
      <c r="G69" s="38" t="str">
        <f t="shared" si="2"/>
        <v/>
      </c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41"/>
      <c r="B70" s="36" t="str">
        <f t="shared" si="1"/>
        <v/>
      </c>
      <c r="C70" s="37" t="str">
        <f>ifs($A70=FALSE,"",$A70,VLOOKUP($A70,SCAN!$A:$C,3,0))</f>
        <v/>
      </c>
      <c r="D70" s="36" t="str">
        <f>ifs($A70=FALSE,"",$A70,VLOOKUP($A70,SCAN!$A:$D,4,0))</f>
        <v/>
      </c>
      <c r="E70" s="38" t="str">
        <f>ifs($A70=FALSE,"",$A70,VLOOKUP($A70,SCAN!$A:$C,2,0))</f>
        <v/>
      </c>
      <c r="F70" s="39"/>
      <c r="G70" s="38" t="str">
        <f t="shared" si="2"/>
        <v/>
      </c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41"/>
      <c r="B71" s="36" t="str">
        <f t="shared" si="1"/>
        <v/>
      </c>
      <c r="C71" s="37" t="str">
        <f>ifs($A71=FALSE,"",$A71,VLOOKUP($A71,SCAN!$A:$C,3,0))</f>
        <v/>
      </c>
      <c r="D71" s="36" t="str">
        <f>ifs($A71=FALSE,"",$A71,VLOOKUP($A71,SCAN!$A:$D,4,0))</f>
        <v/>
      </c>
      <c r="E71" s="38" t="str">
        <f>ifs($A71=FALSE,"",$A71,VLOOKUP($A71,SCAN!$A:$C,2,0))</f>
        <v/>
      </c>
      <c r="F71" s="39"/>
      <c r="G71" s="38" t="str">
        <f t="shared" si="2"/>
        <v/>
      </c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41"/>
      <c r="B72" s="36" t="str">
        <f t="shared" si="1"/>
        <v/>
      </c>
      <c r="C72" s="37" t="str">
        <f>ifs($A72=FALSE,"",$A72,VLOOKUP($A72,SCAN!$A:$C,3,0))</f>
        <v/>
      </c>
      <c r="D72" s="36" t="str">
        <f>ifs($A72=FALSE,"",$A72,VLOOKUP($A72,SCAN!$A:$D,4,0))</f>
        <v/>
      </c>
      <c r="E72" s="38" t="str">
        <f>ifs($A72=FALSE,"",$A72,VLOOKUP($A72,SCAN!$A:$C,2,0))</f>
        <v/>
      </c>
      <c r="F72" s="39"/>
      <c r="G72" s="38" t="str">
        <f t="shared" si="2"/>
        <v/>
      </c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41"/>
      <c r="B73" s="36" t="str">
        <f t="shared" si="1"/>
        <v/>
      </c>
      <c r="C73" s="37" t="str">
        <f>ifs($A73=FALSE,"",$A73,VLOOKUP($A73,SCAN!$A:$C,3,0))</f>
        <v/>
      </c>
      <c r="D73" s="36" t="str">
        <f>ifs($A73=FALSE,"",$A73,VLOOKUP($A73,SCAN!$A:$D,4,0))</f>
        <v/>
      </c>
      <c r="E73" s="38" t="str">
        <f>ifs($A73=FALSE,"",$A73,VLOOKUP($A73,SCAN!$A:$C,2,0))</f>
        <v/>
      </c>
      <c r="F73" s="39"/>
      <c r="G73" s="38" t="str">
        <f t="shared" si="2"/>
        <v/>
      </c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41"/>
      <c r="B74" s="36" t="str">
        <f t="shared" si="1"/>
        <v/>
      </c>
      <c r="C74" s="37" t="str">
        <f>ifs($A74=FALSE,"",$A74,VLOOKUP($A74,SCAN!$A:$C,3,0))</f>
        <v/>
      </c>
      <c r="D74" s="36" t="str">
        <f>ifs($A74=FALSE,"",$A74,VLOOKUP($A74,SCAN!$A:$D,4,0))</f>
        <v/>
      </c>
      <c r="E74" s="38" t="str">
        <f>ifs($A74=FALSE,"",$A74,VLOOKUP($A74,SCAN!$A:$C,2,0))</f>
        <v/>
      </c>
      <c r="F74" s="39"/>
      <c r="G74" s="38" t="str">
        <f t="shared" si="2"/>
        <v/>
      </c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41"/>
      <c r="B75" s="36" t="str">
        <f t="shared" si="1"/>
        <v/>
      </c>
      <c r="C75" s="37" t="str">
        <f>ifs($A75=FALSE,"",$A75,VLOOKUP($A75,SCAN!$A:$C,3,0))</f>
        <v/>
      </c>
      <c r="D75" s="36" t="str">
        <f>ifs($A75=FALSE,"",$A75,VLOOKUP($A75,SCAN!$A:$D,4,0))</f>
        <v/>
      </c>
      <c r="E75" s="38" t="str">
        <f>ifs($A75=FALSE,"",$A75,VLOOKUP($A75,SCAN!$A:$C,2,0))</f>
        <v/>
      </c>
      <c r="F75" s="39"/>
      <c r="G75" s="38" t="str">
        <f t="shared" si="2"/>
        <v/>
      </c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41"/>
      <c r="B76" s="36" t="str">
        <f t="shared" si="1"/>
        <v/>
      </c>
      <c r="C76" s="37" t="str">
        <f>ifs($A76=FALSE,"",$A76,VLOOKUP($A76,SCAN!$A:$C,3,0))</f>
        <v/>
      </c>
      <c r="D76" s="36" t="str">
        <f>ifs($A76=FALSE,"",$A76,VLOOKUP($A76,SCAN!$A:$D,4,0))</f>
        <v/>
      </c>
      <c r="E76" s="38" t="str">
        <f>ifs($A76=FALSE,"",$A76,VLOOKUP($A76,SCAN!$A:$C,2,0))</f>
        <v/>
      </c>
      <c r="F76" s="39"/>
      <c r="G76" s="38" t="str">
        <f t="shared" si="2"/>
        <v/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41"/>
      <c r="B77" s="36" t="str">
        <f t="shared" si="1"/>
        <v/>
      </c>
      <c r="C77" s="37" t="str">
        <f>ifs($A77=FALSE,"",$A77,VLOOKUP($A77,SCAN!$A:$C,3,0))</f>
        <v/>
      </c>
      <c r="D77" s="36" t="str">
        <f>ifs($A77=FALSE,"",$A77,VLOOKUP($A77,SCAN!$A:$D,4,0))</f>
        <v/>
      </c>
      <c r="E77" s="38" t="str">
        <f>ifs($A77=FALSE,"",$A77,VLOOKUP($A77,SCAN!$A:$C,2,0))</f>
        <v/>
      </c>
      <c r="F77" s="39"/>
      <c r="G77" s="38" t="str">
        <f t="shared" si="2"/>
        <v/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41"/>
      <c r="B78" s="36" t="str">
        <f t="shared" si="1"/>
        <v/>
      </c>
      <c r="C78" s="37" t="str">
        <f>ifs($A78=FALSE,"",$A78,VLOOKUP($A78,SCAN!$A:$C,3,0))</f>
        <v/>
      </c>
      <c r="D78" s="36" t="str">
        <f>ifs($A78=FALSE,"",$A78,VLOOKUP($A78,SCAN!$A:$D,4,0))</f>
        <v/>
      </c>
      <c r="E78" s="38" t="str">
        <f>ifs($A78=FALSE,"",$A78,VLOOKUP($A78,SCAN!$A:$C,2,0))</f>
        <v/>
      </c>
      <c r="F78" s="39"/>
      <c r="G78" s="38" t="str">
        <f t="shared" si="2"/>
        <v/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41"/>
      <c r="B79" s="36" t="str">
        <f t="shared" si="1"/>
        <v/>
      </c>
      <c r="C79" s="37" t="str">
        <f>ifs($A79=FALSE,"",$A79,VLOOKUP($A79,SCAN!$A:$C,3,0))</f>
        <v/>
      </c>
      <c r="D79" s="36" t="str">
        <f>ifs($A79=FALSE,"",$A79,VLOOKUP($A79,SCAN!$A:$D,4,0))</f>
        <v/>
      </c>
      <c r="E79" s="38" t="str">
        <f>ifs($A79=FALSE,"",$A79,VLOOKUP($A79,SCAN!$A:$C,2,0))</f>
        <v/>
      </c>
      <c r="F79" s="39"/>
      <c r="G79" s="38" t="str">
        <f t="shared" si="2"/>
        <v/>
      </c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41"/>
      <c r="B80" s="36" t="str">
        <f t="shared" si="1"/>
        <v/>
      </c>
      <c r="C80" s="37" t="str">
        <f>ifs($A80=FALSE,"",$A80,VLOOKUP($A80,SCAN!$A:$C,3,0))</f>
        <v/>
      </c>
      <c r="D80" s="36" t="str">
        <f>ifs($A80=FALSE,"",$A80,VLOOKUP($A80,SCAN!$A:$D,4,0))</f>
        <v/>
      </c>
      <c r="E80" s="38" t="str">
        <f>ifs($A80=FALSE,"",$A80,VLOOKUP($A80,SCAN!$A:$C,2,0))</f>
        <v/>
      </c>
      <c r="F80" s="39"/>
      <c r="G80" s="38" t="str">
        <f t="shared" si="2"/>
        <v/>
      </c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41"/>
      <c r="B81" s="36" t="str">
        <f t="shared" si="1"/>
        <v/>
      </c>
      <c r="C81" s="37" t="str">
        <f>ifs($A81=FALSE,"",$A81,VLOOKUP($A81,SCAN!$A:$C,3,0))</f>
        <v/>
      </c>
      <c r="D81" s="36" t="str">
        <f>ifs($A81=FALSE,"",$A81,VLOOKUP($A81,SCAN!$A:$D,4,0))</f>
        <v/>
      </c>
      <c r="E81" s="38" t="str">
        <f>ifs($A81=FALSE,"",$A81,VLOOKUP($A81,SCAN!$A:$C,2,0))</f>
        <v/>
      </c>
      <c r="F81" s="39"/>
      <c r="G81" s="38" t="str">
        <f t="shared" si="2"/>
        <v/>
      </c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41"/>
      <c r="B82" s="36" t="str">
        <f t="shared" si="1"/>
        <v/>
      </c>
      <c r="C82" s="37" t="str">
        <f>ifs($A82=FALSE,"",$A82,VLOOKUP($A82,SCAN!$A:$C,3,0))</f>
        <v/>
      </c>
      <c r="D82" s="36" t="str">
        <f>ifs($A82=FALSE,"",$A82,VLOOKUP($A82,SCAN!$A:$D,4,0))</f>
        <v/>
      </c>
      <c r="E82" s="38" t="str">
        <f>ifs($A82=FALSE,"",$A82,VLOOKUP($A82,SCAN!$A:$C,2,0))</f>
        <v/>
      </c>
      <c r="F82" s="39"/>
      <c r="G82" s="38" t="str">
        <f t="shared" si="2"/>
        <v/>
      </c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41"/>
      <c r="B83" s="36" t="str">
        <f t="shared" si="1"/>
        <v/>
      </c>
      <c r="C83" s="37" t="str">
        <f>ifs($A83=FALSE,"",$A83,VLOOKUP($A83,SCAN!$A:$C,3,0))</f>
        <v/>
      </c>
      <c r="D83" s="36" t="str">
        <f>ifs($A83=FALSE,"",$A83,VLOOKUP($A83,SCAN!$A:$D,4,0))</f>
        <v/>
      </c>
      <c r="E83" s="38" t="str">
        <f>ifs($A83=FALSE,"",$A83,VLOOKUP($A83,SCAN!$A:$C,2,0))</f>
        <v/>
      </c>
      <c r="F83" s="39"/>
      <c r="G83" s="38" t="str">
        <f t="shared" si="2"/>
        <v/>
      </c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41"/>
      <c r="B84" s="36" t="str">
        <f t="shared" si="1"/>
        <v/>
      </c>
      <c r="C84" s="37" t="str">
        <f>ifs($A84=FALSE,"",$A84,VLOOKUP($A84,SCAN!$A:$C,3,0))</f>
        <v/>
      </c>
      <c r="D84" s="36" t="str">
        <f>ifs($A84=FALSE,"",$A84,VLOOKUP($A84,SCAN!$A:$D,4,0))</f>
        <v/>
      </c>
      <c r="E84" s="38" t="str">
        <f>ifs($A84=FALSE,"",$A84,VLOOKUP($A84,SCAN!$A:$C,2,0))</f>
        <v/>
      </c>
      <c r="F84" s="39"/>
      <c r="G84" s="38" t="str">
        <f t="shared" si="2"/>
        <v/>
      </c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41"/>
      <c r="B85" s="36" t="str">
        <f t="shared" si="1"/>
        <v/>
      </c>
      <c r="C85" s="37" t="str">
        <f>ifs($A85=FALSE,"",$A85,VLOOKUP($A85,SCAN!$A:$C,3,0))</f>
        <v/>
      </c>
      <c r="D85" s="36" t="str">
        <f>ifs($A85=FALSE,"",$A85,VLOOKUP($A85,SCAN!$A:$D,4,0))</f>
        <v/>
      </c>
      <c r="E85" s="38" t="str">
        <f>ifs($A85=FALSE,"",$A85,VLOOKUP($A85,SCAN!$A:$C,2,0))</f>
        <v/>
      </c>
      <c r="F85" s="39"/>
      <c r="G85" s="38" t="str">
        <f t="shared" si="2"/>
        <v/>
      </c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41"/>
      <c r="B86" s="36" t="str">
        <f t="shared" si="1"/>
        <v/>
      </c>
      <c r="C86" s="37" t="str">
        <f>ifs($A86=FALSE,"",$A86,VLOOKUP($A86,SCAN!$A:$C,3,0))</f>
        <v/>
      </c>
      <c r="D86" s="36" t="str">
        <f>ifs($A86=FALSE,"",$A86,VLOOKUP($A86,SCAN!$A:$D,4,0))</f>
        <v/>
      </c>
      <c r="E86" s="38" t="str">
        <f>ifs($A86=FALSE,"",$A86,VLOOKUP($A86,SCAN!$A:$C,2,0))</f>
        <v/>
      </c>
      <c r="F86" s="39"/>
      <c r="G86" s="38" t="str">
        <f t="shared" si="2"/>
        <v/>
      </c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41"/>
      <c r="B87" s="36" t="str">
        <f t="shared" si="1"/>
        <v/>
      </c>
      <c r="C87" s="37" t="str">
        <f>ifs($A87=FALSE,"",$A87,VLOOKUP($A87,SCAN!$A:$C,3,0))</f>
        <v/>
      </c>
      <c r="D87" s="36" t="str">
        <f>ifs($A87=FALSE,"",$A87,VLOOKUP($A87,SCAN!$A:$D,4,0))</f>
        <v/>
      </c>
      <c r="E87" s="38" t="str">
        <f>ifs($A87=FALSE,"",$A87,VLOOKUP($A87,SCAN!$A:$C,2,0))</f>
        <v/>
      </c>
      <c r="F87" s="39"/>
      <c r="G87" s="38" t="str">
        <f t="shared" si="2"/>
        <v/>
      </c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41"/>
      <c r="B88" s="36" t="str">
        <f t="shared" si="1"/>
        <v/>
      </c>
      <c r="C88" s="37" t="str">
        <f>ifs($A88=FALSE,"",$A88,VLOOKUP($A88,SCAN!$A:$C,3,0))</f>
        <v/>
      </c>
      <c r="D88" s="36" t="str">
        <f>ifs($A88=FALSE,"",$A88,VLOOKUP($A88,SCAN!$A:$D,4,0))</f>
        <v/>
      </c>
      <c r="E88" s="38" t="str">
        <f>ifs($A88=FALSE,"",$A88,VLOOKUP($A88,SCAN!$A:$C,2,0))</f>
        <v/>
      </c>
      <c r="F88" s="39"/>
      <c r="G88" s="38" t="str">
        <f t="shared" si="2"/>
        <v/>
      </c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41"/>
      <c r="B89" s="36" t="str">
        <f t="shared" si="1"/>
        <v/>
      </c>
      <c r="C89" s="37" t="str">
        <f>ifs($A89=FALSE,"",$A89,VLOOKUP($A89,SCAN!$A:$C,3,0))</f>
        <v/>
      </c>
      <c r="D89" s="36" t="str">
        <f>ifs($A89=FALSE,"",$A89,VLOOKUP($A89,SCAN!$A:$D,4,0))</f>
        <v/>
      </c>
      <c r="E89" s="38" t="str">
        <f>ifs($A89=FALSE,"",$A89,VLOOKUP($A89,SCAN!$A:$C,2,0))</f>
        <v/>
      </c>
      <c r="F89" s="39"/>
      <c r="G89" s="38" t="str">
        <f t="shared" si="2"/>
        <v/>
      </c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41"/>
      <c r="B90" s="36" t="str">
        <f t="shared" si="1"/>
        <v/>
      </c>
      <c r="C90" s="37" t="str">
        <f>ifs($A90=FALSE,"",$A90,VLOOKUP($A90,SCAN!$A:$C,3,0))</f>
        <v/>
      </c>
      <c r="D90" s="36" t="str">
        <f>ifs($A90=FALSE,"",$A90,VLOOKUP($A90,SCAN!$A:$D,4,0))</f>
        <v/>
      </c>
      <c r="E90" s="38" t="str">
        <f>ifs($A90=FALSE,"",$A90,VLOOKUP($A90,SCAN!$A:$C,2,0))</f>
        <v/>
      </c>
      <c r="F90" s="39"/>
      <c r="G90" s="38" t="str">
        <f t="shared" si="2"/>
        <v/>
      </c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41"/>
      <c r="B91" s="36" t="str">
        <f t="shared" si="1"/>
        <v/>
      </c>
      <c r="C91" s="37" t="str">
        <f>ifs($A91=FALSE,"",$A91,VLOOKUP($A91,SCAN!$A:$C,3,0))</f>
        <v/>
      </c>
      <c r="D91" s="36" t="str">
        <f>ifs($A91=FALSE,"",$A91,VLOOKUP($A91,SCAN!$A:$D,4,0))</f>
        <v/>
      </c>
      <c r="E91" s="38" t="str">
        <f>ifs($A91=FALSE,"",$A91,VLOOKUP($A91,SCAN!$A:$C,2,0))</f>
        <v/>
      </c>
      <c r="F91" s="39"/>
      <c r="G91" s="38" t="str">
        <f t="shared" si="2"/>
        <v/>
      </c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41"/>
      <c r="B92" s="36" t="str">
        <f t="shared" si="1"/>
        <v/>
      </c>
      <c r="C92" s="37" t="str">
        <f>ifs($A92=FALSE,"",$A92,VLOOKUP($A92,SCAN!$A:$C,3,0))</f>
        <v/>
      </c>
      <c r="D92" s="36" t="str">
        <f>ifs($A92=FALSE,"",$A92,VLOOKUP($A92,SCAN!$A:$D,4,0))</f>
        <v/>
      </c>
      <c r="E92" s="38" t="str">
        <f>ifs($A92=FALSE,"",$A92,VLOOKUP($A92,SCAN!$A:$C,2,0))</f>
        <v/>
      </c>
      <c r="F92" s="39"/>
      <c r="G92" s="38" t="str">
        <f t="shared" si="2"/>
        <v/>
      </c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41"/>
      <c r="B93" s="36" t="str">
        <f t="shared" si="1"/>
        <v/>
      </c>
      <c r="C93" s="37" t="str">
        <f>ifs($A93=FALSE,"",$A93,VLOOKUP($A93,SCAN!$A:$C,3,0))</f>
        <v/>
      </c>
      <c r="D93" s="36" t="str">
        <f>ifs($A93=FALSE,"",$A93,VLOOKUP($A93,SCAN!$A:$D,4,0))</f>
        <v/>
      </c>
      <c r="E93" s="38" t="str">
        <f>ifs($A93=FALSE,"",$A93,VLOOKUP($A93,SCAN!$A:$C,2,0))</f>
        <v/>
      </c>
      <c r="F93" s="39"/>
      <c r="G93" s="38" t="str">
        <f t="shared" si="2"/>
        <v/>
      </c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41"/>
      <c r="B94" s="36" t="str">
        <f t="shared" si="1"/>
        <v/>
      </c>
      <c r="C94" s="37" t="str">
        <f>ifs($A94=FALSE,"",$A94,VLOOKUP($A94,SCAN!$A:$C,3,0))</f>
        <v/>
      </c>
      <c r="D94" s="36" t="str">
        <f>ifs($A94=FALSE,"",$A94,VLOOKUP($A94,SCAN!$A:$D,4,0))</f>
        <v/>
      </c>
      <c r="E94" s="38" t="str">
        <f>ifs($A94=FALSE,"",$A94,VLOOKUP($A94,SCAN!$A:$C,2,0))</f>
        <v/>
      </c>
      <c r="F94" s="39"/>
      <c r="G94" s="38" t="str">
        <f t="shared" si="2"/>
        <v/>
      </c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41"/>
      <c r="B95" s="36" t="str">
        <f t="shared" si="1"/>
        <v/>
      </c>
      <c r="C95" s="37" t="str">
        <f>ifs($A95=FALSE,"",$A95,VLOOKUP($A95,SCAN!$A:$C,3,0))</f>
        <v/>
      </c>
      <c r="D95" s="36" t="str">
        <f>ifs($A95=FALSE,"",$A95,VLOOKUP($A95,SCAN!$A:$D,4,0))</f>
        <v/>
      </c>
      <c r="E95" s="38" t="str">
        <f>ifs($A95=FALSE,"",$A95,VLOOKUP($A95,SCAN!$A:$C,2,0))</f>
        <v/>
      </c>
      <c r="F95" s="39"/>
      <c r="G95" s="38" t="str">
        <f t="shared" si="2"/>
        <v/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A96" s="41"/>
      <c r="B96" s="36" t="str">
        <f t="shared" si="1"/>
        <v/>
      </c>
      <c r="C96" s="37" t="str">
        <f>ifs($A96=FALSE,"",$A96,VLOOKUP($A96,SCAN!$A:$C,3,0))</f>
        <v/>
      </c>
      <c r="D96" s="36" t="str">
        <f>ifs($A96=FALSE,"",$A96,VLOOKUP($A96,SCAN!$A:$D,4,0))</f>
        <v/>
      </c>
      <c r="E96" s="38" t="str">
        <f>ifs($A96=FALSE,"",$A96,VLOOKUP($A96,SCAN!$A:$C,2,0))</f>
        <v/>
      </c>
      <c r="F96" s="39"/>
      <c r="G96" s="38" t="str">
        <f t="shared" si="2"/>
        <v/>
      </c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ht="15.75" customHeight="1">
      <c r="A97" s="41"/>
      <c r="B97" s="36" t="str">
        <f t="shared" si="1"/>
        <v/>
      </c>
      <c r="C97" s="37" t="str">
        <f>ifs($A97=FALSE,"",$A97,VLOOKUP($A97,SCAN!$A:$C,3,0))</f>
        <v/>
      </c>
      <c r="D97" s="36" t="str">
        <f>ifs($A97=FALSE,"",$A97,VLOOKUP($A97,SCAN!$A:$D,4,0))</f>
        <v/>
      </c>
      <c r="E97" s="38" t="str">
        <f>ifs($A97=FALSE,"",$A97,VLOOKUP($A97,SCAN!$A:$C,2,0))</f>
        <v/>
      </c>
      <c r="F97" s="39"/>
      <c r="G97" s="38" t="str">
        <f t="shared" si="2"/>
        <v/>
      </c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ht="15.75" customHeight="1">
      <c r="A98" s="41"/>
      <c r="B98" s="36" t="str">
        <f t="shared" si="1"/>
        <v/>
      </c>
      <c r="C98" s="37" t="str">
        <f>ifs($A98=FALSE,"",$A98,VLOOKUP($A98,SCAN!$A:$C,3,0))</f>
        <v/>
      </c>
      <c r="D98" s="36" t="str">
        <f>ifs($A98=FALSE,"",$A98,VLOOKUP($A98,SCAN!$A:$D,4,0))</f>
        <v/>
      </c>
      <c r="E98" s="38" t="str">
        <f>ifs($A98=FALSE,"",$A98,VLOOKUP($A98,SCAN!$A:$C,2,0))</f>
        <v/>
      </c>
      <c r="F98" s="39"/>
      <c r="G98" s="38" t="str">
        <f t="shared" si="2"/>
        <v/>
      </c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ht="15.75" customHeight="1">
      <c r="A99" s="41"/>
      <c r="B99" s="36" t="str">
        <f t="shared" si="1"/>
        <v/>
      </c>
      <c r="C99" s="37" t="str">
        <f>ifs($A99=FALSE,"",$A99,VLOOKUP($A99,SCAN!$A:$C,3,0))</f>
        <v/>
      </c>
      <c r="D99" s="36" t="str">
        <f>ifs($A99=FALSE,"",$A99,VLOOKUP($A99,SCAN!$A:$D,4,0))</f>
        <v/>
      </c>
      <c r="E99" s="38" t="str">
        <f>ifs($A99=FALSE,"",$A99,VLOOKUP($A99,SCAN!$A:$C,2,0))</f>
        <v/>
      </c>
      <c r="F99" s="39"/>
      <c r="G99" s="38" t="str">
        <f t="shared" si="2"/>
        <v/>
      </c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ht="15.75" customHeight="1">
      <c r="A100" s="41"/>
      <c r="B100" s="36" t="str">
        <f t="shared" si="1"/>
        <v/>
      </c>
      <c r="C100" s="37" t="str">
        <f>ifs($A100=FALSE,"",$A100,VLOOKUP($A100,SCAN!$A:$C,3,0))</f>
        <v/>
      </c>
      <c r="D100" s="36" t="str">
        <f>ifs($A100=FALSE,"",$A100,VLOOKUP($A100,SCAN!$A:$D,4,0))</f>
        <v/>
      </c>
      <c r="E100" s="38" t="str">
        <f>ifs($A100=FALSE,"",$A100,VLOOKUP($A100,SCAN!$A:$C,2,0))</f>
        <v/>
      </c>
      <c r="F100" s="39"/>
      <c r="G100" s="38" t="str">
        <f t="shared" si="2"/>
        <v/>
      </c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ht="15.75" customHeight="1">
      <c r="A101" s="41"/>
      <c r="B101" s="36" t="str">
        <f t="shared" si="1"/>
        <v/>
      </c>
      <c r="C101" s="37" t="str">
        <f>ifs($A101=FALSE,"",$A101,VLOOKUP($A101,SCAN!$A:$C,3,0))</f>
        <v/>
      </c>
      <c r="D101" s="36" t="str">
        <f>ifs($A101=FALSE,"",$A101,VLOOKUP($A101,SCAN!$A:$D,4,0))</f>
        <v/>
      </c>
      <c r="E101" s="38" t="str">
        <f>ifs($A101=FALSE,"",$A101,VLOOKUP($A101,SCAN!$A:$C,2,0))</f>
        <v/>
      </c>
      <c r="F101" s="39"/>
      <c r="G101" s="38" t="str">
        <f t="shared" si="2"/>
        <v/>
      </c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ht="15.75" customHeight="1">
      <c r="A102" s="41"/>
      <c r="B102" s="36" t="str">
        <f t="shared" si="1"/>
        <v/>
      </c>
      <c r="C102" s="37" t="str">
        <f>ifs($A102=FALSE,"",$A102,VLOOKUP($A102,SCAN!$A:$C,3,0))</f>
        <v/>
      </c>
      <c r="D102" s="36" t="str">
        <f>ifs($A102=FALSE,"",$A102,VLOOKUP($A102,SCAN!$A:$D,4,0))</f>
        <v/>
      </c>
      <c r="E102" s="38" t="str">
        <f>ifs($A102=FALSE,"",$A102,VLOOKUP($A102,SCAN!$A:$C,2,0))</f>
        <v/>
      </c>
      <c r="F102" s="39"/>
      <c r="G102" s="38" t="str">
        <f t="shared" si="2"/>
        <v/>
      </c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ht="15.75" customHeight="1">
      <c r="A103" s="41"/>
      <c r="B103" s="36" t="str">
        <f t="shared" si="1"/>
        <v/>
      </c>
      <c r="C103" s="37" t="str">
        <f>ifs($A103=FALSE,"",$A103,VLOOKUP($A103,SCAN!$A:$C,3,0))</f>
        <v/>
      </c>
      <c r="D103" s="36" t="str">
        <f>ifs($A103=FALSE,"",$A103,VLOOKUP($A103,SCAN!$A:$D,4,0))</f>
        <v/>
      </c>
      <c r="E103" s="38" t="str">
        <f>ifs($A103=FALSE,"",$A103,VLOOKUP($A103,SCAN!$A:$C,2,0))</f>
        <v/>
      </c>
      <c r="F103" s="39"/>
      <c r="G103" s="38" t="str">
        <f t="shared" si="2"/>
        <v/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ht="15.75" customHeight="1">
      <c r="A104" s="41"/>
      <c r="B104" s="36" t="str">
        <f t="shared" si="1"/>
        <v/>
      </c>
      <c r="C104" s="37" t="str">
        <f>ifs($A104=FALSE,"",$A104,VLOOKUP($A104,SCAN!$A:$C,3,0))</f>
        <v/>
      </c>
      <c r="D104" s="36" t="str">
        <f>ifs($A104=FALSE,"",$A104,VLOOKUP($A104,SCAN!$A:$D,4,0))</f>
        <v/>
      </c>
      <c r="E104" s="38" t="str">
        <f>ifs($A104=FALSE,"",$A104,VLOOKUP($A104,SCAN!$A:$C,2,0))</f>
        <v/>
      </c>
      <c r="F104" s="39"/>
      <c r="G104" s="38" t="str">
        <f t="shared" si="2"/>
        <v/>
      </c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ht="15.75" customHeight="1">
      <c r="A105" s="41"/>
      <c r="B105" s="36" t="str">
        <f t="shared" si="1"/>
        <v/>
      </c>
      <c r="C105" s="37" t="str">
        <f>ifs($A105=FALSE,"",$A105,VLOOKUP($A105,SCAN!$A:$C,3,0))</f>
        <v/>
      </c>
      <c r="D105" s="36" t="str">
        <f>ifs($A105=FALSE,"",$A105,VLOOKUP($A105,SCAN!$A:$D,4,0))</f>
        <v/>
      </c>
      <c r="E105" s="38" t="str">
        <f>ifs($A105=FALSE,"",$A105,VLOOKUP($A105,SCAN!$A:$C,2,0))</f>
        <v/>
      </c>
      <c r="F105" s="39"/>
      <c r="G105" s="38" t="str">
        <f t="shared" si="2"/>
        <v/>
      </c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ht="15.75" customHeight="1">
      <c r="A106" s="41"/>
      <c r="B106" s="36" t="str">
        <f t="shared" si="1"/>
        <v/>
      </c>
      <c r="C106" s="37" t="str">
        <f>ifs($A106=FALSE,"",$A106,VLOOKUP($A106,SCAN!$A:$C,3,0))</f>
        <v/>
      </c>
      <c r="D106" s="36" t="str">
        <f>ifs($A106=FALSE,"",$A106,VLOOKUP($A106,SCAN!$A:$D,4,0))</f>
        <v/>
      </c>
      <c r="E106" s="38" t="str">
        <f>ifs($A106=FALSE,"",$A106,VLOOKUP($A106,SCAN!$A:$C,2,0))</f>
        <v/>
      </c>
      <c r="F106" s="39"/>
      <c r="G106" s="38" t="str">
        <f t="shared" si="2"/>
        <v/>
      </c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ht="15.75" customHeight="1">
      <c r="A107" s="41"/>
      <c r="B107" s="36" t="str">
        <f t="shared" si="1"/>
        <v/>
      </c>
      <c r="C107" s="37" t="str">
        <f>ifs($A107=FALSE,"",$A107,VLOOKUP($A107,SCAN!$A:$C,3,0))</f>
        <v/>
      </c>
      <c r="D107" s="36" t="str">
        <f>ifs($A107=FALSE,"",$A107,VLOOKUP($A107,SCAN!$A:$D,4,0))</f>
        <v/>
      </c>
      <c r="E107" s="38" t="str">
        <f>ifs($A107=FALSE,"",$A107,VLOOKUP($A107,SCAN!$A:$C,2,0))</f>
        <v/>
      </c>
      <c r="F107" s="39"/>
      <c r="G107" s="38" t="str">
        <f t="shared" si="2"/>
        <v/>
      </c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ht="15.75" customHeight="1">
      <c r="A108" s="41"/>
      <c r="B108" s="36" t="str">
        <f t="shared" si="1"/>
        <v/>
      </c>
      <c r="C108" s="37" t="str">
        <f>ifs($A108=FALSE,"",$A108,VLOOKUP($A108,SCAN!$A:$C,3,0))</f>
        <v/>
      </c>
      <c r="D108" s="36" t="str">
        <f>ifs($A108=FALSE,"",$A108,VLOOKUP($A108,SCAN!$A:$D,4,0))</f>
        <v/>
      </c>
      <c r="E108" s="38" t="str">
        <f>ifs($A108=FALSE,"",$A108,VLOOKUP($A108,SCAN!$A:$C,2,0))</f>
        <v/>
      </c>
      <c r="F108" s="39"/>
      <c r="G108" s="38" t="str">
        <f t="shared" si="2"/>
        <v/>
      </c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ht="15.75" customHeight="1">
      <c r="A109" s="41"/>
      <c r="B109" s="36" t="str">
        <f t="shared" si="1"/>
        <v/>
      </c>
      <c r="C109" s="37" t="str">
        <f>ifs($A109=FALSE,"",$A109,VLOOKUP($A109,SCAN!$A:$C,3,0))</f>
        <v/>
      </c>
      <c r="D109" s="36" t="str">
        <f>ifs($A109=FALSE,"",$A109,VLOOKUP($A109,SCAN!$A:$D,4,0))</f>
        <v/>
      </c>
      <c r="E109" s="38" t="str">
        <f>ifs($A109=FALSE,"",$A109,VLOOKUP($A109,SCAN!$A:$C,2,0))</f>
        <v/>
      </c>
      <c r="F109" s="39"/>
      <c r="G109" s="38" t="str">
        <f t="shared" si="2"/>
        <v/>
      </c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ht="15.75" customHeight="1">
      <c r="A110" s="41"/>
      <c r="B110" s="36" t="str">
        <f t="shared" si="1"/>
        <v/>
      </c>
      <c r="C110" s="37" t="str">
        <f>ifs($A110=FALSE,"",$A110,VLOOKUP($A110,SCAN!$A:$C,3,0))</f>
        <v/>
      </c>
      <c r="D110" s="36" t="str">
        <f>ifs($A110=FALSE,"",$A110,VLOOKUP($A110,SCAN!$A:$D,4,0))</f>
        <v/>
      </c>
      <c r="E110" s="38" t="str">
        <f>ifs($A110=FALSE,"",$A110,VLOOKUP($A110,SCAN!$A:$C,2,0))</f>
        <v/>
      </c>
      <c r="F110" s="39"/>
      <c r="G110" s="38" t="str">
        <f t="shared" si="2"/>
        <v/>
      </c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ht="15.75" customHeight="1">
      <c r="A111" s="41"/>
      <c r="B111" s="36" t="str">
        <f t="shared" si="1"/>
        <v/>
      </c>
      <c r="C111" s="37" t="str">
        <f>ifs($A111=FALSE,"",$A111,VLOOKUP($A111,SCAN!$A:$C,3,0))</f>
        <v/>
      </c>
      <c r="D111" s="36" t="str">
        <f>ifs($A111=FALSE,"",$A111,VLOOKUP($A111,SCAN!$A:$D,4,0))</f>
        <v/>
      </c>
      <c r="E111" s="38" t="str">
        <f>ifs($A111=FALSE,"",$A111,VLOOKUP($A111,SCAN!$A:$C,2,0))</f>
        <v/>
      </c>
      <c r="F111" s="39"/>
      <c r="G111" s="38" t="str">
        <f t="shared" si="2"/>
        <v/>
      </c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ht="15.75" customHeight="1">
      <c r="A112" s="41"/>
      <c r="B112" s="36" t="str">
        <f t="shared" si="1"/>
        <v/>
      </c>
      <c r="C112" s="37" t="str">
        <f>ifs($A112=FALSE,"",$A112,VLOOKUP($A112,SCAN!$A:$C,3,0))</f>
        <v/>
      </c>
      <c r="D112" s="36" t="str">
        <f>ifs($A112=FALSE,"",$A112,VLOOKUP($A112,SCAN!$A:$D,4,0))</f>
        <v/>
      </c>
      <c r="E112" s="38" t="str">
        <f>ifs($A112=FALSE,"",$A112,VLOOKUP($A112,SCAN!$A:$C,2,0))</f>
        <v/>
      </c>
      <c r="F112" s="39"/>
      <c r="G112" s="38" t="str">
        <f t="shared" si="2"/>
        <v/>
      </c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ht="15.75" customHeight="1">
      <c r="A113" s="41"/>
      <c r="B113" s="36" t="str">
        <f t="shared" si="1"/>
        <v/>
      </c>
      <c r="C113" s="37" t="str">
        <f>ifs($A113=FALSE,"",$A113,VLOOKUP($A113,SCAN!$A:$C,3,0))</f>
        <v/>
      </c>
      <c r="D113" s="36" t="str">
        <f>ifs($A113=FALSE,"",$A113,VLOOKUP($A113,SCAN!$A:$D,4,0))</f>
        <v/>
      </c>
      <c r="E113" s="38" t="str">
        <f>ifs($A113=FALSE,"",$A113,VLOOKUP($A113,SCAN!$A:$C,2,0))</f>
        <v/>
      </c>
      <c r="F113" s="39"/>
      <c r="G113" s="38" t="str">
        <f t="shared" si="2"/>
        <v/>
      </c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ht="15.75" customHeight="1">
      <c r="A114" s="41"/>
      <c r="B114" s="36" t="str">
        <f t="shared" si="1"/>
        <v/>
      </c>
      <c r="C114" s="37" t="str">
        <f>ifs($A114=FALSE,"",$A114,VLOOKUP($A114,SCAN!$A:$C,3,0))</f>
        <v/>
      </c>
      <c r="D114" s="36" t="str">
        <f>ifs($A114=FALSE,"",$A114,VLOOKUP($A114,SCAN!$A:$D,4,0))</f>
        <v/>
      </c>
      <c r="E114" s="38" t="str">
        <f>ifs($A114=FALSE,"",$A114,VLOOKUP($A114,SCAN!$A:$C,2,0))</f>
        <v/>
      </c>
      <c r="F114" s="39"/>
      <c r="G114" s="38" t="str">
        <f t="shared" si="2"/>
        <v/>
      </c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ht="15.75" customHeight="1">
      <c r="A115" s="41"/>
      <c r="B115" s="36" t="str">
        <f t="shared" si="1"/>
        <v/>
      </c>
      <c r="C115" s="37" t="str">
        <f>ifs($A115=FALSE,"",$A115,VLOOKUP($A115,SCAN!$A:$C,3,0))</f>
        <v/>
      </c>
      <c r="D115" s="36" t="str">
        <f>ifs($A115=FALSE,"",$A115,VLOOKUP($A115,SCAN!$A:$D,4,0))</f>
        <v/>
      </c>
      <c r="E115" s="38" t="str">
        <f>ifs($A115=FALSE,"",$A115,VLOOKUP($A115,SCAN!$A:$C,2,0))</f>
        <v/>
      </c>
      <c r="F115" s="39"/>
      <c r="G115" s="38" t="str">
        <f t="shared" si="2"/>
        <v/>
      </c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ht="15.75" customHeight="1">
      <c r="A116" s="41"/>
      <c r="B116" s="36" t="str">
        <f t="shared" si="1"/>
        <v/>
      </c>
      <c r="C116" s="37" t="str">
        <f>ifs($A116=FALSE,"",$A116,VLOOKUP($A116,SCAN!$A:$C,3,0))</f>
        <v/>
      </c>
      <c r="D116" s="36" t="str">
        <f>ifs($A116=FALSE,"",$A116,VLOOKUP($A116,SCAN!$A:$D,4,0))</f>
        <v/>
      </c>
      <c r="E116" s="38" t="str">
        <f>ifs($A116=FALSE,"",$A116,VLOOKUP($A116,SCAN!$A:$C,2,0))</f>
        <v/>
      </c>
      <c r="F116" s="39"/>
      <c r="G116" s="38" t="str">
        <f t="shared" si="2"/>
        <v/>
      </c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ht="15.75" customHeight="1">
      <c r="A117" s="41"/>
      <c r="B117" s="36" t="str">
        <f t="shared" si="1"/>
        <v/>
      </c>
      <c r="C117" s="37" t="str">
        <f>ifs($A117=FALSE,"",$A117,VLOOKUP($A117,SCAN!$A:$C,3,0))</f>
        <v/>
      </c>
      <c r="D117" s="36" t="str">
        <f>ifs($A117=FALSE,"",$A117,VLOOKUP($A117,SCAN!$A:$D,4,0))</f>
        <v/>
      </c>
      <c r="E117" s="38" t="str">
        <f>ifs($A117=FALSE,"",$A117,VLOOKUP($A117,SCAN!$A:$C,2,0))</f>
        <v/>
      </c>
      <c r="F117" s="39"/>
      <c r="G117" s="38" t="str">
        <f t="shared" si="2"/>
        <v/>
      </c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ht="15.75" customHeight="1">
      <c r="A118" s="41"/>
      <c r="B118" s="36" t="str">
        <f t="shared" si="1"/>
        <v/>
      </c>
      <c r="C118" s="37" t="str">
        <f>ifs($A118=FALSE,"",$A118,VLOOKUP($A118,SCAN!$A:$C,3,0))</f>
        <v/>
      </c>
      <c r="D118" s="36" t="str">
        <f>ifs($A118=FALSE,"",$A118,VLOOKUP($A118,SCAN!$A:$D,4,0))</f>
        <v/>
      </c>
      <c r="E118" s="38" t="str">
        <f>ifs($A118=FALSE,"",$A118,VLOOKUP($A118,SCAN!$A:$C,2,0))</f>
        <v/>
      </c>
      <c r="F118" s="39"/>
      <c r="G118" s="38" t="str">
        <f t="shared" si="2"/>
        <v/>
      </c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ht="15.75" customHeight="1">
      <c r="A119" s="41"/>
      <c r="B119" s="36" t="str">
        <f t="shared" si="1"/>
        <v/>
      </c>
      <c r="C119" s="37" t="str">
        <f>ifs($A119=FALSE,"",$A119,VLOOKUP($A119,SCAN!$A:$C,3,0))</f>
        <v/>
      </c>
      <c r="D119" s="36" t="str">
        <f>ifs($A119=FALSE,"",$A119,VLOOKUP($A119,SCAN!$A:$D,4,0))</f>
        <v/>
      </c>
      <c r="E119" s="38" t="str">
        <f>ifs($A119=FALSE,"",$A119,VLOOKUP($A119,SCAN!$A:$C,2,0))</f>
        <v/>
      </c>
      <c r="F119" s="39"/>
      <c r="G119" s="38" t="str">
        <f t="shared" si="2"/>
        <v/>
      </c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ht="15.75" customHeight="1">
      <c r="A120" s="41"/>
      <c r="B120" s="36" t="str">
        <f t="shared" si="1"/>
        <v/>
      </c>
      <c r="C120" s="37" t="str">
        <f>ifs($A120=FALSE,"",$A120,VLOOKUP($A120,SCAN!$A:$C,3,0))</f>
        <v/>
      </c>
      <c r="D120" s="36" t="str">
        <f>ifs($A120=FALSE,"",$A120,VLOOKUP($A120,SCAN!$A:$D,4,0))</f>
        <v/>
      </c>
      <c r="E120" s="38" t="str">
        <f>ifs($A120=FALSE,"",$A120,VLOOKUP($A120,SCAN!$A:$C,2,0))</f>
        <v/>
      </c>
      <c r="F120" s="39"/>
      <c r="G120" s="38" t="str">
        <f t="shared" si="2"/>
        <v/>
      </c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ht="15.75" customHeight="1">
      <c r="A121" s="41"/>
      <c r="B121" s="36" t="str">
        <f t="shared" si="1"/>
        <v/>
      </c>
      <c r="C121" s="37" t="str">
        <f>ifs($A121=FALSE,"",$A121,VLOOKUP($A121,SCAN!$A:$C,3,0))</f>
        <v/>
      </c>
      <c r="D121" s="36" t="str">
        <f>ifs($A121=FALSE,"",$A121,VLOOKUP($A121,SCAN!$A:$D,4,0))</f>
        <v/>
      </c>
      <c r="E121" s="38" t="str">
        <f>ifs($A121=FALSE,"",$A121,VLOOKUP($A121,SCAN!$A:$C,2,0))</f>
        <v/>
      </c>
      <c r="F121" s="39"/>
      <c r="G121" s="38" t="str">
        <f t="shared" si="2"/>
        <v/>
      </c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ht="15.75" customHeight="1">
      <c r="A122" s="41"/>
      <c r="B122" s="36" t="str">
        <f t="shared" si="1"/>
        <v/>
      </c>
      <c r="C122" s="37" t="str">
        <f>ifs($A122=FALSE,"",$A122,VLOOKUP($A122,SCAN!$A:$C,3,0))</f>
        <v/>
      </c>
      <c r="D122" s="36" t="str">
        <f>ifs($A122=FALSE,"",$A122,VLOOKUP($A122,SCAN!$A:$D,4,0))</f>
        <v/>
      </c>
      <c r="E122" s="38" t="str">
        <f>ifs($A122=FALSE,"",$A122,VLOOKUP($A122,SCAN!$A:$C,2,0))</f>
        <v/>
      </c>
      <c r="F122" s="39"/>
      <c r="G122" s="38" t="str">
        <f t="shared" si="2"/>
        <v/>
      </c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ht="15.75" customHeight="1">
      <c r="A123" s="41"/>
      <c r="B123" s="36" t="str">
        <f t="shared" si="1"/>
        <v/>
      </c>
      <c r="C123" s="37" t="str">
        <f>ifs($A123=FALSE,"",$A123,VLOOKUP($A123,SCAN!$A:$C,3,0))</f>
        <v/>
      </c>
      <c r="D123" s="36" t="str">
        <f>ifs($A123=FALSE,"",$A123,VLOOKUP($A123,SCAN!$A:$D,4,0))</f>
        <v/>
      </c>
      <c r="E123" s="38" t="str">
        <f>ifs($A123=FALSE,"",$A123,VLOOKUP($A123,SCAN!$A:$C,2,0))</f>
        <v/>
      </c>
      <c r="F123" s="39"/>
      <c r="G123" s="38" t="str">
        <f t="shared" si="2"/>
        <v/>
      </c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ht="15.75" customHeight="1">
      <c r="A124" s="41"/>
      <c r="B124" s="36" t="str">
        <f t="shared" si="1"/>
        <v/>
      </c>
      <c r="C124" s="37" t="str">
        <f>ifs($A124=FALSE,"",$A124,VLOOKUP($A124,SCAN!$A:$C,3,0))</f>
        <v/>
      </c>
      <c r="D124" s="36" t="str">
        <f>ifs($A124=FALSE,"",$A124,VLOOKUP($A124,SCAN!$A:$D,4,0))</f>
        <v/>
      </c>
      <c r="E124" s="38" t="str">
        <f>ifs($A124=FALSE,"",$A124,VLOOKUP($A124,SCAN!$A:$C,2,0))</f>
        <v/>
      </c>
      <c r="F124" s="39"/>
      <c r="G124" s="38" t="str">
        <f t="shared" si="2"/>
        <v/>
      </c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ht="15.75" customHeight="1">
      <c r="A125" s="41"/>
      <c r="B125" s="36" t="str">
        <f t="shared" si="1"/>
        <v/>
      </c>
      <c r="C125" s="37" t="str">
        <f>ifs($A125=FALSE,"",$A125,VLOOKUP($A125,SCAN!$A:$C,3,0))</f>
        <v/>
      </c>
      <c r="D125" s="36" t="str">
        <f>ifs($A125=FALSE,"",$A125,VLOOKUP($A125,SCAN!$A:$D,4,0))</f>
        <v/>
      </c>
      <c r="E125" s="38" t="str">
        <f>ifs($A125=FALSE,"",$A125,VLOOKUP($A125,SCAN!$A:$C,2,0))</f>
        <v/>
      </c>
      <c r="F125" s="39"/>
      <c r="G125" s="38" t="str">
        <f t="shared" si="2"/>
        <v/>
      </c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ht="15.75" customHeight="1">
      <c r="A126" s="41"/>
      <c r="B126" s="36" t="str">
        <f t="shared" si="1"/>
        <v/>
      </c>
      <c r="C126" s="37" t="str">
        <f>ifs($A126=FALSE,"",$A126,VLOOKUP($A126,SCAN!$A:$C,3,0))</f>
        <v/>
      </c>
      <c r="D126" s="36" t="str">
        <f>ifs($A126=FALSE,"",$A126,VLOOKUP($A126,SCAN!$A:$D,4,0))</f>
        <v/>
      </c>
      <c r="E126" s="38" t="str">
        <f>ifs($A126=FALSE,"",$A126,VLOOKUP($A126,SCAN!$A:$C,2,0))</f>
        <v/>
      </c>
      <c r="F126" s="39"/>
      <c r="G126" s="38" t="str">
        <f t="shared" si="2"/>
        <v/>
      </c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ht="15.75" customHeight="1">
      <c r="A127" s="41"/>
      <c r="B127" s="36" t="str">
        <f t="shared" si="1"/>
        <v/>
      </c>
      <c r="C127" s="37" t="str">
        <f>ifs($A127=FALSE,"",$A127,VLOOKUP($A127,SCAN!$A:$C,3,0))</f>
        <v/>
      </c>
      <c r="D127" s="36" t="str">
        <f>ifs($A127=FALSE,"",$A127,VLOOKUP($A127,SCAN!$A:$D,4,0))</f>
        <v/>
      </c>
      <c r="E127" s="38" t="str">
        <f>ifs($A127=FALSE,"",$A127,VLOOKUP($A127,SCAN!$A:$C,2,0))</f>
        <v/>
      </c>
      <c r="F127" s="39"/>
      <c r="G127" s="38" t="str">
        <f t="shared" si="2"/>
        <v/>
      </c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ht="15.75" customHeight="1">
      <c r="A128" s="41"/>
      <c r="B128" s="36" t="str">
        <f t="shared" si="1"/>
        <v/>
      </c>
      <c r="C128" s="37" t="str">
        <f>ifs($A128=FALSE,"",$A128,VLOOKUP($A128,SCAN!$A:$C,3,0))</f>
        <v/>
      </c>
      <c r="D128" s="36" t="str">
        <f>ifs($A128=FALSE,"",$A128,VLOOKUP($A128,SCAN!$A:$D,4,0))</f>
        <v/>
      </c>
      <c r="E128" s="38" t="str">
        <f>ifs($A128=FALSE,"",$A128,VLOOKUP($A128,SCAN!$A:$C,2,0))</f>
        <v/>
      </c>
      <c r="F128" s="39"/>
      <c r="G128" s="38" t="str">
        <f t="shared" si="2"/>
        <v/>
      </c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ht="15.75" customHeight="1">
      <c r="A129" s="41"/>
      <c r="B129" s="36" t="str">
        <f t="shared" si="1"/>
        <v/>
      </c>
      <c r="C129" s="37" t="str">
        <f>ifs($A129=FALSE,"",$A129,VLOOKUP($A129,SCAN!$A:$C,3,0))</f>
        <v/>
      </c>
      <c r="D129" s="36" t="str">
        <f>ifs($A129=FALSE,"",$A129,VLOOKUP($A129,SCAN!$A:$D,4,0))</f>
        <v/>
      </c>
      <c r="E129" s="38" t="str">
        <f>ifs($A129=FALSE,"",$A129,VLOOKUP($A129,SCAN!$A:$C,2,0))</f>
        <v/>
      </c>
      <c r="F129" s="39"/>
      <c r="G129" s="38" t="str">
        <f t="shared" si="2"/>
        <v/>
      </c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ht="15.75" customHeight="1">
      <c r="A130" s="41"/>
      <c r="B130" s="36" t="str">
        <f t="shared" si="1"/>
        <v/>
      </c>
      <c r="C130" s="37" t="str">
        <f>ifs($A130=FALSE,"",$A130,VLOOKUP($A130,SCAN!$A:$C,3,0))</f>
        <v/>
      </c>
      <c r="D130" s="36" t="str">
        <f>ifs($A130=FALSE,"",$A130,VLOOKUP($A130,SCAN!$A:$D,4,0))</f>
        <v/>
      </c>
      <c r="E130" s="38" t="str">
        <f>ifs($A130=FALSE,"",$A130,VLOOKUP($A130,SCAN!$A:$C,2,0))</f>
        <v/>
      </c>
      <c r="F130" s="39"/>
      <c r="G130" s="38" t="str">
        <f t="shared" si="2"/>
        <v/>
      </c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ht="15.75" customHeight="1">
      <c r="A131" s="41"/>
      <c r="B131" s="36" t="str">
        <f t="shared" si="1"/>
        <v/>
      </c>
      <c r="C131" s="37" t="str">
        <f>ifs($A131=FALSE,"",$A131,VLOOKUP($A131,SCAN!$A:$C,3,0))</f>
        <v/>
      </c>
      <c r="D131" s="36" t="str">
        <f>ifs($A131=FALSE,"",$A131,VLOOKUP($A131,SCAN!$A:$D,4,0))</f>
        <v/>
      </c>
      <c r="E131" s="38" t="str">
        <f>ifs($A131=FALSE,"",$A131,VLOOKUP($A131,SCAN!$A:$C,2,0))</f>
        <v/>
      </c>
      <c r="F131" s="39"/>
      <c r="G131" s="38" t="str">
        <f t="shared" si="2"/>
        <v/>
      </c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ht="15.75" customHeight="1">
      <c r="A132" s="41"/>
      <c r="B132" s="36" t="str">
        <f t="shared" si="1"/>
        <v/>
      </c>
      <c r="C132" s="37" t="str">
        <f>ifs($A132=FALSE,"",$A132,VLOOKUP($A132,SCAN!$A:$C,3,0))</f>
        <v/>
      </c>
      <c r="D132" s="36" t="str">
        <f>ifs($A132=FALSE,"",$A132,VLOOKUP($A132,SCAN!$A:$D,4,0))</f>
        <v/>
      </c>
      <c r="E132" s="38" t="str">
        <f>ifs($A132=FALSE,"",$A132,VLOOKUP($A132,SCAN!$A:$C,2,0))</f>
        <v/>
      </c>
      <c r="F132" s="39"/>
      <c r="G132" s="38" t="str">
        <f t="shared" si="2"/>
        <v/>
      </c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ht="15.75" customHeight="1">
      <c r="A133" s="41"/>
      <c r="B133" s="36" t="str">
        <f t="shared" si="1"/>
        <v/>
      </c>
      <c r="C133" s="37" t="str">
        <f>ifs($A133=FALSE,"",$A133,VLOOKUP($A133,SCAN!$A:$C,3,0))</f>
        <v/>
      </c>
      <c r="D133" s="36" t="str">
        <f>ifs($A133=FALSE,"",$A133,VLOOKUP($A133,SCAN!$A:$D,4,0))</f>
        <v/>
      </c>
      <c r="E133" s="38" t="str">
        <f>ifs($A133=FALSE,"",$A133,VLOOKUP($A133,SCAN!$A:$C,2,0))</f>
        <v/>
      </c>
      <c r="F133" s="39"/>
      <c r="G133" s="38" t="str">
        <f t="shared" si="2"/>
        <v/>
      </c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ht="15.75" customHeight="1">
      <c r="A134" s="41"/>
      <c r="B134" s="36" t="str">
        <f t="shared" si="1"/>
        <v/>
      </c>
      <c r="C134" s="37" t="str">
        <f>ifs($A134=FALSE,"",$A134,VLOOKUP($A134,SCAN!$A:$C,3,0))</f>
        <v/>
      </c>
      <c r="D134" s="36" t="str">
        <f>ifs($A134=FALSE,"",$A134,VLOOKUP($A134,SCAN!$A:$D,4,0))</f>
        <v/>
      </c>
      <c r="E134" s="38" t="str">
        <f>ifs($A134=FALSE,"",$A134,VLOOKUP($A134,SCAN!$A:$C,2,0))</f>
        <v/>
      </c>
      <c r="F134" s="39"/>
      <c r="G134" s="38" t="str">
        <f t="shared" si="2"/>
        <v/>
      </c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ht="15.75" customHeight="1">
      <c r="A135" s="41"/>
      <c r="B135" s="36" t="str">
        <f t="shared" si="1"/>
        <v/>
      </c>
      <c r="C135" s="37" t="str">
        <f>ifs($A135=FALSE,"",$A135,VLOOKUP($A135,SCAN!$A:$C,3,0))</f>
        <v/>
      </c>
      <c r="D135" s="36" t="str">
        <f>ifs($A135=FALSE,"",$A135,VLOOKUP($A135,SCAN!$A:$D,4,0))</f>
        <v/>
      </c>
      <c r="E135" s="38" t="str">
        <f>ifs($A135=FALSE,"",$A135,VLOOKUP($A135,SCAN!$A:$C,2,0))</f>
        <v/>
      </c>
      <c r="F135" s="39"/>
      <c r="G135" s="38" t="str">
        <f t="shared" si="2"/>
        <v/>
      </c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ht="15.75" customHeight="1">
      <c r="A136" s="41"/>
      <c r="B136" s="36" t="str">
        <f t="shared" si="1"/>
        <v/>
      </c>
      <c r="C136" s="37" t="str">
        <f>ifs($A136=FALSE,"",$A136,VLOOKUP($A136,SCAN!$A:$C,3,0))</f>
        <v/>
      </c>
      <c r="D136" s="36" t="str">
        <f>ifs($A136=FALSE,"",$A136,VLOOKUP($A136,SCAN!$A:$D,4,0))</f>
        <v/>
      </c>
      <c r="E136" s="38" t="str">
        <f>ifs($A136=FALSE,"",$A136,VLOOKUP($A136,SCAN!$A:$C,2,0))</f>
        <v/>
      </c>
      <c r="F136" s="39"/>
      <c r="G136" s="38" t="str">
        <f t="shared" si="2"/>
        <v/>
      </c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ht="15.75" customHeight="1">
      <c r="A137" s="41"/>
      <c r="B137" s="36" t="str">
        <f t="shared" si="1"/>
        <v/>
      </c>
      <c r="C137" s="37" t="str">
        <f>ifs($A137=FALSE,"",$A137,VLOOKUP($A137,SCAN!$A:$C,3,0))</f>
        <v/>
      </c>
      <c r="D137" s="36" t="str">
        <f>ifs($A137=FALSE,"",$A137,VLOOKUP($A137,SCAN!$A:$D,4,0))</f>
        <v/>
      </c>
      <c r="E137" s="38" t="str">
        <f>ifs($A137=FALSE,"",$A137,VLOOKUP($A137,SCAN!$A:$C,2,0))</f>
        <v/>
      </c>
      <c r="F137" s="39"/>
      <c r="G137" s="38" t="str">
        <f t="shared" si="2"/>
        <v/>
      </c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ht="15.75" customHeight="1">
      <c r="A138" s="41"/>
      <c r="B138" s="36" t="str">
        <f t="shared" si="1"/>
        <v/>
      </c>
      <c r="C138" s="37" t="str">
        <f>ifs($A138=FALSE,"",$A138,VLOOKUP($A138,SCAN!$A:$C,3,0))</f>
        <v/>
      </c>
      <c r="D138" s="36" t="str">
        <f>ifs($A138=FALSE,"",$A138,VLOOKUP($A138,SCAN!$A:$D,4,0))</f>
        <v/>
      </c>
      <c r="E138" s="38" t="str">
        <f>ifs($A138=FALSE,"",$A138,VLOOKUP($A138,SCAN!$A:$C,2,0))</f>
        <v/>
      </c>
      <c r="F138" s="39"/>
      <c r="G138" s="38" t="str">
        <f t="shared" si="2"/>
        <v/>
      </c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ht="15.75" customHeight="1">
      <c r="A139" s="41"/>
      <c r="B139" s="36" t="str">
        <f t="shared" si="1"/>
        <v/>
      </c>
      <c r="C139" s="37" t="str">
        <f>ifs($A139=FALSE,"",$A139,VLOOKUP($A139,SCAN!$A:$C,3,0))</f>
        <v/>
      </c>
      <c r="D139" s="36" t="str">
        <f>ifs($A139=FALSE,"",$A139,VLOOKUP($A139,SCAN!$A:$D,4,0))</f>
        <v/>
      </c>
      <c r="E139" s="38" t="str">
        <f>ifs($A139=FALSE,"",$A139,VLOOKUP($A139,SCAN!$A:$C,2,0))</f>
        <v/>
      </c>
      <c r="F139" s="39"/>
      <c r="G139" s="38" t="str">
        <f t="shared" si="2"/>
        <v/>
      </c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ht="15.75" customHeight="1">
      <c r="A140" s="41"/>
      <c r="B140" s="36" t="str">
        <f t="shared" si="1"/>
        <v/>
      </c>
      <c r="C140" s="37" t="str">
        <f>ifs($A140=FALSE,"",$A140,VLOOKUP($A140,SCAN!$A:$C,3,0))</f>
        <v/>
      </c>
      <c r="D140" s="36" t="str">
        <f>ifs($A140=FALSE,"",$A140,VLOOKUP($A140,SCAN!$A:$D,4,0))</f>
        <v/>
      </c>
      <c r="E140" s="38" t="str">
        <f>ifs($A140=FALSE,"",$A140,VLOOKUP($A140,SCAN!$A:$C,2,0))</f>
        <v/>
      </c>
      <c r="F140" s="39"/>
      <c r="G140" s="38" t="str">
        <f t="shared" si="2"/>
        <v/>
      </c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ht="15.75" customHeight="1">
      <c r="A141" s="41"/>
      <c r="B141" s="36" t="str">
        <f t="shared" si="1"/>
        <v/>
      </c>
      <c r="C141" s="37" t="str">
        <f>ifs($A141=FALSE,"",$A141,VLOOKUP($A141,SCAN!$A:$C,3,0))</f>
        <v/>
      </c>
      <c r="D141" s="36" t="str">
        <f>ifs($A141=FALSE,"",$A141,VLOOKUP($A141,SCAN!$A:$D,4,0))</f>
        <v/>
      </c>
      <c r="E141" s="38" t="str">
        <f>ifs($A141=FALSE,"",$A141,VLOOKUP($A141,SCAN!$A:$C,2,0))</f>
        <v/>
      </c>
      <c r="F141" s="39"/>
      <c r="G141" s="38" t="str">
        <f t="shared" si="2"/>
        <v/>
      </c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ht="15.75" customHeight="1">
      <c r="A142" s="41"/>
      <c r="B142" s="36" t="str">
        <f t="shared" si="1"/>
        <v/>
      </c>
      <c r="C142" s="37" t="str">
        <f>ifs($A142=FALSE,"",$A142,VLOOKUP($A142,SCAN!$A:$C,3,0))</f>
        <v/>
      </c>
      <c r="D142" s="36" t="str">
        <f>ifs($A142=FALSE,"",$A142,VLOOKUP($A142,SCAN!$A:$D,4,0))</f>
        <v/>
      </c>
      <c r="E142" s="38" t="str">
        <f>ifs($A142=FALSE,"",$A142,VLOOKUP($A142,SCAN!$A:$C,2,0))</f>
        <v/>
      </c>
      <c r="F142" s="39"/>
      <c r="G142" s="38" t="str">
        <f t="shared" si="2"/>
        <v/>
      </c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ht="15.75" customHeight="1">
      <c r="A143" s="41"/>
      <c r="B143" s="36" t="str">
        <f t="shared" si="1"/>
        <v/>
      </c>
      <c r="C143" s="37" t="str">
        <f>ifs($A143=FALSE,"",$A143,VLOOKUP($A143,SCAN!$A:$C,3,0))</f>
        <v/>
      </c>
      <c r="D143" s="36" t="str">
        <f>ifs($A143=FALSE,"",$A143,VLOOKUP($A143,SCAN!$A:$D,4,0))</f>
        <v/>
      </c>
      <c r="E143" s="38" t="str">
        <f>ifs($A143=FALSE,"",$A143,VLOOKUP($A143,SCAN!$A:$C,2,0))</f>
        <v/>
      </c>
      <c r="F143" s="39"/>
      <c r="G143" s="38" t="str">
        <f t="shared" si="2"/>
        <v/>
      </c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ht="15.75" customHeight="1">
      <c r="A144" s="41"/>
      <c r="B144" s="36" t="str">
        <f t="shared" si="1"/>
        <v/>
      </c>
      <c r="C144" s="37" t="str">
        <f>ifs($A144=FALSE,"",$A144,VLOOKUP($A144,SCAN!$A:$C,3,0))</f>
        <v/>
      </c>
      <c r="D144" s="36" t="str">
        <f>ifs($A144=FALSE,"",$A144,VLOOKUP($A144,SCAN!$A:$D,4,0))</f>
        <v/>
      </c>
      <c r="E144" s="38" t="str">
        <f>ifs($A144=FALSE,"",$A144,VLOOKUP($A144,SCAN!$A:$C,2,0))</f>
        <v/>
      </c>
      <c r="F144" s="39"/>
      <c r="G144" s="38" t="str">
        <f t="shared" si="2"/>
        <v/>
      </c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ht="15.75" customHeight="1">
      <c r="A145" s="41"/>
      <c r="B145" s="36" t="str">
        <f t="shared" si="1"/>
        <v/>
      </c>
      <c r="C145" s="37" t="str">
        <f>ifs($A145=FALSE,"",$A145,VLOOKUP($A145,SCAN!$A:$C,3,0))</f>
        <v/>
      </c>
      <c r="D145" s="36" t="str">
        <f>ifs($A145=FALSE,"",$A145,VLOOKUP($A145,SCAN!$A:$D,4,0))</f>
        <v/>
      </c>
      <c r="E145" s="38" t="str">
        <f>ifs($A145=FALSE,"",$A145,VLOOKUP($A145,SCAN!$A:$C,2,0))</f>
        <v/>
      </c>
      <c r="F145" s="39"/>
      <c r="G145" s="38" t="str">
        <f t="shared" si="2"/>
        <v/>
      </c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ht="15.75" customHeight="1">
      <c r="A146" s="41"/>
      <c r="B146" s="36" t="str">
        <f t="shared" si="1"/>
        <v/>
      </c>
      <c r="C146" s="37" t="str">
        <f>ifs($A146=FALSE,"",$A146,VLOOKUP($A146,SCAN!$A:$C,3,0))</f>
        <v/>
      </c>
      <c r="D146" s="36" t="str">
        <f>ifs($A146=FALSE,"",$A146,VLOOKUP($A146,SCAN!$A:$D,4,0))</f>
        <v/>
      </c>
      <c r="E146" s="38" t="str">
        <f>ifs($A146=FALSE,"",$A146,VLOOKUP($A146,SCAN!$A:$C,2,0))</f>
        <v/>
      </c>
      <c r="F146" s="39"/>
      <c r="G146" s="38" t="str">
        <f t="shared" si="2"/>
        <v/>
      </c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ht="15.75" customHeight="1">
      <c r="A147" s="41"/>
      <c r="B147" s="36" t="str">
        <f t="shared" si="1"/>
        <v/>
      </c>
      <c r="C147" s="37" t="str">
        <f>ifs($A147=FALSE,"",$A147,VLOOKUP($A147,SCAN!$A:$C,3,0))</f>
        <v/>
      </c>
      <c r="D147" s="36" t="str">
        <f>ifs($A147=FALSE,"",$A147,VLOOKUP($A147,SCAN!$A:$D,4,0))</f>
        <v/>
      </c>
      <c r="E147" s="38" t="str">
        <f>ifs($A147=FALSE,"",$A147,VLOOKUP($A147,SCAN!$A:$C,2,0))</f>
        <v/>
      </c>
      <c r="F147" s="39"/>
      <c r="G147" s="38" t="str">
        <f t="shared" si="2"/>
        <v/>
      </c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ht="15.75" customHeight="1">
      <c r="A148" s="41"/>
      <c r="B148" s="36" t="str">
        <f t="shared" si="1"/>
        <v/>
      </c>
      <c r="C148" s="37" t="str">
        <f>ifs($A148=FALSE,"",$A148,VLOOKUP($A148,SCAN!$A:$C,3,0))</f>
        <v/>
      </c>
      <c r="D148" s="36" t="str">
        <f>ifs($A148=FALSE,"",$A148,VLOOKUP($A148,SCAN!$A:$D,4,0))</f>
        <v/>
      </c>
      <c r="E148" s="38" t="str">
        <f>ifs($A148=FALSE,"",$A148,VLOOKUP($A148,SCAN!$A:$C,2,0))</f>
        <v/>
      </c>
      <c r="F148" s="39"/>
      <c r="G148" s="38" t="str">
        <f t="shared" si="2"/>
        <v/>
      </c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ht="15.75" customHeight="1">
      <c r="A149" s="41"/>
      <c r="B149" s="36" t="str">
        <f t="shared" si="1"/>
        <v/>
      </c>
      <c r="C149" s="37" t="str">
        <f>ifs($A149=FALSE,"",$A149,VLOOKUP($A149,SCAN!$A:$C,3,0))</f>
        <v/>
      </c>
      <c r="D149" s="36" t="str">
        <f>ifs($A149=FALSE,"",$A149,VLOOKUP($A149,SCAN!$A:$D,4,0))</f>
        <v/>
      </c>
      <c r="E149" s="38" t="str">
        <f>ifs($A149=FALSE,"",$A149,VLOOKUP($A149,SCAN!$A:$C,2,0))</f>
        <v/>
      </c>
      <c r="F149" s="39"/>
      <c r="G149" s="38" t="str">
        <f t="shared" si="2"/>
        <v/>
      </c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ht="15.75" customHeight="1">
      <c r="A150" s="41"/>
      <c r="B150" s="36" t="str">
        <f t="shared" si="1"/>
        <v/>
      </c>
      <c r="C150" s="37" t="str">
        <f>ifs($A150=FALSE,"",$A150,VLOOKUP($A150,SCAN!$A:$C,3,0))</f>
        <v/>
      </c>
      <c r="D150" s="36" t="str">
        <f>ifs($A150=FALSE,"",$A150,VLOOKUP($A150,SCAN!$A:$D,4,0))</f>
        <v/>
      </c>
      <c r="E150" s="38" t="str">
        <f>ifs($A150=FALSE,"",$A150,VLOOKUP($A150,SCAN!$A:$C,2,0))</f>
        <v/>
      </c>
      <c r="F150" s="39"/>
      <c r="G150" s="38" t="str">
        <f t="shared" si="2"/>
        <v/>
      </c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ht="15.75" customHeight="1">
      <c r="A151" s="41"/>
      <c r="B151" s="36" t="str">
        <f t="shared" si="1"/>
        <v/>
      </c>
      <c r="C151" s="37" t="str">
        <f>ifs($A151=FALSE,"",$A151,VLOOKUP($A151,SCAN!$A:$C,3,0))</f>
        <v/>
      </c>
      <c r="D151" s="36" t="str">
        <f>ifs($A151=FALSE,"",$A151,VLOOKUP($A151,SCAN!$A:$D,4,0))</f>
        <v/>
      </c>
      <c r="E151" s="38" t="str">
        <f>ifs($A151=FALSE,"",$A151,VLOOKUP($A151,SCAN!$A:$C,2,0))</f>
        <v/>
      </c>
      <c r="F151" s="39"/>
      <c r="G151" s="38" t="str">
        <f t="shared" si="2"/>
        <v/>
      </c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ht="15.75" customHeight="1">
      <c r="A152" s="41"/>
      <c r="B152" s="36" t="str">
        <f t="shared" si="1"/>
        <v/>
      </c>
      <c r="C152" s="37" t="str">
        <f>ifs($A152=FALSE,"",$A152,VLOOKUP($A152,SCAN!$A:$C,3,0))</f>
        <v/>
      </c>
      <c r="D152" s="36" t="str">
        <f>ifs($A152=FALSE,"",$A152,VLOOKUP($A152,SCAN!$A:$D,4,0))</f>
        <v/>
      </c>
      <c r="E152" s="38" t="str">
        <f>ifs($A152=FALSE,"",$A152,VLOOKUP($A152,SCAN!$A:$C,2,0))</f>
        <v/>
      </c>
      <c r="F152" s="39"/>
      <c r="G152" s="38" t="str">
        <f t="shared" si="2"/>
        <v/>
      </c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ht="15.75" customHeight="1">
      <c r="A153" s="41"/>
      <c r="B153" s="36" t="str">
        <f t="shared" si="1"/>
        <v/>
      </c>
      <c r="C153" s="37" t="str">
        <f>ifs($A153=FALSE,"",$A153,VLOOKUP($A153,SCAN!$A:$C,3,0))</f>
        <v/>
      </c>
      <c r="D153" s="36" t="str">
        <f>ifs($A153=FALSE,"",$A153,VLOOKUP($A153,SCAN!$A:$D,4,0))</f>
        <v/>
      </c>
      <c r="E153" s="38" t="str">
        <f>ifs($A153=FALSE,"",$A153,VLOOKUP($A153,SCAN!$A:$C,2,0))</f>
        <v/>
      </c>
      <c r="F153" s="39"/>
      <c r="G153" s="38" t="str">
        <f t="shared" si="2"/>
        <v/>
      </c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ht="15.75" customHeight="1">
      <c r="A154" s="41"/>
      <c r="B154" s="36" t="str">
        <f t="shared" si="1"/>
        <v/>
      </c>
      <c r="C154" s="37" t="str">
        <f>ifs($A154=FALSE,"",$A154,VLOOKUP($A154,SCAN!$A:$C,3,0))</f>
        <v/>
      </c>
      <c r="D154" s="36" t="str">
        <f>ifs($A154=FALSE,"",$A154,VLOOKUP($A154,SCAN!$A:$D,4,0))</f>
        <v/>
      </c>
      <c r="E154" s="38" t="str">
        <f>ifs($A154=FALSE,"",$A154,VLOOKUP($A154,SCAN!$A:$C,2,0))</f>
        <v/>
      </c>
      <c r="F154" s="39"/>
      <c r="G154" s="38" t="str">
        <f t="shared" si="2"/>
        <v/>
      </c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ht="15.75" customHeight="1">
      <c r="A155" s="41"/>
      <c r="B155" s="36" t="str">
        <f t="shared" si="1"/>
        <v/>
      </c>
      <c r="C155" s="37" t="str">
        <f>ifs($A155=FALSE,"",$A155,VLOOKUP($A155,SCAN!$A:$C,3,0))</f>
        <v/>
      </c>
      <c r="D155" s="36" t="str">
        <f>ifs($A155=FALSE,"",$A155,VLOOKUP($A155,SCAN!$A:$D,4,0))</f>
        <v/>
      </c>
      <c r="E155" s="38" t="str">
        <f>ifs($A155=FALSE,"",$A155,VLOOKUP($A155,SCAN!$A:$C,2,0))</f>
        <v/>
      </c>
      <c r="F155" s="39"/>
      <c r="G155" s="38" t="str">
        <f t="shared" si="2"/>
        <v/>
      </c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ht="15.75" customHeight="1">
      <c r="A156" s="41"/>
      <c r="B156" s="36" t="str">
        <f t="shared" si="1"/>
        <v/>
      </c>
      <c r="C156" s="37" t="str">
        <f>ifs($A156=FALSE,"",$A156,VLOOKUP($A156,SCAN!$A:$C,3,0))</f>
        <v/>
      </c>
      <c r="D156" s="36" t="str">
        <f>ifs($A156=FALSE,"",$A156,VLOOKUP($A156,SCAN!$A:$D,4,0))</f>
        <v/>
      </c>
      <c r="E156" s="38" t="str">
        <f>ifs($A156=FALSE,"",$A156,VLOOKUP($A156,SCAN!$A:$C,2,0))</f>
        <v/>
      </c>
      <c r="F156" s="39"/>
      <c r="G156" s="38" t="str">
        <f t="shared" si="2"/>
        <v/>
      </c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ht="15.75" customHeight="1">
      <c r="A157" s="41"/>
      <c r="B157" s="36" t="str">
        <f t="shared" si="1"/>
        <v/>
      </c>
      <c r="C157" s="37" t="str">
        <f>ifs($A157=FALSE,"",$A157,VLOOKUP($A157,SCAN!$A:$C,3,0))</f>
        <v/>
      </c>
      <c r="D157" s="36" t="str">
        <f>ifs($A157=FALSE,"",$A157,VLOOKUP($A157,SCAN!$A:$D,4,0))</f>
        <v/>
      </c>
      <c r="E157" s="38" t="str">
        <f>ifs($A157=FALSE,"",$A157,VLOOKUP($A157,SCAN!$A:$C,2,0))</f>
        <v/>
      </c>
      <c r="F157" s="39"/>
      <c r="G157" s="38" t="str">
        <f t="shared" si="2"/>
        <v/>
      </c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ht="15.75" customHeight="1">
      <c r="A158" s="41"/>
      <c r="B158" s="36" t="str">
        <f t="shared" si="1"/>
        <v/>
      </c>
      <c r="C158" s="37" t="str">
        <f>ifs($A158=FALSE,"",$A158,VLOOKUP($A158,SCAN!$A:$C,3,0))</f>
        <v/>
      </c>
      <c r="D158" s="36" t="str">
        <f>ifs($A158=FALSE,"",$A158,VLOOKUP($A158,SCAN!$A:$D,4,0))</f>
        <v/>
      </c>
      <c r="E158" s="38" t="str">
        <f>ifs($A158=FALSE,"",$A158,VLOOKUP($A158,SCAN!$A:$C,2,0))</f>
        <v/>
      </c>
      <c r="F158" s="39"/>
      <c r="G158" s="38" t="str">
        <f t="shared" si="2"/>
        <v/>
      </c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ht="15.75" customHeight="1">
      <c r="A159" s="41"/>
      <c r="B159" s="36" t="str">
        <f t="shared" si="1"/>
        <v/>
      </c>
      <c r="C159" s="37" t="str">
        <f>ifs($A159=FALSE,"",$A159,VLOOKUP($A159,SCAN!$A:$C,3,0))</f>
        <v/>
      </c>
      <c r="D159" s="36" t="str">
        <f>ifs($A159=FALSE,"",$A159,VLOOKUP($A159,SCAN!$A:$D,4,0))</f>
        <v/>
      </c>
      <c r="E159" s="38" t="str">
        <f>ifs($A159=FALSE,"",$A159,VLOOKUP($A159,SCAN!$A:$C,2,0))</f>
        <v/>
      </c>
      <c r="F159" s="39"/>
      <c r="G159" s="38" t="str">
        <f t="shared" si="2"/>
        <v/>
      </c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ht="15.75" customHeight="1">
      <c r="A160" s="41"/>
      <c r="B160" s="36" t="str">
        <f t="shared" si="1"/>
        <v/>
      </c>
      <c r="C160" s="37" t="str">
        <f>ifs($A160=FALSE,"",$A160,VLOOKUP($A160,SCAN!$A:$C,3,0))</f>
        <v/>
      </c>
      <c r="D160" s="36" t="str">
        <f>ifs($A160=FALSE,"",$A160,VLOOKUP($A160,SCAN!$A:$D,4,0))</f>
        <v/>
      </c>
      <c r="E160" s="38" t="str">
        <f>ifs($A160=FALSE,"",$A160,VLOOKUP($A160,SCAN!$A:$C,2,0))</f>
        <v/>
      </c>
      <c r="F160" s="39"/>
      <c r="G160" s="38" t="str">
        <f t="shared" si="2"/>
        <v/>
      </c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ht="15.75" customHeight="1">
      <c r="A161" s="41"/>
      <c r="B161" s="36" t="str">
        <f t="shared" si="1"/>
        <v/>
      </c>
      <c r="C161" s="37" t="str">
        <f>ifs($A161=FALSE,"",$A161,VLOOKUP($A161,SCAN!$A:$C,3,0))</f>
        <v/>
      </c>
      <c r="D161" s="36" t="str">
        <f>ifs($A161=FALSE,"",$A161,VLOOKUP($A161,SCAN!$A:$D,4,0))</f>
        <v/>
      </c>
      <c r="E161" s="38" t="str">
        <f>ifs($A161=FALSE,"",$A161,VLOOKUP($A161,SCAN!$A:$C,2,0))</f>
        <v/>
      </c>
      <c r="F161" s="39"/>
      <c r="G161" s="38" t="str">
        <f t="shared" si="2"/>
        <v/>
      </c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ht="15.75" customHeight="1">
      <c r="A162" s="41"/>
      <c r="B162" s="36" t="str">
        <f t="shared" si="1"/>
        <v/>
      </c>
      <c r="C162" s="37" t="str">
        <f>ifs($A162=FALSE,"",$A162,VLOOKUP($A162,SCAN!$A:$C,3,0))</f>
        <v/>
      </c>
      <c r="D162" s="36" t="str">
        <f>ifs($A162=FALSE,"",$A162,VLOOKUP($A162,SCAN!$A:$D,4,0))</f>
        <v/>
      </c>
      <c r="E162" s="38" t="str">
        <f>ifs($A162=FALSE,"",$A162,VLOOKUP($A162,SCAN!$A:$C,2,0))</f>
        <v/>
      </c>
      <c r="F162" s="39"/>
      <c r="G162" s="38" t="str">
        <f t="shared" si="2"/>
        <v/>
      </c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ht="15.75" customHeight="1">
      <c r="A163" s="41"/>
      <c r="B163" s="36" t="str">
        <f t="shared" si="1"/>
        <v/>
      </c>
      <c r="C163" s="37" t="str">
        <f>ifs($A163=FALSE,"",$A163,VLOOKUP($A163,SCAN!$A:$C,3,0))</f>
        <v/>
      </c>
      <c r="D163" s="36" t="str">
        <f>ifs($A163=FALSE,"",$A163,VLOOKUP($A163,SCAN!$A:$D,4,0))</f>
        <v/>
      </c>
      <c r="E163" s="38" t="str">
        <f>ifs($A163=FALSE,"",$A163,VLOOKUP($A163,SCAN!$A:$C,2,0))</f>
        <v/>
      </c>
      <c r="F163" s="39"/>
      <c r="G163" s="38" t="str">
        <f t="shared" si="2"/>
        <v/>
      </c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ht="15.75" customHeight="1">
      <c r="A164" s="41"/>
      <c r="B164" s="36" t="str">
        <f t="shared" si="1"/>
        <v/>
      </c>
      <c r="C164" s="37" t="str">
        <f>ifs($A164=FALSE,"",$A164,VLOOKUP($A164,SCAN!$A:$C,3,0))</f>
        <v/>
      </c>
      <c r="D164" s="36" t="str">
        <f>ifs($A164=FALSE,"",$A164,VLOOKUP($A164,SCAN!$A:$D,4,0))</f>
        <v/>
      </c>
      <c r="E164" s="38" t="str">
        <f>ifs($A164=FALSE,"",$A164,VLOOKUP($A164,SCAN!$A:$C,2,0))</f>
        <v/>
      </c>
      <c r="F164" s="39"/>
      <c r="G164" s="38" t="str">
        <f t="shared" si="2"/>
        <v/>
      </c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ht="15.75" customHeight="1">
      <c r="A165" s="41"/>
      <c r="B165" s="36" t="str">
        <f t="shared" si="1"/>
        <v/>
      </c>
      <c r="C165" s="37" t="str">
        <f>ifs($A165=FALSE,"",$A165,VLOOKUP($A165,SCAN!$A:$C,3,0))</f>
        <v/>
      </c>
      <c r="D165" s="36" t="str">
        <f>ifs($A165=FALSE,"",$A165,VLOOKUP($A165,SCAN!$A:$D,4,0))</f>
        <v/>
      </c>
      <c r="E165" s="38" t="str">
        <f>ifs($A165=FALSE,"",$A165,VLOOKUP($A165,SCAN!$A:$C,2,0))</f>
        <v/>
      </c>
      <c r="F165" s="39"/>
      <c r="G165" s="38" t="str">
        <f t="shared" si="2"/>
        <v/>
      </c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ht="15.75" customHeight="1">
      <c r="A166" s="41"/>
      <c r="B166" s="36" t="str">
        <f t="shared" si="1"/>
        <v/>
      </c>
      <c r="C166" s="37" t="str">
        <f>ifs($A166=FALSE,"",$A166,VLOOKUP($A166,SCAN!$A:$C,3,0))</f>
        <v/>
      </c>
      <c r="D166" s="36" t="str">
        <f>ifs($A166=FALSE,"",$A166,VLOOKUP($A166,SCAN!$A:$D,4,0))</f>
        <v/>
      </c>
      <c r="E166" s="38" t="str">
        <f>ifs($A166=FALSE,"",$A166,VLOOKUP($A166,SCAN!$A:$C,2,0))</f>
        <v/>
      </c>
      <c r="F166" s="39"/>
      <c r="G166" s="38" t="str">
        <f t="shared" si="2"/>
        <v/>
      </c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ht="15.75" customHeight="1">
      <c r="A167" s="41"/>
      <c r="B167" s="36" t="str">
        <f t="shared" si="1"/>
        <v/>
      </c>
      <c r="C167" s="37" t="str">
        <f>ifs($A167=FALSE,"",$A167,VLOOKUP($A167,SCAN!$A:$C,3,0))</f>
        <v/>
      </c>
      <c r="D167" s="36" t="str">
        <f>ifs($A167=FALSE,"",$A167,VLOOKUP($A167,SCAN!$A:$D,4,0))</f>
        <v/>
      </c>
      <c r="E167" s="38" t="str">
        <f>ifs($A167=FALSE,"",$A167,VLOOKUP($A167,SCAN!$A:$C,2,0))</f>
        <v/>
      </c>
      <c r="F167" s="39"/>
      <c r="G167" s="38" t="str">
        <f t="shared" si="2"/>
        <v/>
      </c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ht="15.75" customHeight="1">
      <c r="A168" s="41"/>
      <c r="B168" s="36" t="str">
        <f t="shared" si="1"/>
        <v/>
      </c>
      <c r="C168" s="37" t="str">
        <f>ifs($A168=FALSE,"",$A168,VLOOKUP($A168,SCAN!$A:$C,3,0))</f>
        <v/>
      </c>
      <c r="D168" s="36" t="str">
        <f>ifs($A168=FALSE,"",$A168,VLOOKUP($A168,SCAN!$A:$D,4,0))</f>
        <v/>
      </c>
      <c r="E168" s="38" t="str">
        <f>ifs($A168=FALSE,"",$A168,VLOOKUP($A168,SCAN!$A:$C,2,0))</f>
        <v/>
      </c>
      <c r="F168" s="39"/>
      <c r="G168" s="38" t="str">
        <f t="shared" si="2"/>
        <v/>
      </c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ht="15.75" customHeight="1">
      <c r="A169" s="41"/>
      <c r="B169" s="36" t="str">
        <f t="shared" si="1"/>
        <v/>
      </c>
      <c r="C169" s="37" t="str">
        <f>ifs($A169=FALSE,"",$A169,VLOOKUP($A169,SCAN!$A:$C,3,0))</f>
        <v/>
      </c>
      <c r="D169" s="36" t="str">
        <f>ifs($A169=FALSE,"",$A169,VLOOKUP($A169,SCAN!$A:$D,4,0))</f>
        <v/>
      </c>
      <c r="E169" s="38" t="str">
        <f>ifs($A169=FALSE,"",$A169,VLOOKUP($A169,SCAN!$A:$C,2,0))</f>
        <v/>
      </c>
      <c r="F169" s="39"/>
      <c r="G169" s="38" t="str">
        <f t="shared" si="2"/>
        <v/>
      </c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ht="15.75" customHeight="1">
      <c r="A170" s="41"/>
      <c r="B170" s="36" t="str">
        <f t="shared" si="1"/>
        <v/>
      </c>
      <c r="C170" s="37" t="str">
        <f>ifs($A170=FALSE,"",$A170,VLOOKUP($A170,SCAN!$A:$C,3,0))</f>
        <v/>
      </c>
      <c r="D170" s="36" t="str">
        <f>ifs($A170=FALSE,"",$A170,VLOOKUP($A170,SCAN!$A:$D,4,0))</f>
        <v/>
      </c>
      <c r="E170" s="38" t="str">
        <f>ifs($A170=FALSE,"",$A170,VLOOKUP($A170,SCAN!$A:$C,2,0))</f>
        <v/>
      </c>
      <c r="F170" s="39"/>
      <c r="G170" s="38" t="str">
        <f t="shared" si="2"/>
        <v/>
      </c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ht="15.75" customHeight="1">
      <c r="A171" s="41"/>
      <c r="B171" s="36" t="str">
        <f t="shared" si="1"/>
        <v/>
      </c>
      <c r="C171" s="37" t="str">
        <f>ifs($A171=FALSE,"",$A171,VLOOKUP($A171,SCAN!$A:$C,3,0))</f>
        <v/>
      </c>
      <c r="D171" s="36" t="str">
        <f>ifs($A171=FALSE,"",$A171,VLOOKUP($A171,SCAN!$A:$D,4,0))</f>
        <v/>
      </c>
      <c r="E171" s="38" t="str">
        <f>ifs($A171=FALSE,"",$A171,VLOOKUP($A171,SCAN!$A:$C,2,0))</f>
        <v/>
      </c>
      <c r="F171" s="39"/>
      <c r="G171" s="38" t="str">
        <f t="shared" si="2"/>
        <v/>
      </c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ht="15.75" customHeight="1">
      <c r="A172" s="41"/>
      <c r="B172" s="36" t="str">
        <f t="shared" si="1"/>
        <v/>
      </c>
      <c r="C172" s="37" t="str">
        <f>ifs($A172=FALSE,"",$A172,VLOOKUP($A172,SCAN!$A:$C,3,0))</f>
        <v/>
      </c>
      <c r="D172" s="36" t="str">
        <f>ifs($A172=FALSE,"",$A172,VLOOKUP($A172,SCAN!$A:$D,4,0))</f>
        <v/>
      </c>
      <c r="E172" s="38" t="str">
        <f>ifs($A172=FALSE,"",$A172,VLOOKUP($A172,SCAN!$A:$C,2,0))</f>
        <v/>
      </c>
      <c r="F172" s="39"/>
      <c r="G172" s="38" t="str">
        <f t="shared" si="2"/>
        <v/>
      </c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ht="15.75" customHeight="1">
      <c r="A173" s="41"/>
      <c r="B173" s="36" t="str">
        <f t="shared" si="1"/>
        <v/>
      </c>
      <c r="C173" s="37" t="str">
        <f>ifs($A173=FALSE,"",$A173,VLOOKUP($A173,SCAN!$A:$C,3,0))</f>
        <v/>
      </c>
      <c r="D173" s="36" t="str">
        <f>ifs($A173=FALSE,"",$A173,VLOOKUP($A173,SCAN!$A:$D,4,0))</f>
        <v/>
      </c>
      <c r="E173" s="38" t="str">
        <f>ifs($A173=FALSE,"",$A173,VLOOKUP($A173,SCAN!$A:$C,2,0))</f>
        <v/>
      </c>
      <c r="F173" s="39"/>
      <c r="G173" s="38" t="str">
        <f t="shared" si="2"/>
        <v/>
      </c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ht="15.75" customHeight="1">
      <c r="A174" s="41"/>
      <c r="B174" s="36" t="str">
        <f t="shared" si="1"/>
        <v/>
      </c>
      <c r="C174" s="37" t="str">
        <f>ifs($A174=FALSE,"",$A174,VLOOKUP($A174,SCAN!$A:$C,3,0))</f>
        <v/>
      </c>
      <c r="D174" s="36" t="str">
        <f>ifs($A174=FALSE,"",$A174,VLOOKUP($A174,SCAN!$A:$D,4,0))</f>
        <v/>
      </c>
      <c r="E174" s="38" t="str">
        <f>ifs($A174=FALSE,"",$A174,VLOOKUP($A174,SCAN!$A:$C,2,0))</f>
        <v/>
      </c>
      <c r="F174" s="39"/>
      <c r="G174" s="38" t="str">
        <f t="shared" si="2"/>
        <v/>
      </c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ht="15.75" customHeight="1">
      <c r="A175" s="41"/>
      <c r="B175" s="36" t="str">
        <f t="shared" si="1"/>
        <v/>
      </c>
      <c r="C175" s="37" t="str">
        <f>ifs($A175=FALSE,"",$A175,VLOOKUP($A175,SCAN!$A:$C,3,0))</f>
        <v/>
      </c>
      <c r="D175" s="36" t="str">
        <f>ifs($A175=FALSE,"",$A175,VLOOKUP($A175,SCAN!$A:$D,4,0))</f>
        <v/>
      </c>
      <c r="E175" s="38" t="str">
        <f>ifs($A175=FALSE,"",$A175,VLOOKUP($A175,SCAN!$A:$C,2,0))</f>
        <v/>
      </c>
      <c r="F175" s="39"/>
      <c r="G175" s="38" t="str">
        <f t="shared" si="2"/>
        <v/>
      </c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ht="15.75" customHeight="1">
      <c r="A176" s="41"/>
      <c r="B176" s="36" t="str">
        <f t="shared" si="1"/>
        <v/>
      </c>
      <c r="C176" s="37" t="str">
        <f>ifs($A176=FALSE,"",$A176,VLOOKUP($A176,SCAN!$A:$C,3,0))</f>
        <v/>
      </c>
      <c r="D176" s="36" t="str">
        <f>ifs($A176=FALSE,"",$A176,VLOOKUP($A176,SCAN!$A:$D,4,0))</f>
        <v/>
      </c>
      <c r="E176" s="38" t="str">
        <f>ifs($A176=FALSE,"",$A176,VLOOKUP($A176,SCAN!$A:$C,2,0))</f>
        <v/>
      </c>
      <c r="F176" s="39"/>
      <c r="G176" s="38" t="str">
        <f t="shared" si="2"/>
        <v/>
      </c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ht="15.75" customHeight="1">
      <c r="A177" s="41"/>
      <c r="B177" s="36" t="str">
        <f t="shared" si="1"/>
        <v/>
      </c>
      <c r="C177" s="37" t="str">
        <f>ifs($A177=FALSE,"",$A177,VLOOKUP($A177,SCAN!$A:$C,3,0))</f>
        <v/>
      </c>
      <c r="D177" s="36" t="str">
        <f>ifs($A177=FALSE,"",$A177,VLOOKUP($A177,SCAN!$A:$D,4,0))</f>
        <v/>
      </c>
      <c r="E177" s="38" t="str">
        <f>ifs($A177=FALSE,"",$A177,VLOOKUP($A177,SCAN!$A:$C,2,0))</f>
        <v/>
      </c>
      <c r="F177" s="39"/>
      <c r="G177" s="38" t="str">
        <f t="shared" si="2"/>
        <v/>
      </c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ht="15.75" customHeight="1">
      <c r="A178" s="41"/>
      <c r="B178" s="36" t="str">
        <f t="shared" si="1"/>
        <v/>
      </c>
      <c r="C178" s="37" t="str">
        <f>ifs($A178=FALSE,"",$A178,VLOOKUP($A178,SCAN!$A:$C,3,0))</f>
        <v/>
      </c>
      <c r="D178" s="36" t="str">
        <f>ifs($A178=FALSE,"",$A178,VLOOKUP($A178,SCAN!$A:$D,4,0))</f>
        <v/>
      </c>
      <c r="E178" s="38" t="str">
        <f>ifs($A178=FALSE,"",$A178,VLOOKUP($A178,SCAN!$A:$C,2,0))</f>
        <v/>
      </c>
      <c r="F178" s="39"/>
      <c r="G178" s="38" t="str">
        <f t="shared" si="2"/>
        <v/>
      </c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ht="15.75" customHeight="1">
      <c r="A179" s="41"/>
      <c r="B179" s="36" t="str">
        <f t="shared" si="1"/>
        <v/>
      </c>
      <c r="C179" s="37" t="str">
        <f>ifs($A179=FALSE,"",$A179,VLOOKUP($A179,SCAN!$A:$C,3,0))</f>
        <v/>
      </c>
      <c r="D179" s="36" t="str">
        <f>ifs($A179=FALSE,"",$A179,VLOOKUP($A179,SCAN!$A:$D,4,0))</f>
        <v/>
      </c>
      <c r="E179" s="38" t="str">
        <f>ifs($A179=FALSE,"",$A179,VLOOKUP($A179,SCAN!$A:$C,2,0))</f>
        <v/>
      </c>
      <c r="F179" s="39"/>
      <c r="G179" s="38" t="str">
        <f t="shared" si="2"/>
        <v/>
      </c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ht="15.75" customHeight="1">
      <c r="A180" s="41"/>
      <c r="B180" s="36" t="str">
        <f t="shared" si="1"/>
        <v/>
      </c>
      <c r="C180" s="37" t="str">
        <f>ifs($A180=FALSE,"",$A180,VLOOKUP($A180,SCAN!$A:$C,3,0))</f>
        <v/>
      </c>
      <c r="D180" s="36" t="str">
        <f>ifs($A180=FALSE,"",$A180,VLOOKUP($A180,SCAN!$A:$D,4,0))</f>
        <v/>
      </c>
      <c r="E180" s="38" t="str">
        <f>ifs($A180=FALSE,"",$A180,VLOOKUP($A180,SCAN!$A:$C,2,0))</f>
        <v/>
      </c>
      <c r="F180" s="39"/>
      <c r="G180" s="38" t="str">
        <f t="shared" si="2"/>
        <v/>
      </c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ht="15.75" customHeight="1">
      <c r="A181" s="41"/>
      <c r="B181" s="36" t="str">
        <f t="shared" si="1"/>
        <v/>
      </c>
      <c r="C181" s="37" t="str">
        <f>ifs($A181=FALSE,"",$A181,VLOOKUP($A181,SCAN!$A:$C,3,0))</f>
        <v/>
      </c>
      <c r="D181" s="36" t="str">
        <f>ifs($A181=FALSE,"",$A181,VLOOKUP($A181,SCAN!$A:$D,4,0))</f>
        <v/>
      </c>
      <c r="E181" s="38" t="str">
        <f>ifs($A181=FALSE,"",$A181,VLOOKUP($A181,SCAN!$A:$C,2,0))</f>
        <v/>
      </c>
      <c r="F181" s="39"/>
      <c r="G181" s="38" t="str">
        <f t="shared" si="2"/>
        <v/>
      </c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ht="15.75" customHeight="1">
      <c r="A182" s="41"/>
      <c r="B182" s="36" t="str">
        <f t="shared" si="1"/>
        <v/>
      </c>
      <c r="C182" s="37" t="str">
        <f>ifs($A182=FALSE,"",$A182,VLOOKUP($A182,SCAN!$A:$C,3,0))</f>
        <v/>
      </c>
      <c r="D182" s="36" t="str">
        <f>ifs($A182=FALSE,"",$A182,VLOOKUP($A182,SCAN!$A:$D,4,0))</f>
        <v/>
      </c>
      <c r="E182" s="38" t="str">
        <f>ifs($A182=FALSE,"",$A182,VLOOKUP($A182,SCAN!$A:$C,2,0))</f>
        <v/>
      </c>
      <c r="F182" s="39"/>
      <c r="G182" s="38" t="str">
        <f t="shared" si="2"/>
        <v/>
      </c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ht="15.75" customHeight="1">
      <c r="A183" s="41"/>
      <c r="B183" s="36" t="str">
        <f t="shared" si="1"/>
        <v/>
      </c>
      <c r="C183" s="37" t="str">
        <f>ifs($A183=FALSE,"",$A183,VLOOKUP($A183,SCAN!$A:$C,3,0))</f>
        <v/>
      </c>
      <c r="D183" s="36" t="str">
        <f>ifs($A183=FALSE,"",$A183,VLOOKUP($A183,SCAN!$A:$D,4,0))</f>
        <v/>
      </c>
      <c r="E183" s="38" t="str">
        <f>ifs($A183=FALSE,"",$A183,VLOOKUP($A183,SCAN!$A:$C,2,0))</f>
        <v/>
      </c>
      <c r="F183" s="39"/>
      <c r="G183" s="38" t="str">
        <f t="shared" si="2"/>
        <v/>
      </c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ht="15.75" customHeight="1">
      <c r="A184" s="41"/>
      <c r="B184" s="36" t="str">
        <f t="shared" si="1"/>
        <v/>
      </c>
      <c r="C184" s="37" t="str">
        <f>ifs($A184=FALSE,"",$A184,VLOOKUP($A184,SCAN!$A:$C,3,0))</f>
        <v/>
      </c>
      <c r="D184" s="36" t="str">
        <f>ifs($A184=FALSE,"",$A184,VLOOKUP($A184,SCAN!$A:$D,4,0))</f>
        <v/>
      </c>
      <c r="E184" s="38" t="str">
        <f>ifs($A184=FALSE,"",$A184,VLOOKUP($A184,SCAN!$A:$C,2,0))</f>
        <v/>
      </c>
      <c r="F184" s="39"/>
      <c r="G184" s="38" t="str">
        <f t="shared" si="2"/>
        <v/>
      </c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ht="15.75" customHeight="1">
      <c r="A185" s="41"/>
      <c r="B185" s="36" t="str">
        <f t="shared" si="1"/>
        <v/>
      </c>
      <c r="C185" s="37" t="str">
        <f>ifs($A185=FALSE,"",$A185,VLOOKUP($A185,SCAN!$A:$C,3,0))</f>
        <v/>
      </c>
      <c r="D185" s="36" t="str">
        <f>ifs($A185=FALSE,"",$A185,VLOOKUP($A185,SCAN!$A:$D,4,0))</f>
        <v/>
      </c>
      <c r="E185" s="38" t="str">
        <f>ifs($A185=FALSE,"",$A185,VLOOKUP($A185,SCAN!$A:$C,2,0))</f>
        <v/>
      </c>
      <c r="F185" s="39"/>
      <c r="G185" s="38" t="str">
        <f t="shared" si="2"/>
        <v/>
      </c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ht="15.75" customHeight="1">
      <c r="A186" s="41"/>
      <c r="B186" s="36" t="str">
        <f t="shared" si="1"/>
        <v/>
      </c>
      <c r="C186" s="37" t="str">
        <f>ifs($A186=FALSE,"",$A186,VLOOKUP($A186,SCAN!$A:$C,3,0))</f>
        <v/>
      </c>
      <c r="D186" s="36" t="str">
        <f>ifs($A186=FALSE,"",$A186,VLOOKUP($A186,SCAN!$A:$D,4,0))</f>
        <v/>
      </c>
      <c r="E186" s="38" t="str">
        <f>ifs($A186=FALSE,"",$A186,VLOOKUP($A186,SCAN!$A:$C,2,0))</f>
        <v/>
      </c>
      <c r="F186" s="39"/>
      <c r="G186" s="38" t="str">
        <f t="shared" si="2"/>
        <v/>
      </c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5.75" customHeight="1">
      <c r="A187" s="41"/>
      <c r="B187" s="36" t="str">
        <f t="shared" si="1"/>
        <v/>
      </c>
      <c r="C187" s="37" t="str">
        <f>ifs($A187=FALSE,"",$A187,VLOOKUP($A187,SCAN!$A:$C,3,0))</f>
        <v/>
      </c>
      <c r="D187" s="36" t="str">
        <f>ifs($A187=FALSE,"",$A187,VLOOKUP($A187,SCAN!$A:$D,4,0))</f>
        <v/>
      </c>
      <c r="E187" s="38" t="str">
        <f>ifs($A187=FALSE,"",$A187,VLOOKUP($A187,SCAN!$A:$C,2,0))</f>
        <v/>
      </c>
      <c r="F187" s="39"/>
      <c r="G187" s="38" t="str">
        <f t="shared" si="2"/>
        <v/>
      </c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5.75" customHeight="1">
      <c r="A188" s="41"/>
      <c r="B188" s="36" t="str">
        <f t="shared" si="1"/>
        <v/>
      </c>
      <c r="C188" s="37" t="str">
        <f>ifs($A188=FALSE,"",$A188,VLOOKUP($A188,SCAN!$A:$C,3,0))</f>
        <v/>
      </c>
      <c r="D188" s="36" t="str">
        <f>ifs($A188=FALSE,"",$A188,VLOOKUP($A188,SCAN!$A:$D,4,0))</f>
        <v/>
      </c>
      <c r="E188" s="38" t="str">
        <f>ifs($A188=FALSE,"",$A188,VLOOKUP($A188,SCAN!$A:$C,2,0))</f>
        <v/>
      </c>
      <c r="F188" s="39"/>
      <c r="G188" s="38" t="str">
        <f t="shared" si="2"/>
        <v/>
      </c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5.75" customHeight="1">
      <c r="A189" s="41"/>
      <c r="B189" s="36" t="str">
        <f t="shared" si="1"/>
        <v/>
      </c>
      <c r="C189" s="37" t="str">
        <f>ifs($A189=FALSE,"",$A189,VLOOKUP($A189,SCAN!$A:$C,3,0))</f>
        <v/>
      </c>
      <c r="D189" s="36" t="str">
        <f>ifs($A189=FALSE,"",$A189,VLOOKUP($A189,SCAN!$A:$D,4,0))</f>
        <v/>
      </c>
      <c r="E189" s="38" t="str">
        <f>ifs($A189=FALSE,"",$A189,VLOOKUP($A189,SCAN!$A:$C,2,0))</f>
        <v/>
      </c>
      <c r="F189" s="39"/>
      <c r="G189" s="38" t="str">
        <f t="shared" si="2"/>
        <v/>
      </c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5.75" customHeight="1">
      <c r="A190" s="41"/>
      <c r="B190" s="36" t="str">
        <f t="shared" si="1"/>
        <v/>
      </c>
      <c r="C190" s="37" t="str">
        <f>ifs($A190=FALSE,"",$A190,VLOOKUP($A190,SCAN!$A:$C,3,0))</f>
        <v/>
      </c>
      <c r="D190" s="36" t="str">
        <f>ifs($A190=FALSE,"",$A190,VLOOKUP($A190,SCAN!$A:$D,4,0))</f>
        <v/>
      </c>
      <c r="E190" s="38" t="str">
        <f>ifs($A190=FALSE,"",$A190,VLOOKUP($A190,SCAN!$A:$C,2,0))</f>
        <v/>
      </c>
      <c r="F190" s="39"/>
      <c r="G190" s="38" t="str">
        <f t="shared" si="2"/>
        <v/>
      </c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5.75" customHeight="1">
      <c r="A191" s="41"/>
      <c r="B191" s="36" t="str">
        <f t="shared" si="1"/>
        <v/>
      </c>
      <c r="C191" s="37" t="str">
        <f>ifs($A191=FALSE,"",$A191,VLOOKUP($A191,SCAN!$A:$C,3,0))</f>
        <v/>
      </c>
      <c r="D191" s="36" t="str">
        <f>ifs($A191=FALSE,"",$A191,VLOOKUP($A191,SCAN!$A:$D,4,0))</f>
        <v/>
      </c>
      <c r="E191" s="38" t="str">
        <f>ifs($A191=FALSE,"",$A191,VLOOKUP($A191,SCAN!$A:$C,2,0))</f>
        <v/>
      </c>
      <c r="F191" s="39"/>
      <c r="G191" s="38" t="str">
        <f t="shared" si="2"/>
        <v/>
      </c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5.75" customHeight="1">
      <c r="A192" s="41"/>
      <c r="B192" s="36" t="str">
        <f t="shared" si="1"/>
        <v/>
      </c>
      <c r="C192" s="37" t="str">
        <f>ifs($A192=FALSE,"",$A192,VLOOKUP($A192,SCAN!$A:$C,3,0))</f>
        <v/>
      </c>
      <c r="D192" s="36" t="str">
        <f>ifs($A192=FALSE,"",$A192,VLOOKUP($A192,SCAN!$A:$D,4,0))</f>
        <v/>
      </c>
      <c r="E192" s="38" t="str">
        <f>ifs($A192=FALSE,"",$A192,VLOOKUP($A192,SCAN!$A:$C,2,0))</f>
        <v/>
      </c>
      <c r="F192" s="39"/>
      <c r="G192" s="38" t="str">
        <f t="shared" si="2"/>
        <v/>
      </c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5.75" customHeight="1">
      <c r="A193" s="41"/>
      <c r="B193" s="36" t="str">
        <f t="shared" si="1"/>
        <v/>
      </c>
      <c r="C193" s="37" t="str">
        <f>ifs($A193=FALSE,"",$A193,VLOOKUP($A193,SCAN!$A:$C,3,0))</f>
        <v/>
      </c>
      <c r="D193" s="36" t="str">
        <f>ifs($A193=FALSE,"",$A193,VLOOKUP($A193,SCAN!$A:$D,4,0))</f>
        <v/>
      </c>
      <c r="E193" s="38" t="str">
        <f>ifs($A193=FALSE,"",$A193,VLOOKUP($A193,SCAN!$A:$C,2,0))</f>
        <v/>
      </c>
      <c r="F193" s="39"/>
      <c r="G193" s="38" t="str">
        <f t="shared" si="2"/>
        <v/>
      </c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5.75" customHeight="1">
      <c r="A194" s="41"/>
      <c r="B194" s="36" t="str">
        <f t="shared" si="1"/>
        <v/>
      </c>
      <c r="C194" s="37" t="str">
        <f>ifs($A194=FALSE,"",$A194,VLOOKUP($A194,SCAN!$A:$C,3,0))</f>
        <v/>
      </c>
      <c r="D194" s="36" t="str">
        <f>ifs($A194=FALSE,"",$A194,VLOOKUP($A194,SCAN!$A:$D,4,0))</f>
        <v/>
      </c>
      <c r="E194" s="38" t="str">
        <f>ifs($A194=FALSE,"",$A194,VLOOKUP($A194,SCAN!$A:$C,2,0))</f>
        <v/>
      </c>
      <c r="F194" s="39"/>
      <c r="G194" s="38" t="str">
        <f t="shared" si="2"/>
        <v/>
      </c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5.75" customHeight="1">
      <c r="A195" s="41"/>
      <c r="B195" s="36" t="str">
        <f t="shared" si="1"/>
        <v/>
      </c>
      <c r="C195" s="37" t="str">
        <f>ifs($A195=FALSE,"",$A195,VLOOKUP($A195,SCAN!$A:$C,3,0))</f>
        <v/>
      </c>
      <c r="D195" s="36" t="str">
        <f>ifs($A195=FALSE,"",$A195,VLOOKUP($A195,SCAN!$A:$D,4,0))</f>
        <v/>
      </c>
      <c r="E195" s="38" t="str">
        <f>ifs($A195=FALSE,"",$A195,VLOOKUP($A195,SCAN!$A:$C,2,0))</f>
        <v/>
      </c>
      <c r="F195" s="39"/>
      <c r="G195" s="38" t="str">
        <f t="shared" si="2"/>
        <v/>
      </c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5.75" customHeight="1">
      <c r="A196" s="41"/>
      <c r="B196" s="36" t="str">
        <f t="shared" si="1"/>
        <v/>
      </c>
      <c r="C196" s="37" t="str">
        <f>ifs($A196=FALSE,"",$A196,VLOOKUP($A196,SCAN!$A:$C,3,0))</f>
        <v/>
      </c>
      <c r="D196" s="36" t="str">
        <f>ifs($A196=FALSE,"",$A196,VLOOKUP($A196,SCAN!$A:$D,4,0))</f>
        <v/>
      </c>
      <c r="E196" s="38" t="str">
        <f>ifs($A196=FALSE,"",$A196,VLOOKUP($A196,SCAN!$A:$C,2,0))</f>
        <v/>
      </c>
      <c r="F196" s="39"/>
      <c r="G196" s="38" t="str">
        <f t="shared" si="2"/>
        <v/>
      </c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5.75" customHeight="1">
      <c r="A197" s="41"/>
      <c r="B197" s="36" t="str">
        <f t="shared" si="1"/>
        <v/>
      </c>
      <c r="C197" s="37" t="str">
        <f>ifs($A197=FALSE,"",$A197,VLOOKUP($A197,SCAN!$A:$C,3,0))</f>
        <v/>
      </c>
      <c r="D197" s="36" t="str">
        <f>ifs($A197=FALSE,"",$A197,VLOOKUP($A197,SCAN!$A:$D,4,0))</f>
        <v/>
      </c>
      <c r="E197" s="38" t="str">
        <f>ifs($A197=FALSE,"",$A197,VLOOKUP($A197,SCAN!$A:$C,2,0))</f>
        <v/>
      </c>
      <c r="F197" s="39"/>
      <c r="G197" s="38" t="str">
        <f t="shared" si="2"/>
        <v/>
      </c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5.75" customHeight="1">
      <c r="A198" s="41"/>
      <c r="B198" s="36" t="str">
        <f t="shared" si="1"/>
        <v/>
      </c>
      <c r="C198" s="37" t="str">
        <f>ifs($A198=FALSE,"",$A198,VLOOKUP($A198,SCAN!$A:$C,3,0))</f>
        <v/>
      </c>
      <c r="D198" s="36" t="str">
        <f>ifs($A198=FALSE,"",$A198,VLOOKUP($A198,SCAN!$A:$D,4,0))</f>
        <v/>
      </c>
      <c r="E198" s="38" t="str">
        <f>ifs($A198=FALSE,"",$A198,VLOOKUP($A198,SCAN!$A:$C,2,0))</f>
        <v/>
      </c>
      <c r="F198" s="39"/>
      <c r="G198" s="38" t="str">
        <f t="shared" si="2"/>
        <v/>
      </c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5.75" customHeight="1">
      <c r="A199" s="41"/>
      <c r="B199" s="36" t="str">
        <f t="shared" si="1"/>
        <v/>
      </c>
      <c r="C199" s="37" t="str">
        <f>ifs($A199=FALSE,"",$A199,VLOOKUP($A199,SCAN!$A:$C,3,0))</f>
        <v/>
      </c>
      <c r="D199" s="36" t="str">
        <f>ifs($A199=FALSE,"",$A199,VLOOKUP($A199,SCAN!$A:$D,4,0))</f>
        <v/>
      </c>
      <c r="E199" s="38" t="str">
        <f>ifs($A199=FALSE,"",$A199,VLOOKUP($A199,SCAN!$A:$C,2,0))</f>
        <v/>
      </c>
      <c r="F199" s="39"/>
      <c r="G199" s="38" t="str">
        <f t="shared" si="2"/>
        <v/>
      </c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5.75" customHeight="1">
      <c r="A200" s="41"/>
      <c r="B200" s="36" t="str">
        <f t="shared" si="1"/>
        <v/>
      </c>
      <c r="C200" s="37" t="str">
        <f>ifs($A200=FALSE,"",$A200,VLOOKUP($A200,SCAN!$A:$C,3,0))</f>
        <v/>
      </c>
      <c r="D200" s="36" t="str">
        <f>ifs($A200=FALSE,"",$A200,VLOOKUP($A200,SCAN!$A:$D,4,0))</f>
        <v/>
      </c>
      <c r="E200" s="38" t="str">
        <f>ifs($A200=FALSE,"",$A200,VLOOKUP($A200,SCAN!$A:$C,2,0))</f>
        <v/>
      </c>
      <c r="F200" s="39"/>
      <c r="G200" s="38" t="str">
        <f t="shared" si="2"/>
        <v/>
      </c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ht="15.75" customHeight="1">
      <c r="A201" s="41"/>
      <c r="B201" s="36" t="str">
        <f t="shared" si="1"/>
        <v/>
      </c>
      <c r="C201" s="37" t="str">
        <f>ifs($A201=FALSE,"",$A201,VLOOKUP($A201,SCAN!$A:$C,3,0))</f>
        <v/>
      </c>
      <c r="D201" s="36" t="str">
        <f>ifs($A201=FALSE,"",$A201,VLOOKUP($A201,SCAN!$A:$D,4,0))</f>
        <v/>
      </c>
      <c r="E201" s="38" t="str">
        <f>ifs($A201=FALSE,"",$A201,VLOOKUP($A201,SCAN!$A:$C,2,0))</f>
        <v/>
      </c>
      <c r="F201" s="39"/>
      <c r="G201" s="38" t="str">
        <f t="shared" si="2"/>
        <v/>
      </c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ht="15.75" customHeight="1">
      <c r="A202" s="41"/>
      <c r="B202" s="36" t="str">
        <f t="shared" si="1"/>
        <v/>
      </c>
      <c r="C202" s="37" t="str">
        <f>ifs($A202=FALSE,"",$A202,VLOOKUP($A202,SCAN!$A:$C,3,0))</f>
        <v/>
      </c>
      <c r="D202" s="36" t="str">
        <f>ifs($A202=FALSE,"",$A202,VLOOKUP($A202,SCAN!$A:$D,4,0))</f>
        <v/>
      </c>
      <c r="E202" s="38" t="str">
        <f>ifs($A202=FALSE,"",$A202,VLOOKUP($A202,SCAN!$A:$C,2,0))</f>
        <v/>
      </c>
      <c r="F202" s="39"/>
      <c r="G202" s="38" t="str">
        <f t="shared" si="2"/>
        <v/>
      </c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ht="15.75" customHeight="1">
      <c r="A203" s="41"/>
      <c r="B203" s="36" t="str">
        <f t="shared" si="1"/>
        <v/>
      </c>
      <c r="C203" s="37" t="str">
        <f>ifs($A203=FALSE,"",$A203,VLOOKUP($A203,SCAN!$A:$C,3,0))</f>
        <v/>
      </c>
      <c r="D203" s="36" t="str">
        <f>ifs($A203=FALSE,"",$A203,VLOOKUP($A203,SCAN!$A:$D,4,0))</f>
        <v/>
      </c>
      <c r="E203" s="38" t="str">
        <f>ifs($A203=FALSE,"",$A203,VLOOKUP($A203,SCAN!$A:$C,2,0))</f>
        <v/>
      </c>
      <c r="F203" s="39"/>
      <c r="G203" s="38" t="str">
        <f t="shared" si="2"/>
        <v/>
      </c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ht="15.75" customHeight="1">
      <c r="A204" s="41"/>
      <c r="B204" s="36" t="str">
        <f t="shared" si="1"/>
        <v/>
      </c>
      <c r="C204" s="37" t="str">
        <f>ifs($A204=FALSE,"",$A204,VLOOKUP($A204,SCAN!$A:$C,3,0))</f>
        <v/>
      </c>
      <c r="D204" s="36" t="str">
        <f>ifs($A204=FALSE,"",$A204,VLOOKUP($A204,SCAN!$A:$D,4,0))</f>
        <v/>
      </c>
      <c r="E204" s="38" t="str">
        <f>ifs($A204=FALSE,"",$A204,VLOOKUP($A204,SCAN!$A:$C,2,0))</f>
        <v/>
      </c>
      <c r="F204" s="39"/>
      <c r="G204" s="38" t="str">
        <f t="shared" si="2"/>
        <v/>
      </c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ht="15.75" customHeight="1">
      <c r="A205" s="41"/>
      <c r="B205" s="36" t="str">
        <f t="shared" si="1"/>
        <v/>
      </c>
      <c r="C205" s="37" t="str">
        <f>ifs($A205=FALSE,"",$A205,VLOOKUP($A205,SCAN!$A:$C,3,0))</f>
        <v/>
      </c>
      <c r="D205" s="36" t="str">
        <f>ifs($A205=FALSE,"",$A205,VLOOKUP($A205,SCAN!$A:$D,4,0))</f>
        <v/>
      </c>
      <c r="E205" s="38" t="str">
        <f>ifs($A205=FALSE,"",$A205,VLOOKUP($A205,SCAN!$A:$C,2,0))</f>
        <v/>
      </c>
      <c r="F205" s="39"/>
      <c r="G205" s="38" t="str">
        <f t="shared" si="2"/>
        <v/>
      </c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ht="15.75" customHeight="1">
      <c r="A206" s="41"/>
      <c r="B206" s="36" t="str">
        <f t="shared" si="1"/>
        <v/>
      </c>
      <c r="C206" s="37" t="str">
        <f>ifs($A206=FALSE,"",$A206,VLOOKUP($A206,SCAN!$A:$C,3,0))</f>
        <v/>
      </c>
      <c r="D206" s="36" t="str">
        <f>ifs($A206=FALSE,"",$A206,VLOOKUP($A206,SCAN!$A:$D,4,0))</f>
        <v/>
      </c>
      <c r="E206" s="38" t="str">
        <f>ifs($A206=FALSE,"",$A206,VLOOKUP($A206,SCAN!$A:$C,2,0))</f>
        <v/>
      </c>
      <c r="F206" s="39"/>
      <c r="G206" s="38" t="str">
        <f t="shared" si="2"/>
        <v/>
      </c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ht="15.75" customHeight="1">
      <c r="A207" s="41"/>
      <c r="B207" s="36" t="str">
        <f t="shared" si="1"/>
        <v/>
      </c>
      <c r="C207" s="37" t="str">
        <f>ifs($A207=FALSE,"",$A207,VLOOKUP($A207,SCAN!$A:$C,3,0))</f>
        <v/>
      </c>
      <c r="D207" s="36" t="str">
        <f>ifs($A207=FALSE,"",$A207,VLOOKUP($A207,SCAN!$A:$D,4,0))</f>
        <v/>
      </c>
      <c r="E207" s="38" t="str">
        <f>ifs($A207=FALSE,"",$A207,VLOOKUP($A207,SCAN!$A:$C,2,0))</f>
        <v/>
      </c>
      <c r="F207" s="39"/>
      <c r="G207" s="38" t="str">
        <f t="shared" si="2"/>
        <v/>
      </c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ht="15.75" customHeight="1">
      <c r="A208" s="41"/>
      <c r="B208" s="36" t="str">
        <f t="shared" si="1"/>
        <v/>
      </c>
      <c r="C208" s="37" t="str">
        <f>ifs($A208=FALSE,"",$A208,VLOOKUP($A208,SCAN!$A:$C,3,0))</f>
        <v/>
      </c>
      <c r="D208" s="36" t="str">
        <f>ifs($A208=FALSE,"",$A208,VLOOKUP($A208,SCAN!$A:$D,4,0))</f>
        <v/>
      </c>
      <c r="E208" s="38" t="str">
        <f>ifs($A208=FALSE,"",$A208,VLOOKUP($A208,SCAN!$A:$C,2,0))</f>
        <v/>
      </c>
      <c r="F208" s="39"/>
      <c r="G208" s="38" t="str">
        <f t="shared" si="2"/>
        <v/>
      </c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ht="15.75" customHeight="1">
      <c r="A209" s="41"/>
      <c r="B209" s="36" t="str">
        <f t="shared" si="1"/>
        <v/>
      </c>
      <c r="C209" s="37" t="str">
        <f>ifs($A209=FALSE,"",$A209,VLOOKUP($A209,SCAN!$A:$C,3,0))</f>
        <v/>
      </c>
      <c r="D209" s="36" t="str">
        <f>ifs($A209=FALSE,"",$A209,VLOOKUP($A209,SCAN!$A:$D,4,0))</f>
        <v/>
      </c>
      <c r="E209" s="38" t="str">
        <f>ifs($A209=FALSE,"",$A209,VLOOKUP($A209,SCAN!$A:$C,2,0))</f>
        <v/>
      </c>
      <c r="F209" s="39"/>
      <c r="G209" s="38" t="str">
        <f t="shared" si="2"/>
        <v/>
      </c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ht="15.75" customHeight="1">
      <c r="A210" s="41"/>
      <c r="B210" s="36" t="str">
        <f t="shared" si="1"/>
        <v/>
      </c>
      <c r="C210" s="37" t="str">
        <f>ifs($A210=FALSE,"",$A210,VLOOKUP($A210,SCAN!$A:$C,3,0))</f>
        <v/>
      </c>
      <c r="D210" s="36" t="str">
        <f>ifs($A210=FALSE,"",$A210,VLOOKUP($A210,SCAN!$A:$D,4,0))</f>
        <v/>
      </c>
      <c r="E210" s="38" t="str">
        <f>ifs($A210=FALSE,"",$A210,VLOOKUP($A210,SCAN!$A:$C,2,0))</f>
        <v/>
      </c>
      <c r="F210" s="39"/>
      <c r="G210" s="38" t="str">
        <f t="shared" si="2"/>
        <v/>
      </c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ht="15.75" customHeight="1">
      <c r="A211" s="41"/>
      <c r="B211" s="36" t="str">
        <f t="shared" si="1"/>
        <v/>
      </c>
      <c r="C211" s="37" t="str">
        <f>ifs($A211=FALSE,"",$A211,VLOOKUP($A211,SCAN!$A:$C,3,0))</f>
        <v/>
      </c>
      <c r="D211" s="36" t="str">
        <f>ifs($A211=FALSE,"",$A211,VLOOKUP($A211,SCAN!$A:$D,4,0))</f>
        <v/>
      </c>
      <c r="E211" s="38" t="str">
        <f>ifs($A211=FALSE,"",$A211,VLOOKUP($A211,SCAN!$A:$C,2,0))</f>
        <v/>
      </c>
      <c r="F211" s="39"/>
      <c r="G211" s="38" t="str">
        <f t="shared" si="2"/>
        <v/>
      </c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ht="15.75" customHeight="1">
      <c r="A212" s="41"/>
      <c r="B212" s="36" t="str">
        <f t="shared" si="1"/>
        <v/>
      </c>
      <c r="C212" s="37" t="str">
        <f>ifs($A212=FALSE,"",$A212,VLOOKUP($A212,SCAN!$A:$C,3,0))</f>
        <v/>
      </c>
      <c r="D212" s="36" t="str">
        <f>ifs($A212=FALSE,"",$A212,VLOOKUP($A212,SCAN!$A:$D,4,0))</f>
        <v/>
      </c>
      <c r="E212" s="38" t="str">
        <f>ifs($A212=FALSE,"",$A212,VLOOKUP($A212,SCAN!$A:$C,2,0))</f>
        <v/>
      </c>
      <c r="F212" s="39"/>
      <c r="G212" s="38" t="str">
        <f t="shared" si="2"/>
        <v/>
      </c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ht="15.75" customHeight="1">
      <c r="A213" s="41"/>
      <c r="B213" s="36" t="str">
        <f t="shared" si="1"/>
        <v/>
      </c>
      <c r="C213" s="37" t="str">
        <f>ifs($A213=FALSE,"",$A213,VLOOKUP($A213,SCAN!$A:$C,3,0))</f>
        <v/>
      </c>
      <c r="D213" s="36" t="str">
        <f>ifs($A213=FALSE,"",$A213,VLOOKUP($A213,SCAN!$A:$D,4,0))</f>
        <v/>
      </c>
      <c r="E213" s="38" t="str">
        <f>ifs($A213=FALSE,"",$A213,VLOOKUP($A213,SCAN!$A:$C,2,0))</f>
        <v/>
      </c>
      <c r="F213" s="39"/>
      <c r="G213" s="38" t="str">
        <f t="shared" si="2"/>
        <v/>
      </c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ht="15.75" customHeight="1">
      <c r="A214" s="41"/>
      <c r="B214" s="36" t="str">
        <f t="shared" si="1"/>
        <v/>
      </c>
      <c r="C214" s="37" t="str">
        <f>ifs($A214=FALSE,"",$A214,VLOOKUP($A214,SCAN!$A:$C,3,0))</f>
        <v/>
      </c>
      <c r="D214" s="36" t="str">
        <f>ifs($A214=FALSE,"",$A214,VLOOKUP($A214,SCAN!$A:$D,4,0))</f>
        <v/>
      </c>
      <c r="E214" s="38" t="str">
        <f>ifs($A214=FALSE,"",$A214,VLOOKUP($A214,SCAN!$A:$C,2,0))</f>
        <v/>
      </c>
      <c r="F214" s="39"/>
      <c r="G214" s="38" t="str">
        <f t="shared" si="2"/>
        <v/>
      </c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ht="15.75" customHeight="1">
      <c r="A215" s="41"/>
      <c r="B215" s="36" t="str">
        <f t="shared" si="1"/>
        <v/>
      </c>
      <c r="C215" s="37" t="str">
        <f>ifs($A215=FALSE,"",$A215,VLOOKUP($A215,SCAN!$A:$C,3,0))</f>
        <v/>
      </c>
      <c r="D215" s="36" t="str">
        <f>ifs($A215=FALSE,"",$A215,VLOOKUP($A215,SCAN!$A:$D,4,0))</f>
        <v/>
      </c>
      <c r="E215" s="38" t="str">
        <f>ifs($A215=FALSE,"",$A215,VLOOKUP($A215,SCAN!$A:$C,2,0))</f>
        <v/>
      </c>
      <c r="F215" s="39"/>
      <c r="G215" s="38" t="str">
        <f t="shared" si="2"/>
        <v/>
      </c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ht="15.75" customHeight="1">
      <c r="A216" s="41"/>
      <c r="B216" s="36" t="str">
        <f t="shared" si="1"/>
        <v/>
      </c>
      <c r="C216" s="37" t="str">
        <f>ifs($A216=FALSE,"",$A216,VLOOKUP($A216,SCAN!$A:$C,3,0))</f>
        <v/>
      </c>
      <c r="D216" s="36" t="str">
        <f>ifs($A216=FALSE,"",$A216,VLOOKUP($A216,SCAN!$A:$D,4,0))</f>
        <v/>
      </c>
      <c r="E216" s="38" t="str">
        <f>ifs($A216=FALSE,"",$A216,VLOOKUP($A216,SCAN!$A:$C,2,0))</f>
        <v/>
      </c>
      <c r="F216" s="39"/>
      <c r="G216" s="38" t="str">
        <f t="shared" si="2"/>
        <v/>
      </c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ht="15.75" customHeight="1">
      <c r="A217" s="41"/>
      <c r="B217" s="36" t="str">
        <f t="shared" si="1"/>
        <v/>
      </c>
      <c r="C217" s="37" t="str">
        <f>ifs($A217=FALSE,"",$A217,VLOOKUP($A217,SCAN!$A:$C,3,0))</f>
        <v/>
      </c>
      <c r="D217" s="36" t="str">
        <f>ifs($A217=FALSE,"",$A217,VLOOKUP($A217,SCAN!$A:$D,4,0))</f>
        <v/>
      </c>
      <c r="E217" s="38" t="str">
        <f>ifs($A217=FALSE,"",$A217,VLOOKUP($A217,SCAN!$A:$C,2,0))</f>
        <v/>
      </c>
      <c r="F217" s="39"/>
      <c r="G217" s="38" t="str">
        <f t="shared" si="2"/>
        <v/>
      </c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ht="15.75" customHeight="1">
      <c r="A218" s="41"/>
      <c r="B218" s="36" t="str">
        <f t="shared" si="1"/>
        <v/>
      </c>
      <c r="C218" s="37" t="str">
        <f>ifs($A218=FALSE,"",$A218,VLOOKUP($A218,SCAN!$A:$C,3,0))</f>
        <v/>
      </c>
      <c r="D218" s="36" t="str">
        <f>ifs($A218=FALSE,"",$A218,VLOOKUP($A218,SCAN!$A:$D,4,0))</f>
        <v/>
      </c>
      <c r="E218" s="38" t="str">
        <f>ifs($A218=FALSE,"",$A218,VLOOKUP($A218,SCAN!$A:$C,2,0))</f>
        <v/>
      </c>
      <c r="F218" s="39"/>
      <c r="G218" s="38" t="str">
        <f t="shared" si="2"/>
        <v/>
      </c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ht="15.75" customHeight="1">
      <c r="A219" s="41"/>
      <c r="B219" s="36" t="str">
        <f t="shared" si="1"/>
        <v/>
      </c>
      <c r="C219" s="37" t="str">
        <f>ifs($A219=FALSE,"",$A219,VLOOKUP($A219,SCAN!$A:$C,3,0))</f>
        <v/>
      </c>
      <c r="D219" s="36" t="str">
        <f>ifs($A219=FALSE,"",$A219,VLOOKUP($A219,SCAN!$A:$D,4,0))</f>
        <v/>
      </c>
      <c r="E219" s="38" t="str">
        <f>ifs($A219=FALSE,"",$A219,VLOOKUP($A219,SCAN!$A:$C,2,0))</f>
        <v/>
      </c>
      <c r="F219" s="39"/>
      <c r="G219" s="38" t="str">
        <f t="shared" si="2"/>
        <v/>
      </c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ht="15.75" customHeight="1">
      <c r="A220" s="41"/>
      <c r="B220" s="36" t="str">
        <f t="shared" si="1"/>
        <v/>
      </c>
      <c r="C220" s="37" t="str">
        <f>ifs($A220=FALSE,"",$A220,VLOOKUP($A220,SCAN!$A:$C,3,0))</f>
        <v/>
      </c>
      <c r="D220" s="36" t="str">
        <f>ifs($A220=FALSE,"",$A220,VLOOKUP($A220,SCAN!$A:$D,4,0))</f>
        <v/>
      </c>
      <c r="E220" s="38" t="str">
        <f>ifs($A220=FALSE,"",$A220,VLOOKUP($A220,SCAN!$A:$C,2,0))</f>
        <v/>
      </c>
      <c r="F220" s="39"/>
      <c r="G220" s="38" t="str">
        <f t="shared" si="2"/>
        <v/>
      </c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ht="15.75" customHeight="1">
      <c r="A221" s="41"/>
      <c r="B221" s="36" t="str">
        <f t="shared" si="1"/>
        <v/>
      </c>
      <c r="C221" s="37" t="str">
        <f>ifs($A221=FALSE,"",$A221,VLOOKUP($A221,SCAN!$A:$C,3,0))</f>
        <v/>
      </c>
      <c r="D221" s="36" t="str">
        <f>ifs($A221=FALSE,"",$A221,VLOOKUP($A221,SCAN!$A:$D,4,0))</f>
        <v/>
      </c>
      <c r="E221" s="38" t="str">
        <f>ifs($A221=FALSE,"",$A221,VLOOKUP($A221,SCAN!$A:$C,2,0))</f>
        <v/>
      </c>
      <c r="F221" s="39"/>
      <c r="G221" s="38" t="str">
        <f t="shared" si="2"/>
        <v/>
      </c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ht="15.75" customHeight="1">
      <c r="A222" s="41"/>
      <c r="B222" s="36" t="str">
        <f t="shared" si="1"/>
        <v/>
      </c>
      <c r="C222" s="37" t="str">
        <f>ifs($A222=FALSE,"",$A222,VLOOKUP($A222,SCAN!$A:$C,3,0))</f>
        <v/>
      </c>
      <c r="D222" s="36" t="str">
        <f>ifs($A222=FALSE,"",$A222,VLOOKUP($A222,SCAN!$A:$D,4,0))</f>
        <v/>
      </c>
      <c r="E222" s="38" t="str">
        <f>ifs($A222=FALSE,"",$A222,VLOOKUP($A222,SCAN!$A:$C,2,0))</f>
        <v/>
      </c>
      <c r="F222" s="39"/>
      <c r="G222" s="38" t="str">
        <f t="shared" si="2"/>
        <v/>
      </c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ht="15.75" customHeight="1">
      <c r="A223" s="41"/>
      <c r="B223" s="36" t="str">
        <f t="shared" si="1"/>
        <v/>
      </c>
      <c r="C223" s="37" t="str">
        <f>ifs($A223=FALSE,"",$A223,VLOOKUP($A223,SCAN!$A:$C,3,0))</f>
        <v/>
      </c>
      <c r="D223" s="36" t="str">
        <f>ifs($A223=FALSE,"",$A223,VLOOKUP($A223,SCAN!$A:$D,4,0))</f>
        <v/>
      </c>
      <c r="E223" s="38" t="str">
        <f>ifs($A223=FALSE,"",$A223,VLOOKUP($A223,SCAN!$A:$C,2,0))</f>
        <v/>
      </c>
      <c r="F223" s="39"/>
      <c r="G223" s="38" t="str">
        <f t="shared" si="2"/>
        <v/>
      </c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ht="15.75" customHeight="1">
      <c r="A224" s="41"/>
      <c r="B224" s="36" t="str">
        <f t="shared" si="1"/>
        <v/>
      </c>
      <c r="C224" s="37" t="str">
        <f>ifs($A224=FALSE,"",$A224,VLOOKUP($A224,SCAN!$A:$C,3,0))</f>
        <v/>
      </c>
      <c r="D224" s="36" t="str">
        <f>ifs($A224=FALSE,"",$A224,VLOOKUP($A224,SCAN!$A:$D,4,0))</f>
        <v/>
      </c>
      <c r="E224" s="38" t="str">
        <f>ifs($A224=FALSE,"",$A224,VLOOKUP($A224,SCAN!$A:$C,2,0))</f>
        <v/>
      </c>
      <c r="F224" s="39"/>
      <c r="G224" s="38" t="str">
        <f t="shared" si="2"/>
        <v/>
      </c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ht="15.75" customHeight="1">
      <c r="A225" s="41"/>
      <c r="B225" s="36" t="str">
        <f t="shared" si="1"/>
        <v/>
      </c>
      <c r="C225" s="37" t="str">
        <f>ifs($A225=FALSE,"",$A225,VLOOKUP($A225,SCAN!$A:$C,3,0))</f>
        <v/>
      </c>
      <c r="D225" s="36" t="str">
        <f>ifs($A225=FALSE,"",$A225,VLOOKUP($A225,SCAN!$A:$D,4,0))</f>
        <v/>
      </c>
      <c r="E225" s="38" t="str">
        <f>ifs($A225=FALSE,"",$A225,VLOOKUP($A225,SCAN!$A:$C,2,0))</f>
        <v/>
      </c>
      <c r="F225" s="39"/>
      <c r="G225" s="38" t="str">
        <f t="shared" si="2"/>
        <v/>
      </c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ht="15.75" customHeight="1">
      <c r="A226" s="41"/>
      <c r="B226" s="36" t="str">
        <f t="shared" si="1"/>
        <v/>
      </c>
      <c r="C226" s="37" t="str">
        <f>ifs($A226=FALSE,"",$A226,VLOOKUP($A226,SCAN!$A:$C,3,0))</f>
        <v/>
      </c>
      <c r="D226" s="36" t="str">
        <f>ifs($A226=FALSE,"",$A226,VLOOKUP($A226,SCAN!$A:$D,4,0))</f>
        <v/>
      </c>
      <c r="E226" s="38" t="str">
        <f>ifs($A226=FALSE,"",$A226,VLOOKUP($A226,SCAN!$A:$C,2,0))</f>
        <v/>
      </c>
      <c r="F226" s="39"/>
      <c r="G226" s="38" t="str">
        <f t="shared" si="2"/>
        <v/>
      </c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ht="15.75" customHeight="1">
      <c r="A227" s="41"/>
      <c r="B227" s="36" t="str">
        <f t="shared" si="1"/>
        <v/>
      </c>
      <c r="C227" s="37" t="str">
        <f>ifs($A227=FALSE,"",$A227,VLOOKUP($A227,SCAN!$A:$C,3,0))</f>
        <v/>
      </c>
      <c r="D227" s="36" t="str">
        <f>ifs($A227=FALSE,"",$A227,VLOOKUP($A227,SCAN!$A:$D,4,0))</f>
        <v/>
      </c>
      <c r="E227" s="38" t="str">
        <f>ifs($A227=FALSE,"",$A227,VLOOKUP($A227,SCAN!$A:$C,2,0))</f>
        <v/>
      </c>
      <c r="F227" s="39"/>
      <c r="G227" s="38" t="str">
        <f t="shared" si="2"/>
        <v/>
      </c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ht="15.75" customHeight="1">
      <c r="A228" s="41"/>
      <c r="B228" s="36" t="str">
        <f t="shared" si="1"/>
        <v/>
      </c>
      <c r="C228" s="37" t="str">
        <f>ifs($A228=FALSE,"",$A228,VLOOKUP($A228,SCAN!$A:$C,3,0))</f>
        <v/>
      </c>
      <c r="D228" s="36" t="str">
        <f>ifs($A228=FALSE,"",$A228,VLOOKUP($A228,SCAN!$A:$D,4,0))</f>
        <v/>
      </c>
      <c r="E228" s="38" t="str">
        <f>ifs($A228=FALSE,"",$A228,VLOOKUP($A228,SCAN!$A:$C,2,0))</f>
        <v/>
      </c>
      <c r="F228" s="39"/>
      <c r="G228" s="38" t="str">
        <f t="shared" si="2"/>
        <v/>
      </c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ht="15.75" customHeight="1">
      <c r="A229" s="41"/>
      <c r="B229" s="36" t="str">
        <f t="shared" si="1"/>
        <v/>
      </c>
      <c r="C229" s="37" t="str">
        <f>ifs($A229=FALSE,"",$A229,VLOOKUP($A229,SCAN!$A:$C,3,0))</f>
        <v/>
      </c>
      <c r="D229" s="36" t="str">
        <f>ifs($A229=FALSE,"",$A229,VLOOKUP($A229,SCAN!$A:$D,4,0))</f>
        <v/>
      </c>
      <c r="E229" s="38" t="str">
        <f>ifs($A229=FALSE,"",$A229,VLOOKUP($A229,SCAN!$A:$C,2,0))</f>
        <v/>
      </c>
      <c r="F229" s="39"/>
      <c r="G229" s="38" t="str">
        <f t="shared" si="2"/>
        <v/>
      </c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ht="15.75" customHeight="1">
      <c r="A230" s="41"/>
      <c r="B230" s="36" t="str">
        <f t="shared" si="1"/>
        <v/>
      </c>
      <c r="C230" s="37" t="str">
        <f>ifs($A230=FALSE,"",$A230,VLOOKUP($A230,SCAN!$A:$C,3,0))</f>
        <v/>
      </c>
      <c r="D230" s="36" t="str">
        <f>ifs($A230=FALSE,"",$A230,VLOOKUP($A230,SCAN!$A:$D,4,0))</f>
        <v/>
      </c>
      <c r="E230" s="38" t="str">
        <f>ifs($A230=FALSE,"",$A230,VLOOKUP($A230,SCAN!$A:$C,2,0))</f>
        <v/>
      </c>
      <c r="F230" s="39"/>
      <c r="G230" s="38" t="str">
        <f t="shared" si="2"/>
        <v/>
      </c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ht="15.75" customHeight="1">
      <c r="A231" s="41"/>
      <c r="B231" s="36" t="str">
        <f t="shared" si="1"/>
        <v/>
      </c>
      <c r="C231" s="37" t="str">
        <f>ifs($A231=FALSE,"",$A231,VLOOKUP($A231,SCAN!$A:$C,3,0))</f>
        <v/>
      </c>
      <c r="D231" s="36" t="str">
        <f>ifs($A231=FALSE,"",$A231,VLOOKUP($A231,SCAN!$A:$D,4,0))</f>
        <v/>
      </c>
      <c r="E231" s="38" t="str">
        <f>ifs($A231=FALSE,"",$A231,VLOOKUP($A231,SCAN!$A:$C,2,0))</f>
        <v/>
      </c>
      <c r="F231" s="39"/>
      <c r="G231" s="38" t="str">
        <f t="shared" si="2"/>
        <v/>
      </c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ht="15.75" customHeight="1">
      <c r="A232" s="41"/>
      <c r="B232" s="36" t="str">
        <f t="shared" si="1"/>
        <v/>
      </c>
      <c r="C232" s="37" t="str">
        <f>ifs($A232=FALSE,"",$A232,VLOOKUP($A232,SCAN!$A:$C,3,0))</f>
        <v/>
      </c>
      <c r="D232" s="36" t="str">
        <f>ifs($A232=FALSE,"",$A232,VLOOKUP($A232,SCAN!$A:$D,4,0))</f>
        <v/>
      </c>
      <c r="E232" s="38" t="str">
        <f>ifs($A232=FALSE,"",$A232,VLOOKUP($A232,SCAN!$A:$C,2,0))</f>
        <v/>
      </c>
      <c r="F232" s="39"/>
      <c r="G232" s="38" t="str">
        <f t="shared" si="2"/>
        <v/>
      </c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ht="15.75" customHeight="1">
      <c r="A233" s="41"/>
      <c r="B233" s="36" t="str">
        <f t="shared" si="1"/>
        <v/>
      </c>
      <c r="C233" s="37" t="str">
        <f>ifs($A233=FALSE,"",$A233,VLOOKUP($A233,SCAN!$A:$C,3,0))</f>
        <v/>
      </c>
      <c r="D233" s="36" t="str">
        <f>ifs($A233=FALSE,"",$A233,VLOOKUP($A233,SCAN!$A:$D,4,0))</f>
        <v/>
      </c>
      <c r="E233" s="38" t="str">
        <f>ifs($A233=FALSE,"",$A233,VLOOKUP($A233,SCAN!$A:$C,2,0))</f>
        <v/>
      </c>
      <c r="F233" s="39"/>
      <c r="G233" s="38" t="str">
        <f t="shared" si="2"/>
        <v/>
      </c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ht="15.75" customHeight="1">
      <c r="A234" s="40"/>
      <c r="B234" s="36" t="str">
        <f t="shared" si="1"/>
        <v/>
      </c>
      <c r="C234" s="37" t="str">
        <f>ifs($A234=FALSE,"",$A234,VLOOKUP($A234,SCAN!$A:$C,3,0))</f>
        <v/>
      </c>
      <c r="D234" s="36" t="str">
        <f>ifs($A234=FALSE,"",$A234,VLOOKUP($A234,SCAN!$A:$D,4,0))</f>
        <v/>
      </c>
      <c r="E234" s="38" t="str">
        <f>ifs($A234=FALSE,"",$A234,VLOOKUP($A234,SCAN!$A:$C,2,0))</f>
        <v/>
      </c>
      <c r="F234" s="39"/>
      <c r="G234" s="38" t="str">
        <f t="shared" si="2"/>
        <v/>
      </c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ht="15.75" customHeight="1">
      <c r="A235" s="40"/>
      <c r="B235" s="36" t="str">
        <f t="shared" si="1"/>
        <v/>
      </c>
      <c r="C235" s="37" t="str">
        <f>ifs($A235=FALSE,"",$A235,VLOOKUP($A235,SCAN!$A:$C,3,0))</f>
        <v/>
      </c>
      <c r="D235" s="36" t="str">
        <f>ifs($A235=FALSE,"",$A235,VLOOKUP($A235,SCAN!$A:$D,4,0))</f>
        <v/>
      </c>
      <c r="E235" s="38" t="str">
        <f>ifs($A235=FALSE,"",$A235,VLOOKUP($A235,SCAN!$A:$C,2,0))</f>
        <v/>
      </c>
      <c r="F235" s="39"/>
      <c r="G235" s="38" t="str">
        <f t="shared" si="2"/>
        <v/>
      </c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ht="15.75" customHeight="1">
      <c r="A236" s="40"/>
      <c r="B236" s="36" t="str">
        <f t="shared" si="1"/>
        <v/>
      </c>
      <c r="C236" s="37" t="str">
        <f>ifs($A236=FALSE,"",$A236,VLOOKUP($A236,SCAN!$A:$C,3,0))</f>
        <v/>
      </c>
      <c r="D236" s="36" t="str">
        <f>ifs($A236=FALSE,"",$A236,VLOOKUP($A236,SCAN!$A:$D,4,0))</f>
        <v/>
      </c>
      <c r="E236" s="38" t="str">
        <f>ifs($A236=FALSE,"",$A236,VLOOKUP($A236,SCAN!$A:$C,2,0))</f>
        <v/>
      </c>
      <c r="F236" s="39"/>
      <c r="G236" s="38" t="str">
        <f t="shared" si="2"/>
        <v/>
      </c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ht="15.75" customHeight="1">
      <c r="A237" s="40"/>
      <c r="B237" s="36" t="str">
        <f t="shared" si="1"/>
        <v/>
      </c>
      <c r="C237" s="37" t="str">
        <f>ifs($A237=FALSE,"",$A237,VLOOKUP($A237,SCAN!$A:$C,3,0))</f>
        <v/>
      </c>
      <c r="D237" s="36" t="str">
        <f>ifs($A237=FALSE,"",$A237,VLOOKUP($A237,SCAN!$A:$D,4,0))</f>
        <v/>
      </c>
      <c r="E237" s="38" t="str">
        <f>ifs($A237=FALSE,"",$A237,VLOOKUP($A237,SCAN!$A:$C,2,0))</f>
        <v/>
      </c>
      <c r="F237" s="39"/>
      <c r="G237" s="38" t="str">
        <f t="shared" si="2"/>
        <v/>
      </c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ht="15.75" customHeight="1">
      <c r="A238" s="40"/>
      <c r="B238" s="36" t="str">
        <f t="shared" si="1"/>
        <v/>
      </c>
      <c r="C238" s="37" t="str">
        <f>ifs($A238=FALSE,"",$A238,VLOOKUP($A238,SCAN!$A:$C,3,0))</f>
        <v/>
      </c>
      <c r="D238" s="36" t="str">
        <f>ifs($A238=FALSE,"",$A238,VLOOKUP($A238,SCAN!$A:$D,4,0))</f>
        <v/>
      </c>
      <c r="E238" s="38" t="str">
        <f>ifs($A238=FALSE,"",$A238,VLOOKUP($A238,SCAN!$A:$C,2,0))</f>
        <v/>
      </c>
      <c r="F238" s="39"/>
      <c r="G238" s="38" t="str">
        <f t="shared" si="2"/>
        <v/>
      </c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ht="15.75" customHeight="1">
      <c r="A239" s="40"/>
      <c r="B239" s="36" t="str">
        <f t="shared" si="1"/>
        <v/>
      </c>
      <c r="C239" s="37" t="str">
        <f>ifs($A239=FALSE,"",$A239,VLOOKUP($A239,SCAN!$A:$C,3,0))</f>
        <v/>
      </c>
      <c r="D239" s="36" t="str">
        <f>ifs($A239=FALSE,"",$A239,VLOOKUP($A239,SCAN!$A:$D,4,0))</f>
        <v/>
      </c>
      <c r="E239" s="38" t="str">
        <f>ifs($A239=FALSE,"",$A239,VLOOKUP($A239,SCAN!$A:$C,2,0))</f>
        <v/>
      </c>
      <c r="F239" s="39"/>
      <c r="G239" s="38" t="str">
        <f t="shared" si="2"/>
        <v/>
      </c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ht="15.75" customHeight="1">
      <c r="A240" s="40"/>
      <c r="B240" s="36" t="str">
        <f t="shared" si="1"/>
        <v/>
      </c>
      <c r="C240" s="37" t="str">
        <f>ifs($A240=FALSE,"",$A240,VLOOKUP($A240,SCAN!$A:$C,3,0))</f>
        <v/>
      </c>
      <c r="D240" s="36" t="str">
        <f>ifs($A240=FALSE,"",$A240,VLOOKUP($A240,SCAN!$A:$D,4,0))</f>
        <v/>
      </c>
      <c r="E240" s="38" t="str">
        <f>ifs($A240=FALSE,"",$A240,VLOOKUP($A240,SCAN!$A:$C,2,0))</f>
        <v/>
      </c>
      <c r="F240" s="39"/>
      <c r="G240" s="38" t="str">
        <f t="shared" si="2"/>
        <v/>
      </c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ht="15.75" customHeight="1">
      <c r="A241" s="40"/>
      <c r="B241" s="36" t="str">
        <f t="shared" si="1"/>
        <v/>
      </c>
      <c r="C241" s="37" t="str">
        <f>ifs($A241=FALSE,"",$A241,VLOOKUP($A241,SCAN!$A:$C,3,0))</f>
        <v/>
      </c>
      <c r="D241" s="36" t="str">
        <f>ifs($A241=FALSE,"",$A241,VLOOKUP($A241,SCAN!$A:$D,4,0))</f>
        <v/>
      </c>
      <c r="E241" s="38" t="str">
        <f>ifs($A241=FALSE,"",$A241,VLOOKUP($A241,SCAN!$A:$C,2,0))</f>
        <v/>
      </c>
      <c r="F241" s="39"/>
      <c r="G241" s="38" t="str">
        <f t="shared" si="2"/>
        <v/>
      </c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ht="15.75" customHeight="1">
      <c r="A242" s="40"/>
      <c r="B242" s="36" t="str">
        <f t="shared" si="1"/>
        <v/>
      </c>
      <c r="C242" s="37" t="str">
        <f>ifs($A242=FALSE,"",$A242,VLOOKUP($A242,SCAN!$A:$C,3,0))</f>
        <v/>
      </c>
      <c r="D242" s="36" t="str">
        <f>ifs($A242=FALSE,"",$A242,VLOOKUP($A242,SCAN!$A:$D,4,0))</f>
        <v/>
      </c>
      <c r="E242" s="38" t="str">
        <f>ifs($A242=FALSE,"",$A242,VLOOKUP($A242,SCAN!$A:$C,2,0))</f>
        <v/>
      </c>
      <c r="F242" s="39"/>
      <c r="G242" s="38" t="str">
        <f t="shared" si="2"/>
        <v/>
      </c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ht="15.75" customHeight="1">
      <c r="A243" s="40"/>
      <c r="B243" s="36" t="str">
        <f t="shared" si="1"/>
        <v/>
      </c>
      <c r="C243" s="37" t="str">
        <f>ifs($A243=FALSE,"",$A243,VLOOKUP($A243,SCAN!$A:$C,3,0))</f>
        <v/>
      </c>
      <c r="D243" s="36" t="str">
        <f>ifs($A243=FALSE,"",$A243,VLOOKUP($A243,SCAN!$A:$D,4,0))</f>
        <v/>
      </c>
      <c r="E243" s="38" t="str">
        <f>ifs($A243=FALSE,"",$A243,VLOOKUP($A243,SCAN!$A:$C,2,0))</f>
        <v/>
      </c>
      <c r="F243" s="39"/>
      <c r="G243" s="38" t="str">
        <f t="shared" si="2"/>
        <v/>
      </c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ht="15.75" customHeight="1">
      <c r="A244" s="40"/>
      <c r="B244" s="36" t="str">
        <f t="shared" si="1"/>
        <v/>
      </c>
      <c r="C244" s="37" t="str">
        <f>ifs($A244=FALSE,"",$A244,VLOOKUP($A244,SCAN!$A:$C,3,0))</f>
        <v/>
      </c>
      <c r="D244" s="36" t="str">
        <f>ifs($A244=FALSE,"",$A244,VLOOKUP($A244,SCAN!$A:$D,4,0))</f>
        <v/>
      </c>
      <c r="E244" s="38" t="str">
        <f>ifs($A244=FALSE,"",$A244,VLOOKUP($A244,SCAN!$A:$C,2,0))</f>
        <v/>
      </c>
      <c r="F244" s="39"/>
      <c r="G244" s="38" t="str">
        <f t="shared" si="2"/>
        <v/>
      </c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ht="15.75" customHeight="1">
      <c r="A245" s="40"/>
      <c r="B245" s="36" t="str">
        <f t="shared" si="1"/>
        <v/>
      </c>
      <c r="C245" s="37" t="str">
        <f>ifs($A245=FALSE,"",$A245,VLOOKUP($A245,SCAN!$A:$C,3,0))</f>
        <v/>
      </c>
      <c r="D245" s="36" t="str">
        <f>ifs($A245=FALSE,"",$A245,VLOOKUP($A245,SCAN!$A:$D,4,0))</f>
        <v/>
      </c>
      <c r="E245" s="38" t="str">
        <f>ifs($A245=FALSE,"",$A245,VLOOKUP($A245,SCAN!$A:$C,2,0))</f>
        <v/>
      </c>
      <c r="F245" s="39"/>
      <c r="G245" s="38" t="str">
        <f t="shared" si="2"/>
        <v/>
      </c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ht="15.75" customHeight="1">
      <c r="A246" s="40"/>
      <c r="B246" s="36" t="str">
        <f t="shared" si="1"/>
        <v/>
      </c>
      <c r="C246" s="37" t="str">
        <f>ifs($A246=FALSE,"",$A246,VLOOKUP($A246,SCAN!$A:$C,3,0))</f>
        <v/>
      </c>
      <c r="D246" s="36" t="str">
        <f>ifs($A246=FALSE,"",$A246,VLOOKUP($A246,SCAN!$A:$D,4,0))</f>
        <v/>
      </c>
      <c r="E246" s="38" t="str">
        <f>ifs($A246=FALSE,"",$A246,VLOOKUP($A246,SCAN!$A:$C,2,0))</f>
        <v/>
      </c>
      <c r="F246" s="39"/>
      <c r="G246" s="38" t="str">
        <f t="shared" si="2"/>
        <v/>
      </c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ht="15.75" customHeight="1">
      <c r="A247" s="40"/>
      <c r="B247" s="36" t="str">
        <f t="shared" si="1"/>
        <v/>
      </c>
      <c r="C247" s="37" t="str">
        <f>ifs($A247=FALSE,"",$A247,VLOOKUP($A247,SCAN!$A:$C,3,0))</f>
        <v/>
      </c>
      <c r="D247" s="36" t="str">
        <f>ifs($A247=FALSE,"",$A247,VLOOKUP($A247,SCAN!$A:$D,4,0))</f>
        <v/>
      </c>
      <c r="E247" s="38" t="str">
        <f>ifs($A247=FALSE,"",$A247,VLOOKUP($A247,SCAN!$A:$C,2,0))</f>
        <v/>
      </c>
      <c r="F247" s="39"/>
      <c r="G247" s="38" t="str">
        <f t="shared" si="2"/>
        <v/>
      </c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ht="15.75" customHeight="1">
      <c r="A248" s="40"/>
      <c r="B248" s="36" t="str">
        <f t="shared" si="1"/>
        <v/>
      </c>
      <c r="C248" s="37" t="str">
        <f>ifs($A248=FALSE,"",$A248,VLOOKUP($A248,SCAN!$A:$C,3,0))</f>
        <v/>
      </c>
      <c r="D248" s="36" t="str">
        <f>ifs($A248=FALSE,"",$A248,VLOOKUP($A248,SCAN!$A:$D,4,0))</f>
        <v/>
      </c>
      <c r="E248" s="38" t="str">
        <f>ifs($A248=FALSE,"",$A248,VLOOKUP($A248,SCAN!$A:$C,2,0))</f>
        <v/>
      </c>
      <c r="F248" s="39"/>
      <c r="G248" s="38" t="str">
        <f t="shared" si="2"/>
        <v/>
      </c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ht="15.75" customHeight="1">
      <c r="A249" s="40"/>
      <c r="B249" s="36" t="str">
        <f t="shared" si="1"/>
        <v/>
      </c>
      <c r="C249" s="37" t="str">
        <f>ifs($A249=FALSE,"",$A249,VLOOKUP($A249,SCAN!$A:$C,3,0))</f>
        <v/>
      </c>
      <c r="D249" s="36" t="str">
        <f>ifs($A249=FALSE,"",$A249,VLOOKUP($A249,SCAN!$A:$D,4,0))</f>
        <v/>
      </c>
      <c r="E249" s="38" t="str">
        <f>ifs($A249=FALSE,"",$A249,VLOOKUP($A249,SCAN!$A:$C,2,0))</f>
        <v/>
      </c>
      <c r="F249" s="39"/>
      <c r="G249" s="38" t="str">
        <f t="shared" si="2"/>
        <v/>
      </c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ht="15.75" customHeight="1">
      <c r="A250" s="40"/>
      <c r="B250" s="36" t="str">
        <f t="shared" si="1"/>
        <v/>
      </c>
      <c r="C250" s="37" t="str">
        <f>ifs($A250=FALSE,"",$A250,VLOOKUP($A250,SCAN!$A:$C,3,0))</f>
        <v/>
      </c>
      <c r="D250" s="36" t="str">
        <f>ifs($A250=FALSE,"",$A250,VLOOKUP($A250,SCAN!$A:$D,4,0))</f>
        <v/>
      </c>
      <c r="E250" s="38" t="str">
        <f>ifs($A250=FALSE,"",$A250,VLOOKUP($A250,SCAN!$A:$C,2,0))</f>
        <v/>
      </c>
      <c r="F250" s="39"/>
      <c r="G250" s="38" t="str">
        <f t="shared" si="2"/>
        <v/>
      </c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ht="15.75" customHeight="1">
      <c r="A251" s="40"/>
      <c r="B251" s="36" t="str">
        <f t="shared" si="1"/>
        <v/>
      </c>
      <c r="C251" s="37" t="str">
        <f>ifs($A251=FALSE,"",$A251,VLOOKUP($A251,SCAN!$A:$C,3,0))</f>
        <v/>
      </c>
      <c r="D251" s="36" t="str">
        <f>ifs($A251=FALSE,"",$A251,VLOOKUP($A251,SCAN!$A:$D,4,0))</f>
        <v/>
      </c>
      <c r="E251" s="38" t="str">
        <f>ifs($A251=FALSE,"",$A251,VLOOKUP($A251,SCAN!$A:$C,2,0))</f>
        <v/>
      </c>
      <c r="F251" s="39"/>
      <c r="G251" s="38" t="str">
        <f t="shared" si="2"/>
        <v/>
      </c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ht="15.75" customHeight="1">
      <c r="A252" s="40"/>
      <c r="B252" s="36" t="str">
        <f t="shared" si="1"/>
        <v/>
      </c>
      <c r="C252" s="37" t="str">
        <f>ifs($A252=FALSE,"",$A252,VLOOKUP($A252,SCAN!$A:$C,3,0))</f>
        <v/>
      </c>
      <c r="D252" s="36" t="str">
        <f>ifs($A252=FALSE,"",$A252,VLOOKUP($A252,SCAN!$A:$D,4,0))</f>
        <v/>
      </c>
      <c r="E252" s="38" t="str">
        <f>ifs($A252=FALSE,"",$A252,VLOOKUP($A252,SCAN!$A:$C,2,0))</f>
        <v/>
      </c>
      <c r="F252" s="39"/>
      <c r="G252" s="38" t="str">
        <f t="shared" si="2"/>
        <v/>
      </c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ht="15.75" customHeight="1">
      <c r="A253" s="40"/>
      <c r="B253" s="36" t="str">
        <f t="shared" si="1"/>
        <v/>
      </c>
      <c r="C253" s="37" t="str">
        <f>ifs($A253=FALSE,"",$A253,VLOOKUP($A253,SCAN!$A:$C,3,0))</f>
        <v/>
      </c>
      <c r="D253" s="36" t="str">
        <f>ifs($A253=FALSE,"",$A253,VLOOKUP($A253,SCAN!$A:$D,4,0))</f>
        <v/>
      </c>
      <c r="E253" s="38" t="str">
        <f>ifs($A253=FALSE,"",$A253,VLOOKUP($A253,SCAN!$A:$C,2,0))</f>
        <v/>
      </c>
      <c r="F253" s="39"/>
      <c r="G253" s="38" t="str">
        <f t="shared" si="2"/>
        <v/>
      </c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ht="15.75" customHeight="1">
      <c r="A254" s="40"/>
      <c r="B254" s="36" t="str">
        <f t="shared" si="1"/>
        <v/>
      </c>
      <c r="C254" s="37" t="str">
        <f>ifs($A254=FALSE,"",$A254,VLOOKUP($A254,SCAN!$A:$C,3,0))</f>
        <v/>
      </c>
      <c r="D254" s="36" t="str">
        <f>ifs($A254=FALSE,"",$A254,VLOOKUP($A254,SCAN!$A:$D,4,0))</f>
        <v/>
      </c>
      <c r="E254" s="38" t="str">
        <f>ifs($A254=FALSE,"",$A254,VLOOKUP($A254,SCAN!$A:$C,2,0))</f>
        <v/>
      </c>
      <c r="F254" s="39"/>
      <c r="G254" s="38" t="str">
        <f t="shared" si="2"/>
        <v/>
      </c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ht="15.75" customHeight="1">
      <c r="A255" s="40"/>
      <c r="B255" s="36" t="str">
        <f t="shared" si="1"/>
        <v/>
      </c>
      <c r="C255" s="37" t="str">
        <f>ifs($A255=FALSE,"",$A255,VLOOKUP($A255,SCAN!$A:$C,3,0))</f>
        <v/>
      </c>
      <c r="D255" s="36" t="str">
        <f>ifs($A255=FALSE,"",$A255,VLOOKUP($A255,SCAN!$A:$D,4,0))</f>
        <v/>
      </c>
      <c r="E255" s="38" t="str">
        <f>ifs($A255=FALSE,"",$A255,VLOOKUP($A255,SCAN!$A:$C,2,0))</f>
        <v/>
      </c>
      <c r="F255" s="39"/>
      <c r="G255" s="38" t="str">
        <f t="shared" si="2"/>
        <v/>
      </c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ht="15.75" customHeight="1">
      <c r="A256" s="40"/>
      <c r="B256" s="36" t="str">
        <f t="shared" si="1"/>
        <v/>
      </c>
      <c r="C256" s="37" t="str">
        <f>ifs($A256=FALSE,"",$A256,VLOOKUP($A256,SCAN!$A:$C,3,0))</f>
        <v/>
      </c>
      <c r="D256" s="36" t="str">
        <f>ifs($A256=FALSE,"",$A256,VLOOKUP($A256,SCAN!$A:$D,4,0))</f>
        <v/>
      </c>
      <c r="E256" s="38" t="str">
        <f>ifs($A256=FALSE,"",$A256,VLOOKUP($A256,SCAN!$A:$C,2,0))</f>
        <v/>
      </c>
      <c r="F256" s="39"/>
      <c r="G256" s="38" t="str">
        <f t="shared" si="2"/>
        <v/>
      </c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ht="15.75" customHeight="1">
      <c r="A257" s="40"/>
      <c r="B257" s="36" t="str">
        <f t="shared" si="1"/>
        <v/>
      </c>
      <c r="C257" s="37" t="str">
        <f>ifs($A257=FALSE,"",$A257,VLOOKUP($A257,SCAN!$A:$C,3,0))</f>
        <v/>
      </c>
      <c r="D257" s="36" t="str">
        <f>ifs($A257=FALSE,"",$A257,VLOOKUP($A257,SCAN!$A:$D,4,0))</f>
        <v/>
      </c>
      <c r="E257" s="38" t="str">
        <f>ifs($A257=FALSE,"",$A257,VLOOKUP($A257,SCAN!$A:$C,2,0))</f>
        <v/>
      </c>
      <c r="F257" s="39"/>
      <c r="G257" s="38" t="str">
        <f t="shared" si="2"/>
        <v/>
      </c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ht="15.75" customHeight="1">
      <c r="A258" s="40"/>
      <c r="B258" s="36" t="str">
        <f t="shared" si="1"/>
        <v/>
      </c>
      <c r="C258" s="37" t="str">
        <f>ifs($A258=FALSE,"",$A258,VLOOKUP($A258,SCAN!$A:$C,3,0))</f>
        <v/>
      </c>
      <c r="D258" s="36" t="str">
        <f>ifs($A258=FALSE,"",$A258,VLOOKUP($A258,SCAN!$A:$D,4,0))</f>
        <v/>
      </c>
      <c r="E258" s="38" t="str">
        <f>ifs($A258=FALSE,"",$A258,VLOOKUP($A258,SCAN!$A:$C,2,0))</f>
        <v/>
      </c>
      <c r="F258" s="39"/>
      <c r="G258" s="38" t="str">
        <f t="shared" si="2"/>
        <v/>
      </c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ht="15.75" customHeight="1">
      <c r="A259" s="40"/>
      <c r="B259" s="36" t="str">
        <f t="shared" si="1"/>
        <v/>
      </c>
      <c r="C259" s="37" t="str">
        <f>ifs($A259=FALSE,"",$A259,VLOOKUP($A259,SCAN!$A:$C,3,0))</f>
        <v/>
      </c>
      <c r="D259" s="36" t="str">
        <f>ifs($A259=FALSE,"",$A259,VLOOKUP($A259,SCAN!$A:$D,4,0))</f>
        <v/>
      </c>
      <c r="E259" s="38" t="str">
        <f>ifs($A259=FALSE,"",$A259,VLOOKUP($A259,SCAN!$A:$C,2,0))</f>
        <v/>
      </c>
      <c r="F259" s="39"/>
      <c r="G259" s="38" t="str">
        <f t="shared" si="2"/>
        <v/>
      </c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ht="15.75" customHeight="1">
      <c r="A260" s="40"/>
      <c r="B260" s="36" t="str">
        <f t="shared" si="1"/>
        <v/>
      </c>
      <c r="C260" s="37" t="str">
        <f>ifs($A260=FALSE,"",$A260,VLOOKUP($A260,SCAN!$A:$C,3,0))</f>
        <v/>
      </c>
      <c r="D260" s="36" t="str">
        <f>ifs($A260=FALSE,"",$A260,VLOOKUP($A260,SCAN!$A:$D,4,0))</f>
        <v/>
      </c>
      <c r="E260" s="38" t="str">
        <f>ifs($A260=FALSE,"",$A260,VLOOKUP($A260,SCAN!$A:$C,2,0))</f>
        <v/>
      </c>
      <c r="F260" s="39"/>
      <c r="G260" s="38" t="str">
        <f t="shared" si="2"/>
        <v/>
      </c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ht="15.75" customHeight="1">
      <c r="A261" s="40"/>
      <c r="B261" s="36" t="str">
        <f t="shared" si="1"/>
        <v/>
      </c>
      <c r="C261" s="37" t="str">
        <f>ifs($A261=FALSE,"",$A261,VLOOKUP($A261,SCAN!$A:$C,3,0))</f>
        <v/>
      </c>
      <c r="D261" s="36" t="str">
        <f>ifs($A261=FALSE,"",$A261,VLOOKUP($A261,SCAN!$A:$D,4,0))</f>
        <v/>
      </c>
      <c r="E261" s="38" t="str">
        <f>ifs($A261=FALSE,"",$A261,VLOOKUP($A261,SCAN!$A:$C,2,0))</f>
        <v/>
      </c>
      <c r="F261" s="39"/>
      <c r="G261" s="38" t="str">
        <f t="shared" si="2"/>
        <v/>
      </c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ht="15.75" customHeight="1">
      <c r="A262" s="40"/>
      <c r="B262" s="36" t="str">
        <f t="shared" si="1"/>
        <v/>
      </c>
      <c r="C262" s="37" t="str">
        <f>ifs($A262=FALSE,"",$A262,VLOOKUP($A262,SCAN!$A:$C,3,0))</f>
        <v/>
      </c>
      <c r="D262" s="36" t="str">
        <f>ifs($A262=FALSE,"",$A262,VLOOKUP($A262,SCAN!$A:$D,4,0))</f>
        <v/>
      </c>
      <c r="E262" s="38" t="str">
        <f>ifs($A262=FALSE,"",$A262,VLOOKUP($A262,SCAN!$A:$C,2,0))</f>
        <v/>
      </c>
      <c r="F262" s="39"/>
      <c r="G262" s="38" t="str">
        <f t="shared" si="2"/>
        <v/>
      </c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ht="15.75" customHeight="1">
      <c r="A263" s="40"/>
      <c r="B263" s="36" t="str">
        <f t="shared" si="1"/>
        <v/>
      </c>
      <c r="C263" s="37" t="str">
        <f>ifs($A263=FALSE,"",$A263,VLOOKUP($A263,SCAN!$A:$C,3,0))</f>
        <v/>
      </c>
      <c r="D263" s="36" t="str">
        <f>ifs($A263=FALSE,"",$A263,VLOOKUP($A263,SCAN!$A:$D,4,0))</f>
        <v/>
      </c>
      <c r="E263" s="38" t="str">
        <f>ifs($A263=FALSE,"",$A263,VLOOKUP($A263,SCAN!$A:$C,2,0))</f>
        <v/>
      </c>
      <c r="F263" s="39"/>
      <c r="G263" s="38" t="str">
        <f t="shared" si="2"/>
        <v/>
      </c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ht="15.75" customHeight="1">
      <c r="A264" s="40"/>
      <c r="B264" s="36" t="str">
        <f t="shared" si="1"/>
        <v/>
      </c>
      <c r="C264" s="37" t="str">
        <f>ifs($A264=FALSE,"",$A264,VLOOKUP($A264,SCAN!$A:$C,3,0))</f>
        <v/>
      </c>
      <c r="D264" s="36" t="str">
        <f>ifs($A264=FALSE,"",$A264,VLOOKUP($A264,SCAN!$A:$D,4,0))</f>
        <v/>
      </c>
      <c r="E264" s="38" t="str">
        <f>ifs($A264=FALSE,"",$A264,VLOOKUP($A264,SCAN!$A:$C,2,0))</f>
        <v/>
      </c>
      <c r="F264" s="39"/>
      <c r="G264" s="38" t="str">
        <f t="shared" si="2"/>
        <v/>
      </c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ht="15.75" customHeight="1">
      <c r="A265" s="40"/>
      <c r="B265" s="36" t="str">
        <f t="shared" si="1"/>
        <v/>
      </c>
      <c r="C265" s="37" t="str">
        <f>ifs($A265=FALSE,"",$A265,VLOOKUP($A265,SCAN!$A:$C,3,0))</f>
        <v/>
      </c>
      <c r="D265" s="36" t="str">
        <f>ifs($A265=FALSE,"",$A265,VLOOKUP($A265,SCAN!$A:$D,4,0))</f>
        <v/>
      </c>
      <c r="E265" s="38" t="str">
        <f>ifs($A265=FALSE,"",$A265,VLOOKUP($A265,SCAN!$A:$C,2,0))</f>
        <v/>
      </c>
      <c r="F265" s="39"/>
      <c r="G265" s="38" t="str">
        <f t="shared" si="2"/>
        <v/>
      </c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ht="15.75" customHeight="1">
      <c r="A266" s="40"/>
      <c r="B266" s="36" t="str">
        <f t="shared" si="1"/>
        <v/>
      </c>
      <c r="C266" s="37" t="str">
        <f>ifs($A266=FALSE,"",$A266,VLOOKUP($A266,SCAN!$A:$C,3,0))</f>
        <v/>
      </c>
      <c r="D266" s="36" t="str">
        <f>ifs($A266=FALSE,"",$A266,VLOOKUP($A266,SCAN!$A:$D,4,0))</f>
        <v/>
      </c>
      <c r="E266" s="38" t="str">
        <f>ifs($A266=FALSE,"",$A266,VLOOKUP($A266,SCAN!$A:$C,2,0))</f>
        <v/>
      </c>
      <c r="F266" s="39"/>
      <c r="G266" s="38" t="str">
        <f t="shared" si="2"/>
        <v/>
      </c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ht="15.75" customHeight="1">
      <c r="A267" s="40"/>
      <c r="B267" s="36" t="str">
        <f t="shared" si="1"/>
        <v/>
      </c>
      <c r="C267" s="37" t="str">
        <f>ifs($A267=FALSE,"",$A267,VLOOKUP($A267,SCAN!$A:$C,3,0))</f>
        <v/>
      </c>
      <c r="D267" s="36" t="str">
        <f>ifs($A267=FALSE,"",$A267,VLOOKUP($A267,SCAN!$A:$D,4,0))</f>
        <v/>
      </c>
      <c r="E267" s="38" t="str">
        <f>ifs($A267=FALSE,"",$A267,VLOOKUP($A267,SCAN!$A:$C,2,0))</f>
        <v/>
      </c>
      <c r="F267" s="39"/>
      <c r="G267" s="38" t="str">
        <f t="shared" si="2"/>
        <v/>
      </c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ht="15.75" customHeight="1">
      <c r="A268" s="40"/>
      <c r="B268" s="36" t="str">
        <f t="shared" si="1"/>
        <v/>
      </c>
      <c r="C268" s="37" t="str">
        <f>ifs($A268=FALSE,"",$A268,VLOOKUP($A268,SCAN!$A:$C,3,0))</f>
        <v/>
      </c>
      <c r="D268" s="36" t="str">
        <f>ifs($A268=FALSE,"",$A268,VLOOKUP($A268,SCAN!$A:$D,4,0))</f>
        <v/>
      </c>
      <c r="E268" s="38" t="str">
        <f>ifs($A268=FALSE,"",$A268,VLOOKUP($A268,SCAN!$A:$C,2,0))</f>
        <v/>
      </c>
      <c r="F268" s="39"/>
      <c r="G268" s="38" t="str">
        <f t="shared" si="2"/>
        <v/>
      </c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ht="15.75" customHeight="1">
      <c r="A269" s="40"/>
      <c r="B269" s="36" t="str">
        <f t="shared" si="1"/>
        <v/>
      </c>
      <c r="C269" s="37" t="str">
        <f>ifs($A269=FALSE,"",$A269,VLOOKUP($A269,SCAN!$A:$C,3,0))</f>
        <v/>
      </c>
      <c r="D269" s="36" t="str">
        <f>ifs($A269=FALSE,"",$A269,VLOOKUP($A269,SCAN!$A:$D,4,0))</f>
        <v/>
      </c>
      <c r="E269" s="38" t="str">
        <f>ifs($A269=FALSE,"",$A269,VLOOKUP($A269,SCAN!$A:$C,2,0))</f>
        <v/>
      </c>
      <c r="F269" s="39"/>
      <c r="G269" s="38" t="str">
        <f t="shared" si="2"/>
        <v/>
      </c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ht="15.75" customHeight="1">
      <c r="A270" s="40"/>
      <c r="B270" s="36" t="str">
        <f t="shared" si="1"/>
        <v/>
      </c>
      <c r="C270" s="37" t="str">
        <f>ifs($A270=FALSE,"",$A270,VLOOKUP($A270,SCAN!$A:$C,3,0))</f>
        <v/>
      </c>
      <c r="D270" s="36" t="str">
        <f>ifs($A270=FALSE,"",$A270,VLOOKUP($A270,SCAN!$A:$D,4,0))</f>
        <v/>
      </c>
      <c r="E270" s="38" t="str">
        <f>ifs($A270=FALSE,"",$A270,VLOOKUP($A270,SCAN!$A:$C,2,0))</f>
        <v/>
      </c>
      <c r="F270" s="39"/>
      <c r="G270" s="38" t="str">
        <f t="shared" si="2"/>
        <v/>
      </c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ht="15.75" customHeight="1">
      <c r="A271" s="40"/>
      <c r="B271" s="36" t="str">
        <f t="shared" si="1"/>
        <v/>
      </c>
      <c r="C271" s="37" t="str">
        <f>ifs($A271=FALSE,"",$A271,VLOOKUP($A271,SCAN!$A:$C,3,0))</f>
        <v/>
      </c>
      <c r="D271" s="36" t="str">
        <f>ifs($A271=FALSE,"",$A271,VLOOKUP($A271,SCAN!$A:$D,4,0))</f>
        <v/>
      </c>
      <c r="E271" s="38" t="str">
        <f>ifs($A271=FALSE,"",$A271,VLOOKUP($A271,SCAN!$A:$C,2,0))</f>
        <v/>
      </c>
      <c r="F271" s="39"/>
      <c r="G271" s="38" t="str">
        <f t="shared" si="2"/>
        <v/>
      </c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ht="15.75" customHeight="1">
      <c r="A272" s="40"/>
      <c r="B272" s="36" t="str">
        <f t="shared" si="1"/>
        <v/>
      </c>
      <c r="C272" s="37" t="str">
        <f>ifs($A272=FALSE,"",$A272,VLOOKUP($A272,SCAN!$A:$C,3,0))</f>
        <v/>
      </c>
      <c r="D272" s="36" t="str">
        <f>ifs($A272=FALSE,"",$A272,VLOOKUP($A272,SCAN!$A:$D,4,0))</f>
        <v/>
      </c>
      <c r="E272" s="38" t="str">
        <f>ifs($A272=FALSE,"",$A272,VLOOKUP($A272,SCAN!$A:$C,2,0))</f>
        <v/>
      </c>
      <c r="F272" s="39"/>
      <c r="G272" s="38" t="str">
        <f t="shared" si="2"/>
        <v/>
      </c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ht="15.75" customHeight="1">
      <c r="A273" s="40"/>
      <c r="B273" s="36" t="str">
        <f t="shared" si="1"/>
        <v/>
      </c>
      <c r="C273" s="37" t="str">
        <f>ifs($A273=FALSE,"",$A273,VLOOKUP($A273,SCAN!$A:$C,3,0))</f>
        <v/>
      </c>
      <c r="D273" s="36" t="str">
        <f>ifs($A273=FALSE,"",$A273,VLOOKUP($A273,SCAN!$A:$D,4,0))</f>
        <v/>
      </c>
      <c r="E273" s="38" t="str">
        <f>ifs($A273=FALSE,"",$A273,VLOOKUP($A273,SCAN!$A:$C,2,0))</f>
        <v/>
      </c>
      <c r="F273" s="39"/>
      <c r="G273" s="38" t="str">
        <f t="shared" si="2"/>
        <v/>
      </c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ht="15.75" customHeight="1">
      <c r="A274" s="40"/>
      <c r="B274" s="36" t="str">
        <f t="shared" si="1"/>
        <v/>
      </c>
      <c r="C274" s="37" t="str">
        <f>ifs($A274=FALSE,"",$A274,VLOOKUP($A274,SCAN!$A:$C,3,0))</f>
        <v/>
      </c>
      <c r="D274" s="36" t="str">
        <f>ifs($A274=FALSE,"",$A274,VLOOKUP($A274,SCAN!$A:$D,4,0))</f>
        <v/>
      </c>
      <c r="E274" s="38" t="str">
        <f>ifs($A274=FALSE,"",$A274,VLOOKUP($A274,SCAN!$A:$C,2,0))</f>
        <v/>
      </c>
      <c r="F274" s="39"/>
      <c r="G274" s="38" t="str">
        <f t="shared" si="2"/>
        <v/>
      </c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ht="15.75" customHeight="1">
      <c r="A275" s="40"/>
      <c r="B275" s="36" t="str">
        <f t="shared" si="1"/>
        <v/>
      </c>
      <c r="C275" s="37" t="str">
        <f>ifs($A275=FALSE,"",$A275,VLOOKUP($A275,SCAN!$A:$C,3,0))</f>
        <v/>
      </c>
      <c r="D275" s="36" t="str">
        <f>ifs($A275=FALSE,"",$A275,VLOOKUP($A275,SCAN!$A:$D,4,0))</f>
        <v/>
      </c>
      <c r="E275" s="38" t="str">
        <f>ifs($A275=FALSE,"",$A275,VLOOKUP($A275,SCAN!$A:$C,2,0))</f>
        <v/>
      </c>
      <c r="F275" s="39"/>
      <c r="G275" s="38" t="str">
        <f t="shared" si="2"/>
        <v/>
      </c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ht="15.75" customHeight="1">
      <c r="A276" s="40"/>
      <c r="B276" s="36" t="str">
        <f t="shared" si="1"/>
        <v/>
      </c>
      <c r="C276" s="37" t="str">
        <f>ifs($A276=FALSE,"",$A276,VLOOKUP($A276,SCAN!$A:$C,3,0))</f>
        <v/>
      </c>
      <c r="D276" s="36" t="str">
        <f>ifs($A276=FALSE,"",$A276,VLOOKUP($A276,SCAN!$A:$D,4,0))</f>
        <v/>
      </c>
      <c r="E276" s="38" t="str">
        <f>ifs($A276=FALSE,"",$A276,VLOOKUP($A276,SCAN!$A:$C,2,0))</f>
        <v/>
      </c>
      <c r="F276" s="39"/>
      <c r="G276" s="38" t="str">
        <f t="shared" si="2"/>
        <v/>
      </c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ht="15.75" customHeight="1">
      <c r="A277" s="40"/>
      <c r="B277" s="36" t="str">
        <f t="shared" si="1"/>
        <v/>
      </c>
      <c r="C277" s="37" t="str">
        <f>ifs($A277=FALSE,"",$A277,VLOOKUP($A277,SCAN!$A:$C,3,0))</f>
        <v/>
      </c>
      <c r="D277" s="36" t="str">
        <f>ifs($A277=FALSE,"",$A277,VLOOKUP($A277,SCAN!$A:$D,4,0))</f>
        <v/>
      </c>
      <c r="E277" s="38" t="str">
        <f>ifs($A277=FALSE,"",$A277,VLOOKUP($A277,SCAN!$A:$C,2,0))</f>
        <v/>
      </c>
      <c r="F277" s="39"/>
      <c r="G277" s="38" t="str">
        <f t="shared" si="2"/>
        <v/>
      </c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ht="15.75" customHeight="1">
      <c r="A278" s="40"/>
      <c r="B278" s="36" t="str">
        <f t="shared" si="1"/>
        <v/>
      </c>
      <c r="C278" s="37" t="str">
        <f>ifs($A278=FALSE,"",$A278,VLOOKUP($A278,SCAN!$A:$C,3,0))</f>
        <v/>
      </c>
      <c r="D278" s="36" t="str">
        <f>ifs($A278=FALSE,"",$A278,VLOOKUP($A278,SCAN!$A:$D,4,0))</f>
        <v/>
      </c>
      <c r="E278" s="38" t="str">
        <f>ifs($A278=FALSE,"",$A278,VLOOKUP($A278,SCAN!$A:$C,2,0))</f>
        <v/>
      </c>
      <c r="F278" s="39"/>
      <c r="G278" s="38" t="str">
        <f t="shared" si="2"/>
        <v/>
      </c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ht="15.75" customHeight="1">
      <c r="A279" s="40"/>
      <c r="B279" s="36" t="str">
        <f t="shared" si="1"/>
        <v/>
      </c>
      <c r="C279" s="37" t="str">
        <f>ifs($A279=FALSE,"",$A279,VLOOKUP($A279,SCAN!$A:$C,3,0))</f>
        <v/>
      </c>
      <c r="D279" s="36" t="str">
        <f>ifs($A279=FALSE,"",$A279,VLOOKUP($A279,SCAN!$A:$D,4,0))</f>
        <v/>
      </c>
      <c r="E279" s="38" t="str">
        <f>ifs($A279=FALSE,"",$A279,VLOOKUP($A279,SCAN!$A:$C,2,0))</f>
        <v/>
      </c>
      <c r="F279" s="39"/>
      <c r="G279" s="38" t="str">
        <f t="shared" si="2"/>
        <v/>
      </c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ht="15.75" customHeight="1">
      <c r="A280" s="40"/>
      <c r="B280" s="36" t="str">
        <f t="shared" si="1"/>
        <v/>
      </c>
      <c r="C280" s="37" t="str">
        <f>ifs($A280=FALSE,"",$A280,VLOOKUP($A280,SCAN!$A:$C,3,0))</f>
        <v/>
      </c>
      <c r="D280" s="36" t="str">
        <f>ifs($A280=FALSE,"",$A280,VLOOKUP($A280,SCAN!$A:$D,4,0))</f>
        <v/>
      </c>
      <c r="E280" s="38" t="str">
        <f>ifs($A280=FALSE,"",$A280,VLOOKUP($A280,SCAN!$A:$C,2,0))</f>
        <v/>
      </c>
      <c r="F280" s="39"/>
      <c r="G280" s="38" t="str">
        <f t="shared" si="2"/>
        <v/>
      </c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ht="15.75" customHeight="1">
      <c r="A281" s="40"/>
      <c r="B281" s="36" t="str">
        <f t="shared" si="1"/>
        <v/>
      </c>
      <c r="C281" s="37" t="str">
        <f>ifs($A281=FALSE,"",$A281,VLOOKUP($A281,SCAN!$A:$C,3,0))</f>
        <v/>
      </c>
      <c r="D281" s="36" t="str">
        <f>ifs($A281=FALSE,"",$A281,VLOOKUP($A281,SCAN!$A:$D,4,0))</f>
        <v/>
      </c>
      <c r="E281" s="38" t="str">
        <f>ifs($A281=FALSE,"",$A281,VLOOKUP($A281,SCAN!$A:$C,2,0))</f>
        <v/>
      </c>
      <c r="F281" s="39"/>
      <c r="G281" s="38" t="str">
        <f t="shared" si="2"/>
        <v/>
      </c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ht="15.75" customHeight="1">
      <c r="A282" s="40"/>
      <c r="B282" s="36" t="str">
        <f t="shared" si="1"/>
        <v/>
      </c>
      <c r="C282" s="37" t="str">
        <f>ifs($A282=FALSE,"",$A282,VLOOKUP($A282,SCAN!$A:$C,3,0))</f>
        <v/>
      </c>
      <c r="D282" s="36" t="str">
        <f>ifs($A282=FALSE,"",$A282,VLOOKUP($A282,SCAN!$A:$D,4,0))</f>
        <v/>
      </c>
      <c r="E282" s="38" t="str">
        <f>ifs($A282=FALSE,"",$A282,VLOOKUP($A282,SCAN!$A:$C,2,0))</f>
        <v/>
      </c>
      <c r="F282" s="39"/>
      <c r="G282" s="38" t="str">
        <f t="shared" si="2"/>
        <v/>
      </c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ht="15.75" customHeight="1">
      <c r="A283" s="40"/>
      <c r="B283" s="36" t="str">
        <f t="shared" si="1"/>
        <v/>
      </c>
      <c r="C283" s="37" t="str">
        <f>ifs($A283=FALSE,"",$A283,VLOOKUP($A283,SCAN!$A:$C,3,0))</f>
        <v/>
      </c>
      <c r="D283" s="36" t="str">
        <f>ifs($A283=FALSE,"",$A283,VLOOKUP($A283,SCAN!$A:$D,4,0))</f>
        <v/>
      </c>
      <c r="E283" s="38" t="str">
        <f>ifs($A283=FALSE,"",$A283,VLOOKUP($A283,SCAN!$A:$C,2,0))</f>
        <v/>
      </c>
      <c r="F283" s="39"/>
      <c r="G283" s="38" t="str">
        <f t="shared" si="2"/>
        <v/>
      </c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ht="15.75" customHeight="1">
      <c r="A284" s="40"/>
      <c r="B284" s="36" t="str">
        <f t="shared" si="1"/>
        <v/>
      </c>
      <c r="C284" s="37" t="str">
        <f>ifs($A284=FALSE,"",$A284,VLOOKUP($A284,SCAN!$A:$C,3,0))</f>
        <v/>
      </c>
      <c r="D284" s="36" t="str">
        <f>ifs($A284=FALSE,"",$A284,VLOOKUP($A284,SCAN!$A:$D,4,0))</f>
        <v/>
      </c>
      <c r="E284" s="38" t="str">
        <f>ifs($A284=FALSE,"",$A284,VLOOKUP($A284,SCAN!$A:$C,2,0))</f>
        <v/>
      </c>
      <c r="F284" s="39"/>
      <c r="G284" s="38" t="str">
        <f t="shared" si="2"/>
        <v/>
      </c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ht="15.75" customHeight="1">
      <c r="A285" s="40"/>
      <c r="B285" s="36" t="str">
        <f t="shared" si="1"/>
        <v/>
      </c>
      <c r="C285" s="37" t="str">
        <f>ifs($A285=FALSE,"",$A285,VLOOKUP($A285,SCAN!$A:$C,3,0))</f>
        <v/>
      </c>
      <c r="D285" s="36" t="str">
        <f>ifs($A285=FALSE,"",$A285,VLOOKUP($A285,SCAN!$A:$D,4,0))</f>
        <v/>
      </c>
      <c r="E285" s="38" t="str">
        <f>ifs($A285=FALSE,"",$A285,VLOOKUP($A285,SCAN!$A:$C,2,0))</f>
        <v/>
      </c>
      <c r="F285" s="39"/>
      <c r="G285" s="38" t="str">
        <f t="shared" si="2"/>
        <v/>
      </c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ht="15.75" customHeight="1">
      <c r="A286" s="40"/>
      <c r="B286" s="36" t="str">
        <f t="shared" si="1"/>
        <v/>
      </c>
      <c r="C286" s="37" t="str">
        <f>ifs($A286=FALSE,"",$A286,VLOOKUP($A286,SCAN!$A:$C,3,0))</f>
        <v/>
      </c>
      <c r="D286" s="36" t="str">
        <f>ifs($A286=FALSE,"",$A286,VLOOKUP($A286,SCAN!$A:$D,4,0))</f>
        <v/>
      </c>
      <c r="E286" s="38" t="str">
        <f>ifs($A286=FALSE,"",$A286,VLOOKUP($A286,SCAN!$A:$C,2,0))</f>
        <v/>
      </c>
      <c r="F286" s="39"/>
      <c r="G286" s="38" t="str">
        <f t="shared" si="2"/>
        <v/>
      </c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ht="15.75" customHeight="1">
      <c r="A287" s="40"/>
      <c r="B287" s="36" t="str">
        <f t="shared" si="1"/>
        <v/>
      </c>
      <c r="C287" s="37" t="str">
        <f>ifs($A287=FALSE,"",$A287,VLOOKUP($A287,SCAN!$A:$C,3,0))</f>
        <v/>
      </c>
      <c r="D287" s="36" t="str">
        <f>ifs($A287=FALSE,"",$A287,VLOOKUP($A287,SCAN!$A:$D,4,0))</f>
        <v/>
      </c>
      <c r="E287" s="38" t="str">
        <f>ifs($A287=FALSE,"",$A287,VLOOKUP($A287,SCAN!$A:$C,2,0))</f>
        <v/>
      </c>
      <c r="F287" s="39"/>
      <c r="G287" s="38" t="str">
        <f t="shared" si="2"/>
        <v/>
      </c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ht="15.75" customHeight="1">
      <c r="A288" s="40"/>
      <c r="B288" s="36" t="str">
        <f t="shared" si="1"/>
        <v/>
      </c>
      <c r="C288" s="37" t="str">
        <f>ifs($A288=FALSE,"",$A288,VLOOKUP($A288,SCAN!$A:$C,3,0))</f>
        <v/>
      </c>
      <c r="D288" s="36" t="str">
        <f>ifs($A288=FALSE,"",$A288,VLOOKUP($A288,SCAN!$A:$D,4,0))</f>
        <v/>
      </c>
      <c r="E288" s="38" t="str">
        <f>ifs($A288=FALSE,"",$A288,VLOOKUP($A288,SCAN!$A:$C,2,0))</f>
        <v/>
      </c>
      <c r="F288" s="39"/>
      <c r="G288" s="38" t="str">
        <f t="shared" si="2"/>
        <v/>
      </c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ht="15.75" customHeight="1">
      <c r="A289" s="40"/>
      <c r="B289" s="36" t="str">
        <f t="shared" si="1"/>
        <v/>
      </c>
      <c r="C289" s="37" t="str">
        <f>ifs($A289=FALSE,"",$A289,VLOOKUP($A289,SCAN!$A:$C,3,0))</f>
        <v/>
      </c>
      <c r="D289" s="36" t="str">
        <f>ifs($A289=FALSE,"",$A289,VLOOKUP($A289,SCAN!$A:$D,4,0))</f>
        <v/>
      </c>
      <c r="E289" s="38" t="str">
        <f>ifs($A289=FALSE,"",$A289,VLOOKUP($A289,SCAN!$A:$C,2,0))</f>
        <v/>
      </c>
      <c r="F289" s="39"/>
      <c r="G289" s="38" t="str">
        <f t="shared" si="2"/>
        <v/>
      </c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ht="15.75" customHeight="1">
      <c r="A290" s="40"/>
      <c r="B290" s="36" t="str">
        <f t="shared" si="1"/>
        <v/>
      </c>
      <c r="C290" s="37" t="str">
        <f>ifs($A290=FALSE,"",$A290,VLOOKUP($A290,SCAN!$A:$C,3,0))</f>
        <v/>
      </c>
      <c r="D290" s="36" t="str">
        <f>ifs($A290=FALSE,"",$A290,VLOOKUP($A290,SCAN!$A:$D,4,0))</f>
        <v/>
      </c>
      <c r="E290" s="38" t="str">
        <f>ifs($A290=FALSE,"",$A290,VLOOKUP($A290,SCAN!$A:$C,2,0))</f>
        <v/>
      </c>
      <c r="F290" s="39"/>
      <c r="G290" s="38" t="str">
        <f t="shared" si="2"/>
        <v/>
      </c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ht="15.75" customHeight="1">
      <c r="A291" s="40"/>
      <c r="B291" s="36" t="str">
        <f t="shared" si="1"/>
        <v/>
      </c>
      <c r="C291" s="37" t="str">
        <f>ifs($A291=FALSE,"",$A291,VLOOKUP($A291,SCAN!$A:$C,3,0))</f>
        <v/>
      </c>
      <c r="D291" s="36" t="str">
        <f>ifs($A291=FALSE,"",$A291,VLOOKUP($A291,SCAN!$A:$D,4,0))</f>
        <v/>
      </c>
      <c r="E291" s="38" t="str">
        <f>ifs($A291=FALSE,"",$A291,VLOOKUP($A291,SCAN!$A:$C,2,0))</f>
        <v/>
      </c>
      <c r="F291" s="39"/>
      <c r="G291" s="38" t="str">
        <f t="shared" si="2"/>
        <v/>
      </c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ht="15.75" customHeight="1">
      <c r="A292" s="40"/>
      <c r="B292" s="36" t="str">
        <f t="shared" si="1"/>
        <v/>
      </c>
      <c r="C292" s="37" t="str">
        <f>ifs($A292=FALSE,"",$A292,VLOOKUP($A292,SCAN!$A:$C,3,0))</f>
        <v/>
      </c>
      <c r="D292" s="36" t="str">
        <f>ifs($A292=FALSE,"",$A292,VLOOKUP($A292,SCAN!$A:$D,4,0))</f>
        <v/>
      </c>
      <c r="E292" s="38" t="str">
        <f>ifs($A292=FALSE,"",$A292,VLOOKUP($A292,SCAN!$A:$C,2,0))</f>
        <v/>
      </c>
      <c r="F292" s="39"/>
      <c r="G292" s="38" t="str">
        <f t="shared" si="2"/>
        <v/>
      </c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ht="15.75" customHeight="1">
      <c r="A293" s="40"/>
      <c r="B293" s="36" t="str">
        <f t="shared" si="1"/>
        <v/>
      </c>
      <c r="C293" s="37" t="str">
        <f>ifs($A293=FALSE,"",$A293,VLOOKUP($A293,SCAN!$A:$C,3,0))</f>
        <v/>
      </c>
      <c r="D293" s="36" t="str">
        <f>ifs($A293=FALSE,"",$A293,VLOOKUP($A293,SCAN!$A:$D,4,0))</f>
        <v/>
      </c>
      <c r="E293" s="38" t="str">
        <f>ifs($A293=FALSE,"",$A293,VLOOKUP($A293,SCAN!$A:$C,2,0))</f>
        <v/>
      </c>
      <c r="F293" s="39"/>
      <c r="G293" s="38" t="str">
        <f t="shared" si="2"/>
        <v/>
      </c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ht="15.75" customHeight="1">
      <c r="A294" s="40"/>
      <c r="B294" s="36" t="str">
        <f t="shared" si="1"/>
        <v/>
      </c>
      <c r="C294" s="37" t="str">
        <f>ifs($A294=FALSE,"",$A294,VLOOKUP($A294,SCAN!$A:$C,3,0))</f>
        <v/>
      </c>
      <c r="D294" s="36" t="str">
        <f>ifs($A294=FALSE,"",$A294,VLOOKUP($A294,SCAN!$A:$D,4,0))</f>
        <v/>
      </c>
      <c r="E294" s="38" t="str">
        <f>ifs($A294=FALSE,"",$A294,VLOOKUP($A294,SCAN!$A:$C,2,0))</f>
        <v/>
      </c>
      <c r="F294" s="39"/>
      <c r="G294" s="38" t="str">
        <f t="shared" si="2"/>
        <v/>
      </c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ht="15.75" customHeight="1">
      <c r="A295" s="40"/>
      <c r="B295" s="36" t="str">
        <f t="shared" si="1"/>
        <v/>
      </c>
      <c r="C295" s="37" t="str">
        <f>ifs($A295=FALSE,"",$A295,VLOOKUP($A295,SCAN!$A:$C,3,0))</f>
        <v/>
      </c>
      <c r="D295" s="36" t="str">
        <f>ifs($A295=FALSE,"",$A295,VLOOKUP($A295,SCAN!$A:$D,4,0))</f>
        <v/>
      </c>
      <c r="E295" s="38" t="str">
        <f>ifs($A295=FALSE,"",$A295,VLOOKUP($A295,SCAN!$A:$C,2,0))</f>
        <v/>
      </c>
      <c r="F295" s="39"/>
      <c r="G295" s="38" t="str">
        <f t="shared" si="2"/>
        <v/>
      </c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ht="15.75" customHeight="1">
      <c r="A296" s="40"/>
      <c r="B296" s="36" t="str">
        <f t="shared" si="1"/>
        <v/>
      </c>
      <c r="C296" s="37" t="str">
        <f>ifs($A296=FALSE,"",$A296,VLOOKUP($A296,SCAN!$A:$C,3,0))</f>
        <v/>
      </c>
      <c r="D296" s="36" t="str">
        <f>ifs($A296=FALSE,"",$A296,VLOOKUP($A296,SCAN!$A:$D,4,0))</f>
        <v/>
      </c>
      <c r="E296" s="38" t="str">
        <f>ifs($A296=FALSE,"",$A296,VLOOKUP($A296,SCAN!$A:$C,2,0))</f>
        <v/>
      </c>
      <c r="F296" s="39"/>
      <c r="G296" s="38" t="str">
        <f t="shared" si="2"/>
        <v/>
      </c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ht="15.75" customHeight="1">
      <c r="A297" s="40"/>
      <c r="B297" s="36" t="str">
        <f t="shared" si="1"/>
        <v/>
      </c>
      <c r="C297" s="37" t="str">
        <f>ifs($A297=FALSE,"",$A297,VLOOKUP($A297,SCAN!$A:$C,3,0))</f>
        <v/>
      </c>
      <c r="D297" s="36" t="str">
        <f>ifs($A297=FALSE,"",$A297,VLOOKUP($A297,SCAN!$A:$D,4,0))</f>
        <v/>
      </c>
      <c r="E297" s="38" t="str">
        <f>ifs($A297=FALSE,"",$A297,VLOOKUP($A297,SCAN!$A:$C,2,0))</f>
        <v/>
      </c>
      <c r="F297" s="39"/>
      <c r="G297" s="38" t="str">
        <f t="shared" si="2"/>
        <v/>
      </c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ht="15.75" customHeight="1">
      <c r="A298" s="40"/>
      <c r="B298" s="36" t="str">
        <f t="shared" si="1"/>
        <v/>
      </c>
      <c r="C298" s="37" t="str">
        <f>ifs($A298=FALSE,"",$A298,VLOOKUP($A298,SCAN!$A:$C,3,0))</f>
        <v/>
      </c>
      <c r="D298" s="36" t="str">
        <f>ifs($A298=FALSE,"",$A298,VLOOKUP($A298,SCAN!$A:$D,4,0))</f>
        <v/>
      </c>
      <c r="E298" s="38" t="str">
        <f>ifs($A298=FALSE,"",$A298,VLOOKUP($A298,SCAN!$A:$C,2,0))</f>
        <v/>
      </c>
      <c r="F298" s="39"/>
      <c r="G298" s="38" t="str">
        <f t="shared" si="2"/>
        <v/>
      </c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ht="15.75" customHeight="1">
      <c r="A299" s="40"/>
      <c r="B299" s="36" t="str">
        <f t="shared" si="1"/>
        <v/>
      </c>
      <c r="C299" s="37" t="str">
        <f>ifs($A299=FALSE,"",$A299,VLOOKUP($A299,SCAN!$A:$C,3,0))</f>
        <v/>
      </c>
      <c r="D299" s="36" t="str">
        <f>ifs($A299=FALSE,"",$A299,VLOOKUP($A299,SCAN!$A:$D,4,0))</f>
        <v/>
      </c>
      <c r="E299" s="38" t="str">
        <f>ifs($A299=FALSE,"",$A299,VLOOKUP($A299,SCAN!$A:$C,2,0))</f>
        <v/>
      </c>
      <c r="F299" s="39"/>
      <c r="G299" s="38" t="str">
        <f t="shared" si="2"/>
        <v/>
      </c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ht="15.75" customHeight="1">
      <c r="A300" s="40"/>
      <c r="B300" s="36" t="str">
        <f t="shared" si="1"/>
        <v/>
      </c>
      <c r="C300" s="37" t="str">
        <f>ifs($A300=FALSE,"",$A300,VLOOKUP($A300,SCAN!$A:$C,3,0))</f>
        <v/>
      </c>
      <c r="D300" s="36" t="str">
        <f>ifs($A300=FALSE,"",$A300,VLOOKUP($A300,SCAN!$A:$D,4,0))</f>
        <v/>
      </c>
      <c r="E300" s="38" t="str">
        <f>ifs($A300=FALSE,"",$A300,VLOOKUP($A300,SCAN!$A:$C,2,0))</f>
        <v/>
      </c>
      <c r="F300" s="39"/>
      <c r="G300" s="38" t="str">
        <f t="shared" si="2"/>
        <v/>
      </c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ht="15.75" customHeight="1">
      <c r="A301" s="40"/>
      <c r="B301" s="36" t="str">
        <f t="shared" si="1"/>
        <v/>
      </c>
      <c r="C301" s="37" t="str">
        <f>ifs($A301=FALSE,"",$A301,VLOOKUP($A301,SCAN!$A:$C,3,0))</f>
        <v/>
      </c>
      <c r="D301" s="36" t="str">
        <f>ifs($A301=FALSE,"",$A301,VLOOKUP($A301,SCAN!$A:$D,4,0))</f>
        <v/>
      </c>
      <c r="E301" s="38" t="str">
        <f>ifs($A301=FALSE,"",$A301,VLOOKUP($A301,SCAN!$A:$C,2,0))</f>
        <v/>
      </c>
      <c r="F301" s="39"/>
      <c r="G301" s="38" t="str">
        <f t="shared" si="2"/>
        <v/>
      </c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ht="15.75" customHeight="1">
      <c r="A302" s="40"/>
      <c r="B302" s="36" t="str">
        <f t="shared" si="1"/>
        <v/>
      </c>
      <c r="C302" s="37" t="str">
        <f>ifs($A302=FALSE,"",$A302,VLOOKUP($A302,SCAN!$A:$C,3,0))</f>
        <v/>
      </c>
      <c r="D302" s="36" t="str">
        <f>ifs($A302=FALSE,"",$A302,VLOOKUP($A302,SCAN!$A:$D,4,0))</f>
        <v/>
      </c>
      <c r="E302" s="38" t="str">
        <f>ifs($A302=FALSE,"",$A302,VLOOKUP($A302,SCAN!$A:$C,2,0))</f>
        <v/>
      </c>
      <c r="F302" s="39"/>
      <c r="G302" s="38" t="str">
        <f t="shared" si="2"/>
        <v/>
      </c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ht="15.75" customHeight="1">
      <c r="A303" s="40"/>
      <c r="B303" s="36" t="str">
        <f t="shared" si="1"/>
        <v/>
      </c>
      <c r="C303" s="37" t="str">
        <f>ifs($A303=FALSE,"",$A303,VLOOKUP($A303,SCAN!$A:$C,3,0))</f>
        <v/>
      </c>
      <c r="D303" s="36" t="str">
        <f>ifs($A303=FALSE,"",$A303,VLOOKUP($A303,SCAN!$A:$D,4,0))</f>
        <v/>
      </c>
      <c r="E303" s="38" t="str">
        <f>ifs($A303=FALSE,"",$A303,VLOOKUP($A303,SCAN!$A:$C,2,0))</f>
        <v/>
      </c>
      <c r="F303" s="39"/>
      <c r="G303" s="38" t="str">
        <f t="shared" si="2"/>
        <v/>
      </c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ht="15.75" customHeight="1">
      <c r="A304" s="40"/>
      <c r="B304" s="36" t="str">
        <f t="shared" si="1"/>
        <v/>
      </c>
      <c r="C304" s="37" t="str">
        <f>ifs($A304=FALSE,"",$A304,VLOOKUP($A304,SCAN!$A:$C,3,0))</f>
        <v/>
      </c>
      <c r="D304" s="36" t="str">
        <f>ifs($A304=FALSE,"",$A304,VLOOKUP($A304,SCAN!$A:$D,4,0))</f>
        <v/>
      </c>
      <c r="E304" s="38" t="str">
        <f>ifs($A304=FALSE,"",$A304,VLOOKUP($A304,SCAN!$A:$C,2,0))</f>
        <v/>
      </c>
      <c r="F304" s="39"/>
      <c r="G304" s="38" t="str">
        <f t="shared" si="2"/>
        <v/>
      </c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ht="15.75" customHeight="1">
      <c r="A305" s="40"/>
      <c r="B305" s="36" t="str">
        <f t="shared" si="1"/>
        <v/>
      </c>
      <c r="C305" s="37" t="str">
        <f>ifs($A305=FALSE,"",$A305,VLOOKUP($A305,SCAN!$A:$C,3,0))</f>
        <v/>
      </c>
      <c r="D305" s="36" t="str">
        <f>ifs($A305=FALSE,"",$A305,VLOOKUP($A305,SCAN!$A:$D,4,0))</f>
        <v/>
      </c>
      <c r="E305" s="38" t="str">
        <f>ifs($A305=FALSE,"",$A305,VLOOKUP($A305,SCAN!$A:$C,2,0))</f>
        <v/>
      </c>
      <c r="F305" s="39"/>
      <c r="G305" s="38" t="str">
        <f t="shared" si="2"/>
        <v/>
      </c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ht="15.75" customHeight="1">
      <c r="A306" s="40"/>
      <c r="B306" s="36" t="str">
        <f t="shared" si="1"/>
        <v/>
      </c>
      <c r="C306" s="37" t="str">
        <f>ifs($A306=FALSE,"",$A306,VLOOKUP($A306,SCAN!$A:$C,3,0))</f>
        <v/>
      </c>
      <c r="D306" s="36" t="str">
        <f>ifs($A306=FALSE,"",$A306,VLOOKUP($A306,SCAN!$A:$D,4,0))</f>
        <v/>
      </c>
      <c r="E306" s="38" t="str">
        <f>ifs($A306=FALSE,"",$A306,VLOOKUP($A306,SCAN!$A:$C,2,0))</f>
        <v/>
      </c>
      <c r="F306" s="39"/>
      <c r="G306" s="38" t="str">
        <f t="shared" si="2"/>
        <v/>
      </c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ht="15.75" customHeight="1">
      <c r="A307" s="40"/>
      <c r="B307" s="36" t="str">
        <f t="shared" si="1"/>
        <v/>
      </c>
      <c r="C307" s="37" t="str">
        <f>ifs($A307=FALSE,"",$A307,VLOOKUP($A307,SCAN!$A:$C,3,0))</f>
        <v/>
      </c>
      <c r="D307" s="36" t="str">
        <f>ifs($A307=FALSE,"",$A307,VLOOKUP($A307,SCAN!$A:$D,4,0))</f>
        <v/>
      </c>
      <c r="E307" s="38" t="str">
        <f>ifs($A307=FALSE,"",$A307,VLOOKUP($A307,SCAN!$A:$C,2,0))</f>
        <v/>
      </c>
      <c r="F307" s="39"/>
      <c r="G307" s="38" t="str">
        <f t="shared" si="2"/>
        <v/>
      </c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ht="15.75" customHeight="1">
      <c r="A308" s="40"/>
      <c r="B308" s="36" t="str">
        <f t="shared" si="1"/>
        <v/>
      </c>
      <c r="C308" s="37" t="str">
        <f>ifs($A308=FALSE,"",$A308,VLOOKUP($A308,SCAN!$A:$C,3,0))</f>
        <v/>
      </c>
      <c r="D308" s="36" t="str">
        <f>ifs($A308=FALSE,"",$A308,VLOOKUP($A308,SCAN!$A:$D,4,0))</f>
        <v/>
      </c>
      <c r="E308" s="38" t="str">
        <f>ifs($A308=FALSE,"",$A308,VLOOKUP($A308,SCAN!$A:$C,2,0))</f>
        <v/>
      </c>
      <c r="F308" s="39"/>
      <c r="G308" s="38" t="str">
        <f t="shared" si="2"/>
        <v/>
      </c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ht="15.75" customHeight="1">
      <c r="A309" s="40"/>
      <c r="B309" s="36" t="str">
        <f t="shared" si="1"/>
        <v/>
      </c>
      <c r="C309" s="37" t="str">
        <f>ifs($A309=FALSE,"",$A309,VLOOKUP($A309,SCAN!$A:$C,3,0))</f>
        <v/>
      </c>
      <c r="D309" s="36" t="str">
        <f>ifs($A309=FALSE,"",$A309,VLOOKUP($A309,SCAN!$A:$D,4,0))</f>
        <v/>
      </c>
      <c r="E309" s="38" t="str">
        <f>ifs($A309=FALSE,"",$A309,VLOOKUP($A309,SCAN!$A:$C,2,0))</f>
        <v/>
      </c>
      <c r="F309" s="39"/>
      <c r="G309" s="38" t="str">
        <f t="shared" si="2"/>
        <v/>
      </c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ht="15.75" customHeight="1">
      <c r="A310" s="40"/>
      <c r="B310" s="36" t="str">
        <f t="shared" si="1"/>
        <v/>
      </c>
      <c r="C310" s="37" t="str">
        <f>ifs($A310=FALSE,"",$A310,VLOOKUP($A310,SCAN!$A:$C,3,0))</f>
        <v/>
      </c>
      <c r="D310" s="36" t="str">
        <f>ifs($A310=FALSE,"",$A310,VLOOKUP($A310,SCAN!$A:$D,4,0))</f>
        <v/>
      </c>
      <c r="E310" s="38" t="str">
        <f>ifs($A310=FALSE,"",$A310,VLOOKUP($A310,SCAN!$A:$C,2,0))</f>
        <v/>
      </c>
      <c r="F310" s="39"/>
      <c r="G310" s="38" t="str">
        <f t="shared" si="2"/>
        <v/>
      </c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ht="15.75" customHeight="1">
      <c r="A311" s="40"/>
      <c r="B311" s="36" t="str">
        <f t="shared" si="1"/>
        <v/>
      </c>
      <c r="C311" s="37" t="str">
        <f>ifs($A311=FALSE,"",$A311,VLOOKUP($A311,SCAN!$A:$C,3,0))</f>
        <v/>
      </c>
      <c r="D311" s="36" t="str">
        <f>ifs($A311=FALSE,"",$A311,VLOOKUP($A311,SCAN!$A:$D,4,0))</f>
        <v/>
      </c>
      <c r="E311" s="38" t="str">
        <f>ifs($A311=FALSE,"",$A311,VLOOKUP($A311,SCAN!$A:$C,2,0))</f>
        <v/>
      </c>
      <c r="F311" s="39"/>
      <c r="G311" s="38" t="str">
        <f t="shared" si="2"/>
        <v/>
      </c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ht="15.75" customHeight="1">
      <c r="A312" s="40"/>
      <c r="B312" s="36" t="str">
        <f t="shared" si="1"/>
        <v/>
      </c>
      <c r="C312" s="37" t="str">
        <f>ifs($A312=FALSE,"",$A312,VLOOKUP($A312,SCAN!$A:$C,3,0))</f>
        <v/>
      </c>
      <c r="D312" s="36" t="str">
        <f>ifs($A312=FALSE,"",$A312,VLOOKUP($A312,SCAN!$A:$D,4,0))</f>
        <v/>
      </c>
      <c r="E312" s="38" t="str">
        <f>ifs($A312=FALSE,"",$A312,VLOOKUP($A312,SCAN!$A:$C,2,0))</f>
        <v/>
      </c>
      <c r="F312" s="39"/>
      <c r="G312" s="38" t="str">
        <f t="shared" si="2"/>
        <v/>
      </c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ht="15.75" customHeight="1">
      <c r="A313" s="40"/>
      <c r="B313" s="36" t="str">
        <f t="shared" si="1"/>
        <v/>
      </c>
      <c r="C313" s="37" t="str">
        <f>ifs($A313=FALSE,"",$A313,VLOOKUP($A313,SCAN!$A:$C,3,0))</f>
        <v/>
      </c>
      <c r="D313" s="36" t="str">
        <f>ifs($A313=FALSE,"",$A313,VLOOKUP($A313,SCAN!$A:$D,4,0))</f>
        <v/>
      </c>
      <c r="E313" s="38" t="str">
        <f>ifs($A313=FALSE,"",$A313,VLOOKUP($A313,SCAN!$A:$C,2,0))</f>
        <v/>
      </c>
      <c r="F313" s="39"/>
      <c r="G313" s="38" t="str">
        <f t="shared" si="2"/>
        <v/>
      </c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ht="15.75" customHeight="1">
      <c r="A314" s="40"/>
      <c r="B314" s="36" t="str">
        <f t="shared" si="1"/>
        <v/>
      </c>
      <c r="C314" s="37" t="str">
        <f>ifs($A314=FALSE,"",$A314,VLOOKUP($A314,SCAN!$A:$C,3,0))</f>
        <v/>
      </c>
      <c r="D314" s="36" t="str">
        <f>ifs($A314=FALSE,"",$A314,VLOOKUP($A314,SCAN!$A:$D,4,0))</f>
        <v/>
      </c>
      <c r="E314" s="38" t="str">
        <f>ifs($A314=FALSE,"",$A314,VLOOKUP($A314,SCAN!$A:$C,2,0))</f>
        <v/>
      </c>
      <c r="F314" s="39"/>
      <c r="G314" s="38" t="str">
        <f t="shared" si="2"/>
        <v/>
      </c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ht="15.75" customHeight="1">
      <c r="A315" s="40"/>
      <c r="B315" s="36" t="str">
        <f t="shared" si="1"/>
        <v/>
      </c>
      <c r="C315" s="37" t="str">
        <f>ifs($A315=FALSE,"",$A315,VLOOKUP($A315,SCAN!$A:$C,3,0))</f>
        <v/>
      </c>
      <c r="D315" s="36" t="str">
        <f>ifs($A315=FALSE,"",$A315,VLOOKUP($A315,SCAN!$A:$D,4,0))</f>
        <v/>
      </c>
      <c r="E315" s="38" t="str">
        <f>ifs($A315=FALSE,"",$A315,VLOOKUP($A315,SCAN!$A:$C,2,0))</f>
        <v/>
      </c>
      <c r="F315" s="39"/>
      <c r="G315" s="38" t="str">
        <f t="shared" si="2"/>
        <v/>
      </c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ht="15.75" customHeight="1">
      <c r="A316" s="40"/>
      <c r="B316" s="36" t="str">
        <f t="shared" si="1"/>
        <v/>
      </c>
      <c r="C316" s="37" t="str">
        <f>ifs($A316=FALSE,"",$A316,VLOOKUP($A316,SCAN!$A:$C,3,0))</f>
        <v/>
      </c>
      <c r="D316" s="36" t="str">
        <f>ifs($A316=FALSE,"",$A316,VLOOKUP($A316,SCAN!$A:$D,4,0))</f>
        <v/>
      </c>
      <c r="E316" s="38" t="str">
        <f>ifs($A316=FALSE,"",$A316,VLOOKUP($A316,SCAN!$A:$C,2,0))</f>
        <v/>
      </c>
      <c r="F316" s="39"/>
      <c r="G316" s="38" t="str">
        <f t="shared" si="2"/>
        <v/>
      </c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ht="15.75" customHeight="1">
      <c r="A317" s="40"/>
      <c r="B317" s="36" t="str">
        <f t="shared" si="1"/>
        <v/>
      </c>
      <c r="C317" s="37" t="str">
        <f>ifs($A317=FALSE,"",$A317,VLOOKUP($A317,SCAN!$A:$C,3,0))</f>
        <v/>
      </c>
      <c r="D317" s="36" t="str">
        <f>ifs($A317=FALSE,"",$A317,VLOOKUP($A317,SCAN!$A:$D,4,0))</f>
        <v/>
      </c>
      <c r="E317" s="38" t="str">
        <f>ifs($A317=FALSE,"",$A317,VLOOKUP($A317,SCAN!$A:$C,2,0))</f>
        <v/>
      </c>
      <c r="F317" s="39"/>
      <c r="G317" s="38" t="str">
        <f t="shared" si="2"/>
        <v/>
      </c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ht="15.75" customHeight="1">
      <c r="A318" s="40"/>
      <c r="B318" s="36" t="str">
        <f t="shared" si="1"/>
        <v/>
      </c>
      <c r="C318" s="37" t="str">
        <f>ifs($A318=FALSE,"",$A318,VLOOKUP($A318,SCAN!$A:$C,3,0))</f>
        <v/>
      </c>
      <c r="D318" s="36" t="str">
        <f>ifs($A318=FALSE,"",$A318,VLOOKUP($A318,SCAN!$A:$D,4,0))</f>
        <v/>
      </c>
      <c r="E318" s="38" t="str">
        <f>ifs($A318=FALSE,"",$A318,VLOOKUP($A318,SCAN!$A:$C,2,0))</f>
        <v/>
      </c>
      <c r="F318" s="39"/>
      <c r="G318" s="38" t="str">
        <f t="shared" si="2"/>
        <v/>
      </c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ht="15.75" customHeight="1">
      <c r="A319" s="40"/>
      <c r="B319" s="36" t="str">
        <f t="shared" si="1"/>
        <v/>
      </c>
      <c r="C319" s="37" t="str">
        <f>ifs($A319=FALSE,"",$A319,VLOOKUP($A319,SCAN!$A:$C,3,0))</f>
        <v/>
      </c>
      <c r="D319" s="36" t="str">
        <f>ifs($A319=FALSE,"",$A319,VLOOKUP($A319,SCAN!$A:$D,4,0))</f>
        <v/>
      </c>
      <c r="E319" s="38" t="str">
        <f>ifs($A319=FALSE,"",$A319,VLOOKUP($A319,SCAN!$A:$C,2,0))</f>
        <v/>
      </c>
      <c r="F319" s="39"/>
      <c r="G319" s="38" t="str">
        <f t="shared" si="2"/>
        <v/>
      </c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ht="15.75" customHeight="1">
      <c r="A320" s="40"/>
      <c r="B320" s="36" t="str">
        <f t="shared" si="1"/>
        <v/>
      </c>
      <c r="C320" s="37" t="str">
        <f>ifs($A320=FALSE,"",$A320,VLOOKUP($A320,SCAN!$A:$C,3,0))</f>
        <v/>
      </c>
      <c r="D320" s="36" t="str">
        <f>ifs($A320=FALSE,"",$A320,VLOOKUP($A320,SCAN!$A:$D,4,0))</f>
        <v/>
      </c>
      <c r="E320" s="38" t="str">
        <f>ifs($A320=FALSE,"",$A320,VLOOKUP($A320,SCAN!$A:$C,2,0))</f>
        <v/>
      </c>
      <c r="F320" s="39"/>
      <c r="G320" s="38" t="str">
        <f t="shared" si="2"/>
        <v/>
      </c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ht="15.75" customHeight="1">
      <c r="A321" s="40"/>
      <c r="B321" s="36" t="str">
        <f t="shared" si="1"/>
        <v/>
      </c>
      <c r="C321" s="37" t="str">
        <f>ifs($A321=FALSE,"",$A321,VLOOKUP($A321,SCAN!$A:$C,3,0))</f>
        <v/>
      </c>
      <c r="D321" s="36" t="str">
        <f>ifs($A321=FALSE,"",$A321,VLOOKUP($A321,SCAN!$A:$D,4,0))</f>
        <v/>
      </c>
      <c r="E321" s="38" t="str">
        <f>ifs($A321=FALSE,"",$A321,VLOOKUP($A321,SCAN!$A:$C,2,0))</f>
        <v/>
      </c>
      <c r="F321" s="39"/>
      <c r="G321" s="38" t="str">
        <f t="shared" si="2"/>
        <v/>
      </c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ht="15.75" customHeight="1">
      <c r="A322" s="40"/>
      <c r="B322" s="36" t="str">
        <f t="shared" si="1"/>
        <v/>
      </c>
      <c r="C322" s="37" t="str">
        <f>ifs($A322=FALSE,"",$A322,VLOOKUP($A322,SCAN!$A:$C,3,0))</f>
        <v/>
      </c>
      <c r="D322" s="36" t="str">
        <f>ifs($A322=FALSE,"",$A322,VLOOKUP($A322,SCAN!$A:$D,4,0))</f>
        <v/>
      </c>
      <c r="E322" s="38" t="str">
        <f>ifs($A322=FALSE,"",$A322,VLOOKUP($A322,SCAN!$A:$C,2,0))</f>
        <v/>
      </c>
      <c r="F322" s="39"/>
      <c r="G322" s="38" t="str">
        <f t="shared" si="2"/>
        <v/>
      </c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ht="15.75" customHeight="1">
      <c r="A323" s="40"/>
      <c r="B323" s="36" t="str">
        <f t="shared" si="1"/>
        <v/>
      </c>
      <c r="C323" s="37" t="str">
        <f>ifs($A323=FALSE,"",$A323,VLOOKUP($A323,SCAN!$A:$C,3,0))</f>
        <v/>
      </c>
      <c r="D323" s="36" t="str">
        <f>ifs($A323=FALSE,"",$A323,VLOOKUP($A323,SCAN!$A:$D,4,0))</f>
        <v/>
      </c>
      <c r="E323" s="38" t="str">
        <f>ifs($A323=FALSE,"",$A323,VLOOKUP($A323,SCAN!$A:$C,2,0))</f>
        <v/>
      </c>
      <c r="F323" s="39"/>
      <c r="G323" s="38" t="str">
        <f t="shared" si="2"/>
        <v/>
      </c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ht="15.75" customHeight="1">
      <c r="A324" s="40"/>
      <c r="B324" s="36" t="str">
        <f t="shared" si="1"/>
        <v/>
      </c>
      <c r="C324" s="37" t="str">
        <f>ifs($A324=FALSE,"",$A324,VLOOKUP($A324,SCAN!$A:$C,3,0))</f>
        <v/>
      </c>
      <c r="D324" s="36" t="str">
        <f>ifs($A324=FALSE,"",$A324,VLOOKUP($A324,SCAN!$A:$D,4,0))</f>
        <v/>
      </c>
      <c r="E324" s="38" t="str">
        <f>ifs($A324=FALSE,"",$A324,VLOOKUP($A324,SCAN!$A:$C,2,0))</f>
        <v/>
      </c>
      <c r="F324" s="39"/>
      <c r="G324" s="38" t="str">
        <f t="shared" si="2"/>
        <v/>
      </c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ht="15.75" customHeight="1">
      <c r="A325" s="40"/>
      <c r="B325" s="36" t="str">
        <f t="shared" si="1"/>
        <v/>
      </c>
      <c r="C325" s="37" t="str">
        <f>ifs($A325=FALSE,"",$A325,VLOOKUP($A325,SCAN!$A:$C,3,0))</f>
        <v/>
      </c>
      <c r="D325" s="36" t="str">
        <f>ifs($A325=FALSE,"",$A325,VLOOKUP($A325,SCAN!$A:$D,4,0))</f>
        <v/>
      </c>
      <c r="E325" s="38" t="str">
        <f>ifs($A325=FALSE,"",$A325,VLOOKUP($A325,SCAN!$A:$C,2,0))</f>
        <v/>
      </c>
      <c r="F325" s="39"/>
      <c r="G325" s="38" t="str">
        <f t="shared" si="2"/>
        <v/>
      </c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ht="15.75" customHeight="1">
      <c r="A326" s="40"/>
      <c r="B326" s="36" t="str">
        <f t="shared" si="1"/>
        <v/>
      </c>
      <c r="C326" s="37" t="str">
        <f>ifs($A326=FALSE,"",$A326,VLOOKUP($A326,SCAN!$A:$C,3,0))</f>
        <v/>
      </c>
      <c r="D326" s="36" t="str">
        <f>ifs($A326=FALSE,"",$A326,VLOOKUP($A326,SCAN!$A:$D,4,0))</f>
        <v/>
      </c>
      <c r="E326" s="38" t="str">
        <f>ifs($A326=FALSE,"",$A326,VLOOKUP($A326,SCAN!$A:$C,2,0))</f>
        <v/>
      </c>
      <c r="F326" s="39"/>
      <c r="G326" s="38" t="str">
        <f t="shared" si="2"/>
        <v/>
      </c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ht="15.75" customHeight="1">
      <c r="A327" s="40"/>
      <c r="B327" s="36" t="str">
        <f t="shared" si="1"/>
        <v/>
      </c>
      <c r="C327" s="37" t="str">
        <f>ifs($A327=FALSE,"",$A327,VLOOKUP($A327,SCAN!$A:$C,3,0))</f>
        <v/>
      </c>
      <c r="D327" s="36" t="str">
        <f>ifs($A327=FALSE,"",$A327,VLOOKUP($A327,SCAN!$A:$D,4,0))</f>
        <v/>
      </c>
      <c r="E327" s="38" t="str">
        <f>ifs($A327=FALSE,"",$A327,VLOOKUP($A327,SCAN!$A:$C,2,0))</f>
        <v/>
      </c>
      <c r="F327" s="39"/>
      <c r="G327" s="38" t="str">
        <f t="shared" si="2"/>
        <v/>
      </c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ht="15.75" customHeight="1">
      <c r="A328" s="40"/>
      <c r="B328" s="36" t="str">
        <f t="shared" si="1"/>
        <v/>
      </c>
      <c r="C328" s="37" t="str">
        <f>ifs($A328=FALSE,"",$A328,VLOOKUP($A328,SCAN!$A:$C,3,0))</f>
        <v/>
      </c>
      <c r="D328" s="36" t="str">
        <f>ifs($A328=FALSE,"",$A328,VLOOKUP($A328,SCAN!$A:$D,4,0))</f>
        <v/>
      </c>
      <c r="E328" s="38" t="str">
        <f>ifs($A328=FALSE,"",$A328,VLOOKUP($A328,SCAN!$A:$C,2,0))</f>
        <v/>
      </c>
      <c r="F328" s="39"/>
      <c r="G328" s="38" t="str">
        <f t="shared" si="2"/>
        <v/>
      </c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ht="15.75" customHeight="1">
      <c r="A329" s="40"/>
      <c r="B329" s="36" t="str">
        <f t="shared" si="1"/>
        <v/>
      </c>
      <c r="C329" s="37" t="str">
        <f>ifs($A329=FALSE,"",$A329,VLOOKUP($A329,SCAN!$A:$C,3,0))</f>
        <v/>
      </c>
      <c r="D329" s="36" t="str">
        <f>ifs($A329=FALSE,"",$A329,VLOOKUP($A329,SCAN!$A:$D,4,0))</f>
        <v/>
      </c>
      <c r="E329" s="38" t="str">
        <f>ifs($A329=FALSE,"",$A329,VLOOKUP($A329,SCAN!$A:$C,2,0))</f>
        <v/>
      </c>
      <c r="F329" s="39"/>
      <c r="G329" s="38" t="str">
        <f t="shared" si="2"/>
        <v/>
      </c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ht="15.75" customHeight="1">
      <c r="A330" s="40"/>
      <c r="B330" s="36" t="str">
        <f t="shared" si="1"/>
        <v/>
      </c>
      <c r="C330" s="37" t="str">
        <f>ifs($A330=FALSE,"",$A330,VLOOKUP($A330,SCAN!$A:$C,3,0))</f>
        <v/>
      </c>
      <c r="D330" s="36" t="str">
        <f>ifs($A330=FALSE,"",$A330,VLOOKUP($A330,SCAN!$A:$D,4,0))</f>
        <v/>
      </c>
      <c r="E330" s="38" t="str">
        <f>ifs($A330=FALSE,"",$A330,VLOOKUP($A330,SCAN!$A:$C,2,0))</f>
        <v/>
      </c>
      <c r="F330" s="39"/>
      <c r="G330" s="38" t="str">
        <f t="shared" si="2"/>
        <v/>
      </c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ht="15.75" customHeight="1">
      <c r="A331" s="40"/>
      <c r="B331" s="36" t="str">
        <f t="shared" si="1"/>
        <v/>
      </c>
      <c r="C331" s="37" t="str">
        <f>ifs($A331=FALSE,"",$A331,VLOOKUP($A331,SCAN!$A:$C,3,0))</f>
        <v/>
      </c>
      <c r="D331" s="36" t="str">
        <f>ifs($A331=FALSE,"",$A331,VLOOKUP($A331,SCAN!$A:$D,4,0))</f>
        <v/>
      </c>
      <c r="E331" s="38" t="str">
        <f>ifs($A331=FALSE,"",$A331,VLOOKUP($A331,SCAN!$A:$C,2,0))</f>
        <v/>
      </c>
      <c r="F331" s="39"/>
      <c r="G331" s="38" t="str">
        <f t="shared" si="2"/>
        <v/>
      </c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ht="15.75" customHeight="1">
      <c r="A332" s="40"/>
      <c r="B332" s="36" t="str">
        <f t="shared" si="1"/>
        <v/>
      </c>
      <c r="C332" s="37" t="str">
        <f>ifs($A332=FALSE,"",$A332,VLOOKUP($A332,SCAN!$A:$C,3,0))</f>
        <v/>
      </c>
      <c r="D332" s="36" t="str">
        <f>ifs($A332=FALSE,"",$A332,VLOOKUP($A332,SCAN!$A:$D,4,0))</f>
        <v/>
      </c>
      <c r="E332" s="38" t="str">
        <f>ifs($A332=FALSE,"",$A332,VLOOKUP($A332,SCAN!$A:$C,2,0))</f>
        <v/>
      </c>
      <c r="F332" s="39"/>
      <c r="G332" s="38" t="str">
        <f t="shared" si="2"/>
        <v/>
      </c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ht="15.75" customHeight="1">
      <c r="A333" s="40"/>
      <c r="B333" s="36" t="str">
        <f t="shared" si="1"/>
        <v/>
      </c>
      <c r="C333" s="37" t="str">
        <f>ifs($A333=FALSE,"",$A333,VLOOKUP($A333,SCAN!$A:$C,3,0))</f>
        <v/>
      </c>
      <c r="D333" s="36" t="str">
        <f>ifs($A333=FALSE,"",$A333,VLOOKUP($A333,SCAN!$A:$D,4,0))</f>
        <v/>
      </c>
      <c r="E333" s="38" t="str">
        <f>ifs($A333=FALSE,"",$A333,VLOOKUP($A333,SCAN!$A:$C,2,0))</f>
        <v/>
      </c>
      <c r="F333" s="39"/>
      <c r="G333" s="38" t="str">
        <f t="shared" si="2"/>
        <v/>
      </c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ht="15.75" customHeight="1">
      <c r="A334" s="40"/>
      <c r="B334" s="36" t="str">
        <f t="shared" si="1"/>
        <v/>
      </c>
      <c r="C334" s="37" t="str">
        <f>ifs($A334=FALSE,"",$A334,VLOOKUP($A334,SCAN!$A:$C,3,0))</f>
        <v/>
      </c>
      <c r="D334" s="36" t="str">
        <f>ifs($A334=FALSE,"",$A334,VLOOKUP($A334,SCAN!$A:$D,4,0))</f>
        <v/>
      </c>
      <c r="E334" s="38" t="str">
        <f>ifs($A334=FALSE,"",$A334,VLOOKUP($A334,SCAN!$A:$C,2,0))</f>
        <v/>
      </c>
      <c r="F334" s="39"/>
      <c r="G334" s="38" t="str">
        <f t="shared" si="2"/>
        <v/>
      </c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ht="15.75" customHeight="1">
      <c r="A335" s="40"/>
      <c r="B335" s="36" t="str">
        <f t="shared" si="1"/>
        <v/>
      </c>
      <c r="C335" s="37" t="str">
        <f>ifs($A335=FALSE,"",$A335,VLOOKUP($A335,SCAN!$A:$C,3,0))</f>
        <v/>
      </c>
      <c r="D335" s="36" t="str">
        <f>ifs($A335=FALSE,"",$A335,VLOOKUP($A335,SCAN!$A:$D,4,0))</f>
        <v/>
      </c>
      <c r="E335" s="38" t="str">
        <f>ifs($A335=FALSE,"",$A335,VLOOKUP($A335,SCAN!$A:$C,2,0))</f>
        <v/>
      </c>
      <c r="F335" s="39"/>
      <c r="G335" s="38" t="str">
        <f t="shared" si="2"/>
        <v/>
      </c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ht="15.75" customHeight="1">
      <c r="A336" s="40"/>
      <c r="B336" s="36" t="str">
        <f t="shared" si="1"/>
        <v/>
      </c>
      <c r="C336" s="37" t="str">
        <f>ifs($A336=FALSE,"",$A336,VLOOKUP($A336,SCAN!$A:$C,3,0))</f>
        <v/>
      </c>
      <c r="D336" s="36" t="str">
        <f>ifs($A336=FALSE,"",$A336,VLOOKUP($A336,SCAN!$A:$D,4,0))</f>
        <v/>
      </c>
      <c r="E336" s="38" t="str">
        <f>ifs($A336=FALSE,"",$A336,VLOOKUP($A336,SCAN!$A:$C,2,0))</f>
        <v/>
      </c>
      <c r="F336" s="39"/>
      <c r="G336" s="38" t="str">
        <f t="shared" si="2"/>
        <v/>
      </c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ht="15.75" customHeight="1">
      <c r="A337" s="40"/>
      <c r="B337" s="36" t="str">
        <f t="shared" si="1"/>
        <v/>
      </c>
      <c r="C337" s="37" t="str">
        <f>ifs($A337=FALSE,"",$A337,VLOOKUP($A337,SCAN!$A:$C,3,0))</f>
        <v/>
      </c>
      <c r="D337" s="36" t="str">
        <f>ifs($A337=FALSE,"",$A337,VLOOKUP($A337,SCAN!$A:$D,4,0))</f>
        <v/>
      </c>
      <c r="E337" s="38" t="str">
        <f>ifs($A337=FALSE,"",$A337,VLOOKUP($A337,SCAN!$A:$C,2,0))</f>
        <v/>
      </c>
      <c r="F337" s="39"/>
      <c r="G337" s="38" t="str">
        <f t="shared" si="2"/>
        <v/>
      </c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ht="15.75" customHeight="1">
      <c r="A338" s="40"/>
      <c r="B338" s="36" t="str">
        <f t="shared" si="1"/>
        <v/>
      </c>
      <c r="C338" s="37" t="str">
        <f>ifs($A338=FALSE,"",$A338,VLOOKUP($A338,SCAN!$A:$C,3,0))</f>
        <v/>
      </c>
      <c r="D338" s="36" t="str">
        <f>ifs($A338=FALSE,"",$A338,VLOOKUP($A338,SCAN!$A:$D,4,0))</f>
        <v/>
      </c>
      <c r="E338" s="38" t="str">
        <f>ifs($A338=FALSE,"",$A338,VLOOKUP($A338,SCAN!$A:$C,2,0))</f>
        <v/>
      </c>
      <c r="F338" s="39"/>
      <c r="G338" s="38" t="str">
        <f t="shared" si="2"/>
        <v/>
      </c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ht="15.75" customHeight="1">
      <c r="A339" s="40"/>
      <c r="B339" s="36" t="str">
        <f t="shared" si="1"/>
        <v/>
      </c>
      <c r="C339" s="37" t="str">
        <f>ifs($A339=FALSE,"",$A339,VLOOKUP($A339,SCAN!$A:$C,3,0))</f>
        <v/>
      </c>
      <c r="D339" s="36" t="str">
        <f>ifs($A339=FALSE,"",$A339,VLOOKUP($A339,SCAN!$A:$D,4,0))</f>
        <v/>
      </c>
      <c r="E339" s="38" t="str">
        <f>ifs($A339=FALSE,"",$A339,VLOOKUP($A339,SCAN!$A:$C,2,0))</f>
        <v/>
      </c>
      <c r="F339" s="39"/>
      <c r="G339" s="38" t="str">
        <f t="shared" si="2"/>
        <v/>
      </c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ht="15.75" customHeight="1">
      <c r="A340" s="40"/>
      <c r="B340" s="36" t="str">
        <f t="shared" si="1"/>
        <v/>
      </c>
      <c r="C340" s="37" t="str">
        <f>ifs($A340=FALSE,"",$A340,VLOOKUP($A340,SCAN!$A:$C,3,0))</f>
        <v/>
      </c>
      <c r="D340" s="36" t="str">
        <f>ifs($A340=FALSE,"",$A340,VLOOKUP($A340,SCAN!$A:$D,4,0))</f>
        <v/>
      </c>
      <c r="E340" s="38" t="str">
        <f>ifs($A340=FALSE,"",$A340,VLOOKUP($A340,SCAN!$A:$C,2,0))</f>
        <v/>
      </c>
      <c r="F340" s="39"/>
      <c r="G340" s="38" t="str">
        <f t="shared" si="2"/>
        <v/>
      </c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ht="15.75" customHeight="1">
      <c r="A341" s="40"/>
      <c r="B341" s="36" t="str">
        <f t="shared" si="1"/>
        <v/>
      </c>
      <c r="C341" s="37" t="str">
        <f>ifs($A341=FALSE,"",$A341,VLOOKUP($A341,SCAN!$A:$C,3,0))</f>
        <v/>
      </c>
      <c r="D341" s="36" t="str">
        <f>ifs($A341=FALSE,"",$A341,VLOOKUP($A341,SCAN!$A:$D,4,0))</f>
        <v/>
      </c>
      <c r="E341" s="38" t="str">
        <f>ifs($A341=FALSE,"",$A341,VLOOKUP($A341,SCAN!$A:$C,2,0))</f>
        <v/>
      </c>
      <c r="F341" s="39"/>
      <c r="G341" s="38" t="str">
        <f t="shared" si="2"/>
        <v/>
      </c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ht="15.75" customHeight="1">
      <c r="A342" s="40"/>
      <c r="B342" s="36" t="str">
        <f t="shared" si="1"/>
        <v/>
      </c>
      <c r="C342" s="37" t="str">
        <f>ifs($A342=FALSE,"",$A342,VLOOKUP($A342,SCAN!$A:$C,3,0))</f>
        <v/>
      </c>
      <c r="D342" s="36" t="str">
        <f>ifs($A342=FALSE,"",$A342,VLOOKUP($A342,SCAN!$A:$D,4,0))</f>
        <v/>
      </c>
      <c r="E342" s="38" t="str">
        <f>ifs($A342=FALSE,"",$A342,VLOOKUP($A342,SCAN!$A:$C,2,0))</f>
        <v/>
      </c>
      <c r="F342" s="39"/>
      <c r="G342" s="38" t="str">
        <f t="shared" si="2"/>
        <v/>
      </c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ht="15.75" customHeight="1">
      <c r="A343" s="40"/>
      <c r="B343" s="36" t="str">
        <f t="shared" si="1"/>
        <v/>
      </c>
      <c r="C343" s="37" t="str">
        <f>ifs($A343=FALSE,"",$A343,VLOOKUP($A343,SCAN!$A:$C,3,0))</f>
        <v/>
      </c>
      <c r="D343" s="36" t="str">
        <f>ifs($A343=FALSE,"",$A343,VLOOKUP($A343,SCAN!$A:$D,4,0))</f>
        <v/>
      </c>
      <c r="E343" s="38" t="str">
        <f>ifs($A343=FALSE,"",$A343,VLOOKUP($A343,SCAN!$A:$C,2,0))</f>
        <v/>
      </c>
      <c r="F343" s="39"/>
      <c r="G343" s="38" t="str">
        <f t="shared" si="2"/>
        <v/>
      </c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ht="15.75" customHeight="1">
      <c r="A344" s="40"/>
      <c r="B344" s="36" t="str">
        <f t="shared" si="1"/>
        <v/>
      </c>
      <c r="C344" s="37" t="str">
        <f>ifs($A344=FALSE,"",$A344,VLOOKUP($A344,SCAN!$A:$C,3,0))</f>
        <v/>
      </c>
      <c r="D344" s="36" t="str">
        <f>ifs($A344=FALSE,"",$A344,VLOOKUP($A344,SCAN!$A:$D,4,0))</f>
        <v/>
      </c>
      <c r="E344" s="38" t="str">
        <f>ifs($A344=FALSE,"",$A344,VLOOKUP($A344,SCAN!$A:$C,2,0))</f>
        <v/>
      </c>
      <c r="F344" s="39"/>
      <c r="G344" s="38" t="str">
        <f t="shared" si="2"/>
        <v/>
      </c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ht="15.75" customHeight="1">
      <c r="A345" s="40"/>
      <c r="B345" s="36" t="str">
        <f t="shared" si="1"/>
        <v/>
      </c>
      <c r="C345" s="37" t="str">
        <f>ifs($A345=FALSE,"",$A345,VLOOKUP($A345,SCAN!$A:$C,3,0))</f>
        <v/>
      </c>
      <c r="D345" s="36" t="str">
        <f>ifs($A345=FALSE,"",$A345,VLOOKUP($A345,SCAN!$A:$D,4,0))</f>
        <v/>
      </c>
      <c r="E345" s="38" t="str">
        <f>ifs($A345=FALSE,"",$A345,VLOOKUP($A345,SCAN!$A:$C,2,0))</f>
        <v/>
      </c>
      <c r="F345" s="39"/>
      <c r="G345" s="38" t="str">
        <f t="shared" si="2"/>
        <v/>
      </c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ht="15.75" customHeight="1">
      <c r="A346" s="40"/>
      <c r="B346" s="36" t="str">
        <f t="shared" si="1"/>
        <v/>
      </c>
      <c r="C346" s="37" t="str">
        <f>ifs($A346=FALSE,"",$A346,VLOOKUP($A346,SCAN!$A:$C,3,0))</f>
        <v/>
      </c>
      <c r="D346" s="36" t="str">
        <f>ifs($A346=FALSE,"",$A346,VLOOKUP($A346,SCAN!$A:$D,4,0))</f>
        <v/>
      </c>
      <c r="E346" s="38" t="str">
        <f>ifs($A346=FALSE,"",$A346,VLOOKUP($A346,SCAN!$A:$C,2,0))</f>
        <v/>
      </c>
      <c r="F346" s="39"/>
      <c r="G346" s="38" t="str">
        <f t="shared" si="2"/>
        <v/>
      </c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ht="15.75" customHeight="1">
      <c r="A347" s="40"/>
      <c r="B347" s="36" t="str">
        <f t="shared" si="1"/>
        <v/>
      </c>
      <c r="C347" s="37" t="str">
        <f>ifs($A347=FALSE,"",$A347,VLOOKUP($A347,SCAN!$A:$C,3,0))</f>
        <v/>
      </c>
      <c r="D347" s="36" t="str">
        <f>ifs($A347=FALSE,"",$A347,VLOOKUP($A347,SCAN!$A:$D,4,0))</f>
        <v/>
      </c>
      <c r="E347" s="38" t="str">
        <f>ifs($A347=FALSE,"",$A347,VLOOKUP($A347,SCAN!$A:$C,2,0))</f>
        <v/>
      </c>
      <c r="F347" s="39"/>
      <c r="G347" s="38" t="str">
        <f t="shared" si="2"/>
        <v/>
      </c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ht="15.75" customHeight="1">
      <c r="A348" s="40"/>
      <c r="B348" s="36" t="str">
        <f t="shared" si="1"/>
        <v/>
      </c>
      <c r="C348" s="37" t="str">
        <f>ifs($A348=FALSE,"",$A348,VLOOKUP($A348,SCAN!$A:$C,3,0))</f>
        <v/>
      </c>
      <c r="D348" s="36" t="str">
        <f>ifs($A348=FALSE,"",$A348,VLOOKUP($A348,SCAN!$A:$D,4,0))</f>
        <v/>
      </c>
      <c r="E348" s="38" t="str">
        <f>ifs($A348=FALSE,"",$A348,VLOOKUP($A348,SCAN!$A:$C,2,0))</f>
        <v/>
      </c>
      <c r="F348" s="39"/>
      <c r="G348" s="38" t="str">
        <f t="shared" si="2"/>
        <v/>
      </c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ht="15.75" customHeight="1">
      <c r="A349" s="40"/>
      <c r="B349" s="36" t="str">
        <f t="shared" si="1"/>
        <v/>
      </c>
      <c r="C349" s="37" t="str">
        <f>ifs($A349=FALSE,"",$A349,VLOOKUP($A349,SCAN!$A:$C,3,0))</f>
        <v/>
      </c>
      <c r="D349" s="36" t="str">
        <f>ifs($A349=FALSE,"",$A349,VLOOKUP($A349,SCAN!$A:$D,4,0))</f>
        <v/>
      </c>
      <c r="E349" s="38" t="str">
        <f>ifs($A349=FALSE,"",$A349,VLOOKUP($A349,SCAN!$A:$C,2,0))</f>
        <v/>
      </c>
      <c r="F349" s="39"/>
      <c r="G349" s="38" t="str">
        <f t="shared" si="2"/>
        <v/>
      </c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ht="15.75" customHeight="1">
      <c r="A350" s="40"/>
      <c r="B350" s="36" t="str">
        <f t="shared" si="1"/>
        <v/>
      </c>
      <c r="C350" s="37" t="str">
        <f>ifs($A350=FALSE,"",$A350,VLOOKUP($A350,SCAN!$A:$C,3,0))</f>
        <v/>
      </c>
      <c r="D350" s="36" t="str">
        <f>ifs($A350=FALSE,"",$A350,VLOOKUP($A350,SCAN!$A:$D,4,0))</f>
        <v/>
      </c>
      <c r="E350" s="38" t="str">
        <f>ifs($A350=FALSE,"",$A350,VLOOKUP($A350,SCAN!$A:$C,2,0))</f>
        <v/>
      </c>
      <c r="F350" s="39"/>
      <c r="G350" s="38" t="str">
        <f t="shared" si="2"/>
        <v/>
      </c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ht="15.75" customHeight="1">
      <c r="A351" s="40"/>
      <c r="B351" s="36" t="str">
        <f t="shared" si="1"/>
        <v/>
      </c>
      <c r="C351" s="37" t="str">
        <f>ifs($A351=FALSE,"",$A351,VLOOKUP($A351,SCAN!$A:$C,3,0))</f>
        <v/>
      </c>
      <c r="D351" s="36" t="str">
        <f>ifs($A351=FALSE,"",$A351,VLOOKUP($A351,SCAN!$A:$D,4,0))</f>
        <v/>
      </c>
      <c r="E351" s="38" t="str">
        <f>ifs($A351=FALSE,"",$A351,VLOOKUP($A351,SCAN!$A:$C,2,0))</f>
        <v/>
      </c>
      <c r="F351" s="39"/>
      <c r="G351" s="38" t="str">
        <f t="shared" si="2"/>
        <v/>
      </c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ht="15.75" customHeight="1">
      <c r="A352" s="40"/>
      <c r="B352" s="36" t="str">
        <f t="shared" si="1"/>
        <v/>
      </c>
      <c r="C352" s="37" t="str">
        <f>ifs($A352=FALSE,"",$A352,VLOOKUP($A352,SCAN!$A:$C,3,0))</f>
        <v/>
      </c>
      <c r="D352" s="36" t="str">
        <f>ifs($A352=FALSE,"",$A352,VLOOKUP($A352,SCAN!$A:$D,4,0))</f>
        <v/>
      </c>
      <c r="E352" s="38" t="str">
        <f>ifs($A352=FALSE,"",$A352,VLOOKUP($A352,SCAN!$A:$C,2,0))</f>
        <v/>
      </c>
      <c r="F352" s="39"/>
      <c r="G352" s="38" t="str">
        <f t="shared" si="2"/>
        <v/>
      </c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ht="15.75" customHeight="1">
      <c r="A353" s="40"/>
      <c r="B353" s="36" t="str">
        <f t="shared" si="1"/>
        <v/>
      </c>
      <c r="C353" s="37" t="str">
        <f>ifs($A353=FALSE,"",$A353,VLOOKUP($A353,SCAN!$A:$C,3,0))</f>
        <v/>
      </c>
      <c r="D353" s="36" t="str">
        <f>ifs($A353=FALSE,"",$A353,VLOOKUP($A353,SCAN!$A:$D,4,0))</f>
        <v/>
      </c>
      <c r="E353" s="38" t="str">
        <f>ifs($A353=FALSE,"",$A353,VLOOKUP($A353,SCAN!$A:$C,2,0))</f>
        <v/>
      </c>
      <c r="F353" s="39"/>
      <c r="G353" s="38" t="str">
        <f t="shared" si="2"/>
        <v/>
      </c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ht="15.75" customHeight="1">
      <c r="A354" s="40"/>
      <c r="B354" s="36" t="str">
        <f t="shared" si="1"/>
        <v/>
      </c>
      <c r="C354" s="37" t="str">
        <f>ifs($A354=FALSE,"",$A354,VLOOKUP($A354,SCAN!$A:$C,3,0))</f>
        <v/>
      </c>
      <c r="D354" s="36" t="str">
        <f>ifs($A354=FALSE,"",$A354,VLOOKUP($A354,SCAN!$A:$D,4,0))</f>
        <v/>
      </c>
      <c r="E354" s="38" t="str">
        <f>ifs($A354=FALSE,"",$A354,VLOOKUP($A354,SCAN!$A:$C,2,0))</f>
        <v/>
      </c>
      <c r="F354" s="39"/>
      <c r="G354" s="38" t="str">
        <f t="shared" si="2"/>
        <v/>
      </c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ht="15.75" customHeight="1">
      <c r="A355" s="40"/>
      <c r="B355" s="36" t="str">
        <f t="shared" si="1"/>
        <v/>
      </c>
      <c r="C355" s="37" t="str">
        <f>ifs($A355=FALSE,"",$A355,VLOOKUP($A355,SCAN!$A:$C,3,0))</f>
        <v/>
      </c>
      <c r="D355" s="36" t="str">
        <f>ifs($A355=FALSE,"",$A355,VLOOKUP($A355,SCAN!$A:$D,4,0))</f>
        <v/>
      </c>
      <c r="E355" s="38" t="str">
        <f>ifs($A355=FALSE,"",$A355,VLOOKUP($A355,SCAN!$A:$C,2,0))</f>
        <v/>
      </c>
      <c r="F355" s="39"/>
      <c r="G355" s="38" t="str">
        <f t="shared" si="2"/>
        <v/>
      </c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ht="15.75" customHeight="1">
      <c r="A356" s="40"/>
      <c r="B356" s="36" t="str">
        <f t="shared" si="1"/>
        <v/>
      </c>
      <c r="C356" s="37" t="str">
        <f>ifs($A356=FALSE,"",$A356,VLOOKUP($A356,SCAN!$A:$C,3,0))</f>
        <v/>
      </c>
      <c r="D356" s="36" t="str">
        <f>ifs($A356=FALSE,"",$A356,VLOOKUP($A356,SCAN!$A:$D,4,0))</f>
        <v/>
      </c>
      <c r="E356" s="38" t="str">
        <f>ifs($A356=FALSE,"",$A356,VLOOKUP($A356,SCAN!$A:$C,2,0))</f>
        <v/>
      </c>
      <c r="F356" s="39"/>
      <c r="G356" s="38" t="str">
        <f t="shared" si="2"/>
        <v/>
      </c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ht="15.75" customHeight="1">
      <c r="A357" s="40"/>
      <c r="B357" s="36" t="str">
        <f t="shared" si="1"/>
        <v/>
      </c>
      <c r="C357" s="37" t="str">
        <f>ifs($A357=FALSE,"",$A357,VLOOKUP($A357,SCAN!$A:$C,3,0))</f>
        <v/>
      </c>
      <c r="D357" s="36" t="str">
        <f>ifs($A357=FALSE,"",$A357,VLOOKUP($A357,SCAN!$A:$D,4,0))</f>
        <v/>
      </c>
      <c r="E357" s="38" t="str">
        <f>ifs($A357=FALSE,"",$A357,VLOOKUP($A357,SCAN!$A:$C,2,0))</f>
        <v/>
      </c>
      <c r="F357" s="39"/>
      <c r="G357" s="38" t="str">
        <f t="shared" si="2"/>
        <v/>
      </c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ht="15.75" customHeight="1">
      <c r="A358" s="40"/>
      <c r="B358" s="36" t="str">
        <f t="shared" si="1"/>
        <v/>
      </c>
      <c r="C358" s="37" t="str">
        <f>ifs($A358=FALSE,"",$A358,VLOOKUP($A358,SCAN!$A:$C,3,0))</f>
        <v/>
      </c>
      <c r="D358" s="36" t="str">
        <f>ifs($A358=FALSE,"",$A358,VLOOKUP($A358,SCAN!$A:$D,4,0))</f>
        <v/>
      </c>
      <c r="E358" s="38" t="str">
        <f>ifs($A358=FALSE,"",$A358,VLOOKUP($A358,SCAN!$A:$C,2,0))</f>
        <v/>
      </c>
      <c r="F358" s="39"/>
      <c r="G358" s="38" t="str">
        <f t="shared" si="2"/>
        <v/>
      </c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ht="15.75" customHeight="1">
      <c r="A359" s="40"/>
      <c r="B359" s="36" t="str">
        <f t="shared" si="1"/>
        <v/>
      </c>
      <c r="C359" s="37" t="str">
        <f>ifs($A359=FALSE,"",$A359,VLOOKUP($A359,SCAN!$A:$C,3,0))</f>
        <v/>
      </c>
      <c r="D359" s="36" t="str">
        <f>ifs($A359=FALSE,"",$A359,VLOOKUP($A359,SCAN!$A:$D,4,0))</f>
        <v/>
      </c>
      <c r="E359" s="38" t="str">
        <f>ifs($A359=FALSE,"",$A359,VLOOKUP($A359,SCAN!$A:$C,2,0))</f>
        <v/>
      </c>
      <c r="F359" s="39"/>
      <c r="G359" s="38" t="str">
        <f t="shared" si="2"/>
        <v/>
      </c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ht="15.75" customHeight="1">
      <c r="A360" s="40"/>
      <c r="B360" s="36" t="str">
        <f t="shared" si="1"/>
        <v/>
      </c>
      <c r="C360" s="37" t="str">
        <f>ifs($A360=FALSE,"",$A360,VLOOKUP($A360,SCAN!$A:$C,3,0))</f>
        <v/>
      </c>
      <c r="D360" s="36" t="str">
        <f>ifs($A360=FALSE,"",$A360,VLOOKUP($A360,SCAN!$A:$D,4,0))</f>
        <v/>
      </c>
      <c r="E360" s="38" t="str">
        <f>ifs($A360=FALSE,"",$A360,VLOOKUP($A360,SCAN!$A:$C,2,0))</f>
        <v/>
      </c>
      <c r="F360" s="39"/>
      <c r="G360" s="38" t="str">
        <f t="shared" si="2"/>
        <v/>
      </c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ht="15.75" customHeight="1">
      <c r="A361" s="40"/>
      <c r="B361" s="36" t="str">
        <f t="shared" si="1"/>
        <v/>
      </c>
      <c r="C361" s="37" t="str">
        <f>ifs($A361=FALSE,"",$A361,VLOOKUP($A361,SCAN!$A:$C,3,0))</f>
        <v/>
      </c>
      <c r="D361" s="36" t="str">
        <f>ifs($A361=FALSE,"",$A361,VLOOKUP($A361,SCAN!$A:$D,4,0))</f>
        <v/>
      </c>
      <c r="E361" s="38" t="str">
        <f>ifs($A361=FALSE,"",$A361,VLOOKUP($A361,SCAN!$A:$C,2,0))</f>
        <v/>
      </c>
      <c r="F361" s="39"/>
      <c r="G361" s="38" t="str">
        <f t="shared" si="2"/>
        <v/>
      </c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ht="15.75" customHeight="1">
      <c r="A362" s="40"/>
      <c r="B362" s="36" t="str">
        <f t="shared" si="1"/>
        <v/>
      </c>
      <c r="C362" s="37" t="str">
        <f>ifs($A362=FALSE,"",$A362,VLOOKUP($A362,SCAN!$A:$C,3,0))</f>
        <v/>
      </c>
      <c r="D362" s="36" t="str">
        <f>ifs($A362=FALSE,"",$A362,VLOOKUP($A362,SCAN!$A:$D,4,0))</f>
        <v/>
      </c>
      <c r="E362" s="38" t="str">
        <f>ifs($A362=FALSE,"",$A362,VLOOKUP($A362,SCAN!$A:$C,2,0))</f>
        <v/>
      </c>
      <c r="F362" s="39"/>
      <c r="G362" s="38" t="str">
        <f t="shared" si="2"/>
        <v/>
      </c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ht="15.75" customHeight="1">
      <c r="A363" s="40"/>
      <c r="B363" s="36" t="str">
        <f t="shared" si="1"/>
        <v/>
      </c>
      <c r="C363" s="37" t="str">
        <f>ifs($A363=FALSE,"",$A363,VLOOKUP($A363,SCAN!$A:$C,3,0))</f>
        <v/>
      </c>
      <c r="D363" s="36" t="str">
        <f>ifs($A363=FALSE,"",$A363,VLOOKUP($A363,SCAN!$A:$D,4,0))</f>
        <v/>
      </c>
      <c r="E363" s="38" t="str">
        <f>ifs($A363=FALSE,"",$A363,VLOOKUP($A363,SCAN!$A:$C,2,0))</f>
        <v/>
      </c>
      <c r="F363" s="39"/>
      <c r="G363" s="38" t="str">
        <f t="shared" si="2"/>
        <v/>
      </c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ht="15.75" customHeight="1">
      <c r="A364" s="40"/>
      <c r="B364" s="36" t="str">
        <f t="shared" si="1"/>
        <v/>
      </c>
      <c r="C364" s="37" t="str">
        <f>ifs($A364=FALSE,"",$A364,VLOOKUP($A364,SCAN!$A:$C,3,0))</f>
        <v/>
      </c>
      <c r="D364" s="36" t="str">
        <f>ifs($A364=FALSE,"",$A364,VLOOKUP($A364,SCAN!$A:$D,4,0))</f>
        <v/>
      </c>
      <c r="E364" s="38" t="str">
        <f>ifs($A364=FALSE,"",$A364,VLOOKUP($A364,SCAN!$A:$C,2,0))</f>
        <v/>
      </c>
      <c r="F364" s="39"/>
      <c r="G364" s="38" t="str">
        <f t="shared" si="2"/>
        <v/>
      </c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ht="15.75" customHeight="1">
      <c r="A365" s="40"/>
      <c r="B365" s="36" t="str">
        <f t="shared" si="1"/>
        <v/>
      </c>
      <c r="C365" s="37" t="str">
        <f>ifs($A365=FALSE,"",$A365,VLOOKUP($A365,SCAN!$A:$C,3,0))</f>
        <v/>
      </c>
      <c r="D365" s="36" t="str">
        <f>ifs($A365=FALSE,"",$A365,VLOOKUP($A365,SCAN!$A:$D,4,0))</f>
        <v/>
      </c>
      <c r="E365" s="38" t="str">
        <f>ifs($A365=FALSE,"",$A365,VLOOKUP($A365,SCAN!$A:$C,2,0))</f>
        <v/>
      </c>
      <c r="F365" s="39"/>
      <c r="G365" s="38" t="str">
        <f t="shared" si="2"/>
        <v/>
      </c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ht="15.75" customHeight="1">
      <c r="A366" s="40"/>
      <c r="B366" s="36" t="str">
        <f t="shared" si="1"/>
        <v/>
      </c>
      <c r="C366" s="37" t="str">
        <f>ifs($A366=FALSE,"",$A366,VLOOKUP($A366,SCAN!$A:$C,3,0))</f>
        <v/>
      </c>
      <c r="D366" s="36" t="str">
        <f>ifs($A366=FALSE,"",$A366,VLOOKUP($A366,SCAN!$A:$D,4,0))</f>
        <v/>
      </c>
      <c r="E366" s="38" t="str">
        <f>ifs($A366=FALSE,"",$A366,VLOOKUP($A366,SCAN!$A:$C,2,0))</f>
        <v/>
      </c>
      <c r="F366" s="39"/>
      <c r="G366" s="38" t="str">
        <f t="shared" si="2"/>
        <v/>
      </c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ht="15.75" customHeight="1">
      <c r="A367" s="40"/>
      <c r="B367" s="36" t="str">
        <f t="shared" si="1"/>
        <v/>
      </c>
      <c r="C367" s="37" t="str">
        <f>ifs($A367=FALSE,"",$A367,VLOOKUP($A367,SCAN!$A:$C,3,0))</f>
        <v/>
      </c>
      <c r="D367" s="36" t="str">
        <f>ifs($A367=FALSE,"",$A367,VLOOKUP($A367,SCAN!$A:$D,4,0))</f>
        <v/>
      </c>
      <c r="E367" s="38" t="str">
        <f>ifs($A367=FALSE,"",$A367,VLOOKUP($A367,SCAN!$A:$C,2,0))</f>
        <v/>
      </c>
      <c r="F367" s="39"/>
      <c r="G367" s="38" t="str">
        <f t="shared" si="2"/>
        <v/>
      </c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ht="15.75" customHeight="1">
      <c r="A368" s="40"/>
      <c r="B368" s="36" t="str">
        <f t="shared" si="1"/>
        <v/>
      </c>
      <c r="C368" s="37" t="str">
        <f>ifs($A368=FALSE,"",$A368,VLOOKUP($A368,SCAN!$A:$C,3,0))</f>
        <v/>
      </c>
      <c r="D368" s="36" t="str">
        <f>ifs($A368=FALSE,"",$A368,VLOOKUP($A368,SCAN!$A:$D,4,0))</f>
        <v/>
      </c>
      <c r="E368" s="38" t="str">
        <f>ifs($A368=FALSE,"",$A368,VLOOKUP($A368,SCAN!$A:$C,2,0))</f>
        <v/>
      </c>
      <c r="F368" s="39"/>
      <c r="G368" s="38" t="str">
        <f t="shared" si="2"/>
        <v/>
      </c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ht="15.75" customHeight="1">
      <c r="A369" s="40"/>
      <c r="B369" s="36" t="str">
        <f t="shared" si="1"/>
        <v/>
      </c>
      <c r="C369" s="37" t="str">
        <f>ifs($A369=FALSE,"",$A369,VLOOKUP($A369,SCAN!$A:$C,3,0))</f>
        <v/>
      </c>
      <c r="D369" s="36" t="str">
        <f>ifs($A369=FALSE,"",$A369,VLOOKUP($A369,SCAN!$A:$D,4,0))</f>
        <v/>
      </c>
      <c r="E369" s="38" t="str">
        <f>ifs($A369=FALSE,"",$A369,VLOOKUP($A369,SCAN!$A:$C,2,0))</f>
        <v/>
      </c>
      <c r="F369" s="39"/>
      <c r="G369" s="38" t="str">
        <f t="shared" si="2"/>
        <v/>
      </c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ht="15.75" customHeight="1">
      <c r="A370" s="40"/>
      <c r="B370" s="36" t="str">
        <f t="shared" si="1"/>
        <v/>
      </c>
      <c r="C370" s="37" t="str">
        <f>ifs($A370=FALSE,"",$A370,VLOOKUP($A370,SCAN!$A:$C,3,0))</f>
        <v/>
      </c>
      <c r="D370" s="36" t="str">
        <f>ifs($A370=FALSE,"",$A370,VLOOKUP($A370,SCAN!$A:$D,4,0))</f>
        <v/>
      </c>
      <c r="E370" s="38" t="str">
        <f>ifs($A370=FALSE,"",$A370,VLOOKUP($A370,SCAN!$A:$C,2,0))</f>
        <v/>
      </c>
      <c r="F370" s="39"/>
      <c r="G370" s="38" t="str">
        <f t="shared" si="2"/>
        <v/>
      </c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ht="15.75" customHeight="1">
      <c r="A371" s="40"/>
      <c r="B371" s="36" t="str">
        <f t="shared" si="1"/>
        <v/>
      </c>
      <c r="C371" s="37" t="str">
        <f>ifs($A371=FALSE,"",$A371,VLOOKUP($A371,SCAN!$A:$C,3,0))</f>
        <v/>
      </c>
      <c r="D371" s="36" t="str">
        <f>ifs($A371=FALSE,"",$A371,VLOOKUP($A371,SCAN!$A:$D,4,0))</f>
        <v/>
      </c>
      <c r="E371" s="38" t="str">
        <f>ifs($A371=FALSE,"",$A371,VLOOKUP($A371,SCAN!$A:$C,2,0))</f>
        <v/>
      </c>
      <c r="F371" s="39"/>
      <c r="G371" s="38" t="str">
        <f t="shared" si="2"/>
        <v/>
      </c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ht="15.75" customHeight="1">
      <c r="A372" s="40"/>
      <c r="B372" s="36" t="str">
        <f t="shared" si="1"/>
        <v/>
      </c>
      <c r="C372" s="37" t="str">
        <f>ifs($A372=FALSE,"",$A372,VLOOKUP($A372,SCAN!$A:$C,3,0))</f>
        <v/>
      </c>
      <c r="D372" s="36" t="str">
        <f>ifs($A372=FALSE,"",$A372,VLOOKUP($A372,SCAN!$A:$D,4,0))</f>
        <v/>
      </c>
      <c r="E372" s="38" t="str">
        <f>ifs($A372=FALSE,"",$A372,VLOOKUP($A372,SCAN!$A:$C,2,0))</f>
        <v/>
      </c>
      <c r="F372" s="39"/>
      <c r="G372" s="38" t="str">
        <f t="shared" si="2"/>
        <v/>
      </c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ht="15.75" customHeight="1">
      <c r="A373" s="40"/>
      <c r="B373" s="36" t="str">
        <f t="shared" si="1"/>
        <v/>
      </c>
      <c r="C373" s="37" t="str">
        <f>ifs($A373=FALSE,"",$A373,VLOOKUP($A373,SCAN!$A:$C,3,0))</f>
        <v/>
      </c>
      <c r="D373" s="36" t="str">
        <f>ifs($A373=FALSE,"",$A373,VLOOKUP($A373,SCAN!$A:$D,4,0))</f>
        <v/>
      </c>
      <c r="E373" s="38" t="str">
        <f>ifs($A373=FALSE,"",$A373,VLOOKUP($A373,SCAN!$A:$C,2,0))</f>
        <v/>
      </c>
      <c r="F373" s="39"/>
      <c r="G373" s="38" t="str">
        <f t="shared" si="2"/>
        <v/>
      </c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ht="15.75" customHeight="1">
      <c r="A374" s="40"/>
      <c r="B374" s="36" t="str">
        <f t="shared" si="1"/>
        <v/>
      </c>
      <c r="C374" s="37" t="str">
        <f>ifs($A374=FALSE,"",$A374,VLOOKUP($A374,SCAN!$A:$C,3,0))</f>
        <v/>
      </c>
      <c r="D374" s="36" t="str">
        <f>ifs($A374=FALSE,"",$A374,VLOOKUP($A374,SCAN!$A:$D,4,0))</f>
        <v/>
      </c>
      <c r="E374" s="38" t="str">
        <f>ifs($A374=FALSE,"",$A374,VLOOKUP($A374,SCAN!$A:$C,2,0))</f>
        <v/>
      </c>
      <c r="F374" s="39"/>
      <c r="G374" s="38" t="str">
        <f t="shared" si="2"/>
        <v/>
      </c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ht="15.75" customHeight="1">
      <c r="A375" s="40"/>
      <c r="B375" s="36" t="str">
        <f t="shared" si="1"/>
        <v/>
      </c>
      <c r="C375" s="37" t="str">
        <f>ifs($A375=FALSE,"",$A375,VLOOKUP($A375,SCAN!$A:$C,3,0))</f>
        <v/>
      </c>
      <c r="D375" s="36" t="str">
        <f>ifs($A375=FALSE,"",$A375,VLOOKUP($A375,SCAN!$A:$D,4,0))</f>
        <v/>
      </c>
      <c r="E375" s="38" t="str">
        <f>ifs($A375=FALSE,"",$A375,VLOOKUP($A375,SCAN!$A:$C,2,0))</f>
        <v/>
      </c>
      <c r="F375" s="39"/>
      <c r="G375" s="38" t="str">
        <f t="shared" si="2"/>
        <v/>
      </c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ht="15.75" customHeight="1">
      <c r="A376" s="40"/>
      <c r="B376" s="36" t="str">
        <f t="shared" si="1"/>
        <v/>
      </c>
      <c r="C376" s="37" t="str">
        <f>ifs($A376=FALSE,"",$A376,VLOOKUP($A376,SCAN!$A:$C,3,0))</f>
        <v/>
      </c>
      <c r="D376" s="36" t="str">
        <f>ifs($A376=FALSE,"",$A376,VLOOKUP($A376,SCAN!$A:$D,4,0))</f>
        <v/>
      </c>
      <c r="E376" s="38" t="str">
        <f>ifs($A376=FALSE,"",$A376,VLOOKUP($A376,SCAN!$A:$C,2,0))</f>
        <v/>
      </c>
      <c r="F376" s="39"/>
      <c r="G376" s="38" t="str">
        <f t="shared" si="2"/>
        <v/>
      </c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ht="15.75" customHeight="1">
      <c r="A377" s="40"/>
      <c r="B377" s="36" t="str">
        <f t="shared" si="1"/>
        <v/>
      </c>
      <c r="C377" s="37" t="str">
        <f>ifs($A377=FALSE,"",$A377,VLOOKUP($A377,SCAN!$A:$C,3,0))</f>
        <v/>
      </c>
      <c r="D377" s="36" t="str">
        <f>ifs($A377=FALSE,"",$A377,VLOOKUP($A377,SCAN!$A:$D,4,0))</f>
        <v/>
      </c>
      <c r="E377" s="38" t="str">
        <f>ifs($A377=FALSE,"",$A377,VLOOKUP($A377,SCAN!$A:$C,2,0))</f>
        <v/>
      </c>
      <c r="F377" s="39"/>
      <c r="G377" s="38" t="str">
        <f t="shared" si="2"/>
        <v/>
      </c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ht="15.75" customHeight="1">
      <c r="A378" s="40"/>
      <c r="B378" s="36" t="str">
        <f t="shared" si="1"/>
        <v/>
      </c>
      <c r="C378" s="37" t="str">
        <f>ifs($A378=FALSE,"",$A378,VLOOKUP($A378,SCAN!$A:$C,3,0))</f>
        <v/>
      </c>
      <c r="D378" s="36" t="str">
        <f>ifs($A378=FALSE,"",$A378,VLOOKUP($A378,SCAN!$A:$D,4,0))</f>
        <v/>
      </c>
      <c r="E378" s="38" t="str">
        <f>ifs($A378=FALSE,"",$A378,VLOOKUP($A378,SCAN!$A:$C,2,0))</f>
        <v/>
      </c>
      <c r="F378" s="39"/>
      <c r="G378" s="38" t="str">
        <f t="shared" si="2"/>
        <v/>
      </c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ht="15.75" customHeight="1">
      <c r="A379" s="40"/>
      <c r="B379" s="36" t="str">
        <f t="shared" si="1"/>
        <v/>
      </c>
      <c r="C379" s="37" t="str">
        <f>ifs($A379=FALSE,"",$A379,VLOOKUP($A379,SCAN!$A:$C,3,0))</f>
        <v/>
      </c>
      <c r="D379" s="36" t="str">
        <f>ifs($A379=FALSE,"",$A379,VLOOKUP($A379,SCAN!$A:$D,4,0))</f>
        <v/>
      </c>
      <c r="E379" s="38" t="str">
        <f>ifs($A379=FALSE,"",$A379,VLOOKUP($A379,SCAN!$A:$C,2,0))</f>
        <v/>
      </c>
      <c r="F379" s="39"/>
      <c r="G379" s="38" t="str">
        <f t="shared" si="2"/>
        <v/>
      </c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ht="15.75" customHeight="1">
      <c r="A380" s="40"/>
      <c r="B380" s="36" t="str">
        <f t="shared" si="1"/>
        <v/>
      </c>
      <c r="C380" s="37" t="str">
        <f>ifs($A380=FALSE,"",$A380,VLOOKUP($A380,SCAN!$A:$C,3,0))</f>
        <v/>
      </c>
      <c r="D380" s="36" t="str">
        <f>ifs($A380=FALSE,"",$A380,VLOOKUP($A380,SCAN!$A:$D,4,0))</f>
        <v/>
      </c>
      <c r="E380" s="38" t="str">
        <f>ifs($A380=FALSE,"",$A380,VLOOKUP($A380,SCAN!$A:$C,2,0))</f>
        <v/>
      </c>
      <c r="F380" s="39"/>
      <c r="G380" s="38" t="str">
        <f t="shared" si="2"/>
        <v/>
      </c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ht="15.75" customHeight="1">
      <c r="A381" s="40"/>
      <c r="B381" s="36" t="str">
        <f t="shared" si="1"/>
        <v/>
      </c>
      <c r="C381" s="37" t="str">
        <f>ifs($A381=FALSE,"",$A381,VLOOKUP($A381,SCAN!$A:$C,3,0))</f>
        <v/>
      </c>
      <c r="D381" s="36" t="str">
        <f>ifs($A381=FALSE,"",$A381,VLOOKUP($A381,SCAN!$A:$D,4,0))</f>
        <v/>
      </c>
      <c r="E381" s="38" t="str">
        <f>ifs($A381=FALSE,"",$A381,VLOOKUP($A381,SCAN!$A:$C,2,0))</f>
        <v/>
      </c>
      <c r="F381" s="39"/>
      <c r="G381" s="38" t="str">
        <f t="shared" si="2"/>
        <v/>
      </c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ht="15.75" customHeight="1">
      <c r="A382" s="40"/>
      <c r="B382" s="36" t="str">
        <f t="shared" si="1"/>
        <v/>
      </c>
      <c r="C382" s="37" t="str">
        <f>ifs($A382=FALSE,"",$A382,VLOOKUP($A382,SCAN!$A:$C,3,0))</f>
        <v/>
      </c>
      <c r="D382" s="36" t="str">
        <f>ifs($A382=FALSE,"",$A382,VLOOKUP($A382,SCAN!$A:$D,4,0))</f>
        <v/>
      </c>
      <c r="E382" s="38" t="str">
        <f>ifs($A382=FALSE,"",$A382,VLOOKUP($A382,SCAN!$A:$C,2,0))</f>
        <v/>
      </c>
      <c r="F382" s="39"/>
      <c r="G382" s="38" t="str">
        <f t="shared" si="2"/>
        <v/>
      </c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ht="15.75" customHeight="1">
      <c r="A383" s="40"/>
      <c r="B383" s="36" t="str">
        <f t="shared" si="1"/>
        <v/>
      </c>
      <c r="C383" s="37" t="str">
        <f>ifs($A383=FALSE,"",$A383,VLOOKUP($A383,SCAN!$A:$C,3,0))</f>
        <v/>
      </c>
      <c r="D383" s="36" t="str">
        <f>ifs($A383=FALSE,"",$A383,VLOOKUP($A383,SCAN!$A:$D,4,0))</f>
        <v/>
      </c>
      <c r="E383" s="38" t="str">
        <f>ifs($A383=FALSE,"",$A383,VLOOKUP($A383,SCAN!$A:$C,2,0))</f>
        <v/>
      </c>
      <c r="F383" s="39"/>
      <c r="G383" s="38" t="str">
        <f t="shared" si="2"/>
        <v/>
      </c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ht="15.75" customHeight="1">
      <c r="A384" s="40"/>
      <c r="B384" s="36" t="str">
        <f t="shared" si="1"/>
        <v/>
      </c>
      <c r="C384" s="37" t="str">
        <f>ifs($A384=FALSE,"",$A384,VLOOKUP($A384,SCAN!$A:$C,3,0))</f>
        <v/>
      </c>
      <c r="D384" s="36" t="str">
        <f>ifs($A384=FALSE,"",$A384,VLOOKUP($A384,SCAN!$A:$D,4,0))</f>
        <v/>
      </c>
      <c r="E384" s="38" t="str">
        <f>ifs($A384=FALSE,"",$A384,VLOOKUP($A384,SCAN!$A:$C,2,0))</f>
        <v/>
      </c>
      <c r="F384" s="39"/>
      <c r="G384" s="38" t="str">
        <f t="shared" si="2"/>
        <v/>
      </c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ht="15.75" customHeight="1">
      <c r="A385" s="40"/>
      <c r="B385" s="36" t="str">
        <f t="shared" si="1"/>
        <v/>
      </c>
      <c r="C385" s="37" t="str">
        <f>ifs($A385=FALSE,"",$A385,VLOOKUP($A385,SCAN!$A:$C,3,0))</f>
        <v/>
      </c>
      <c r="D385" s="36" t="str">
        <f>ifs($A385=FALSE,"",$A385,VLOOKUP($A385,SCAN!$A:$D,4,0))</f>
        <v/>
      </c>
      <c r="E385" s="38" t="str">
        <f>ifs($A385=FALSE,"",$A385,VLOOKUP($A385,SCAN!$A:$C,2,0))</f>
        <v/>
      </c>
      <c r="F385" s="39"/>
      <c r="G385" s="38" t="str">
        <f t="shared" si="2"/>
        <v/>
      </c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ht="15.75" customHeight="1">
      <c r="A386" s="40"/>
      <c r="B386" s="36" t="str">
        <f t="shared" si="1"/>
        <v/>
      </c>
      <c r="C386" s="37" t="str">
        <f>ifs($A386=FALSE,"",$A386,VLOOKUP($A386,SCAN!$A:$C,3,0))</f>
        <v/>
      </c>
      <c r="D386" s="36" t="str">
        <f>ifs($A386=FALSE,"",$A386,VLOOKUP($A386,SCAN!$A:$D,4,0))</f>
        <v/>
      </c>
      <c r="E386" s="38" t="str">
        <f>ifs($A386=FALSE,"",$A386,VLOOKUP($A386,SCAN!$A:$C,2,0))</f>
        <v/>
      </c>
      <c r="F386" s="39"/>
      <c r="G386" s="38" t="str">
        <f t="shared" si="2"/>
        <v/>
      </c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ht="15.75" customHeight="1">
      <c r="A387" s="40"/>
      <c r="B387" s="36" t="str">
        <f t="shared" si="1"/>
        <v/>
      </c>
      <c r="C387" s="37" t="str">
        <f>ifs($A387=FALSE,"",$A387,VLOOKUP($A387,SCAN!$A:$C,3,0))</f>
        <v/>
      </c>
      <c r="D387" s="36" t="str">
        <f>ifs($A387=FALSE,"",$A387,VLOOKUP($A387,SCAN!$A:$D,4,0))</f>
        <v/>
      </c>
      <c r="E387" s="38" t="str">
        <f>ifs($A387=FALSE,"",$A387,VLOOKUP($A387,SCAN!$A:$C,2,0))</f>
        <v/>
      </c>
      <c r="F387" s="39"/>
      <c r="G387" s="38" t="str">
        <f t="shared" si="2"/>
        <v/>
      </c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ht="15.75" customHeight="1">
      <c r="A388" s="40"/>
      <c r="B388" s="36" t="str">
        <f t="shared" si="1"/>
        <v/>
      </c>
      <c r="C388" s="37" t="str">
        <f>ifs($A388=FALSE,"",$A388,VLOOKUP($A388,SCAN!$A:$C,3,0))</f>
        <v/>
      </c>
      <c r="D388" s="36" t="str">
        <f>ifs($A388=FALSE,"",$A388,VLOOKUP($A388,SCAN!$A:$D,4,0))</f>
        <v/>
      </c>
      <c r="E388" s="38" t="str">
        <f>ifs($A388=FALSE,"",$A388,VLOOKUP($A388,SCAN!$A:$C,2,0))</f>
        <v/>
      </c>
      <c r="F388" s="39"/>
      <c r="G388" s="38" t="str">
        <f t="shared" si="2"/>
        <v/>
      </c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ht="15.75" customHeight="1">
      <c r="A389" s="40"/>
      <c r="B389" s="36" t="str">
        <f t="shared" si="1"/>
        <v/>
      </c>
      <c r="C389" s="37" t="str">
        <f>ifs($A389=FALSE,"",$A389,VLOOKUP($A389,SCAN!$A:$C,3,0))</f>
        <v/>
      </c>
      <c r="D389" s="36" t="str">
        <f>ifs($A389=FALSE,"",$A389,VLOOKUP($A389,SCAN!$A:$D,4,0))</f>
        <v/>
      </c>
      <c r="E389" s="38" t="str">
        <f>ifs($A389=FALSE,"",$A389,VLOOKUP($A389,SCAN!$A:$C,2,0))</f>
        <v/>
      </c>
      <c r="F389" s="39"/>
      <c r="G389" s="38" t="str">
        <f t="shared" si="2"/>
        <v/>
      </c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ht="15.75" customHeight="1">
      <c r="A390" s="40"/>
      <c r="B390" s="36" t="str">
        <f t="shared" si="1"/>
        <v/>
      </c>
      <c r="C390" s="37" t="str">
        <f>ifs($A390=FALSE,"",$A390,VLOOKUP($A390,SCAN!$A:$C,3,0))</f>
        <v/>
      </c>
      <c r="D390" s="36" t="str">
        <f>ifs($A390=FALSE,"",$A390,VLOOKUP($A390,SCAN!$A:$D,4,0))</f>
        <v/>
      </c>
      <c r="E390" s="38" t="str">
        <f>ifs($A390=FALSE,"",$A390,VLOOKUP($A390,SCAN!$A:$C,2,0))</f>
        <v/>
      </c>
      <c r="F390" s="39"/>
      <c r="G390" s="38" t="str">
        <f t="shared" si="2"/>
        <v/>
      </c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ht="15.75" customHeight="1">
      <c r="A391" s="40"/>
      <c r="B391" s="36" t="str">
        <f t="shared" si="1"/>
        <v/>
      </c>
      <c r="C391" s="37" t="str">
        <f>ifs($A391=FALSE,"",$A391,VLOOKUP($A391,SCAN!$A:$C,3,0))</f>
        <v/>
      </c>
      <c r="D391" s="36" t="str">
        <f>ifs($A391=FALSE,"",$A391,VLOOKUP($A391,SCAN!$A:$D,4,0))</f>
        <v/>
      </c>
      <c r="E391" s="38" t="str">
        <f>ifs($A391=FALSE,"",$A391,VLOOKUP($A391,SCAN!$A:$C,2,0))</f>
        <v/>
      </c>
      <c r="F391" s="39"/>
      <c r="G391" s="38" t="str">
        <f t="shared" si="2"/>
        <v/>
      </c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ht="15.75" customHeight="1">
      <c r="A392" s="40"/>
      <c r="B392" s="36" t="str">
        <f t="shared" si="1"/>
        <v/>
      </c>
      <c r="C392" s="37" t="str">
        <f>ifs($A392=FALSE,"",$A392,VLOOKUP($A392,SCAN!$A:$C,3,0))</f>
        <v/>
      </c>
      <c r="D392" s="36" t="str">
        <f>ifs($A392=FALSE,"",$A392,VLOOKUP($A392,SCAN!$A:$D,4,0))</f>
        <v/>
      </c>
      <c r="E392" s="38" t="str">
        <f>ifs($A392=FALSE,"",$A392,VLOOKUP($A392,SCAN!$A:$C,2,0))</f>
        <v/>
      </c>
      <c r="F392" s="39"/>
      <c r="G392" s="38" t="str">
        <f t="shared" si="2"/>
        <v/>
      </c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ht="15.75" customHeight="1">
      <c r="A393" s="40"/>
      <c r="B393" s="36" t="str">
        <f t="shared" si="1"/>
        <v/>
      </c>
      <c r="C393" s="37" t="str">
        <f>ifs($A393=FALSE,"",$A393,VLOOKUP($A393,SCAN!$A:$C,3,0))</f>
        <v/>
      </c>
      <c r="D393" s="36" t="str">
        <f>ifs($A393=FALSE,"",$A393,VLOOKUP($A393,SCAN!$A:$D,4,0))</f>
        <v/>
      </c>
      <c r="E393" s="38" t="str">
        <f>ifs($A393=FALSE,"",$A393,VLOOKUP($A393,SCAN!$A:$C,2,0))</f>
        <v/>
      </c>
      <c r="F393" s="39"/>
      <c r="G393" s="38" t="str">
        <f t="shared" si="2"/>
        <v/>
      </c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ht="15.75" customHeight="1">
      <c r="A394" s="40"/>
      <c r="B394" s="36" t="str">
        <f t="shared" si="1"/>
        <v/>
      </c>
      <c r="C394" s="37" t="str">
        <f>ifs($A394=FALSE,"",$A394,VLOOKUP($A394,SCAN!$A:$C,3,0))</f>
        <v/>
      </c>
      <c r="D394" s="36" t="str">
        <f>ifs($A394=FALSE,"",$A394,VLOOKUP($A394,SCAN!$A:$D,4,0))</f>
        <v/>
      </c>
      <c r="E394" s="38" t="str">
        <f>ifs($A394=FALSE,"",$A394,VLOOKUP($A394,SCAN!$A:$C,2,0))</f>
        <v/>
      </c>
      <c r="F394" s="39"/>
      <c r="G394" s="38" t="str">
        <f t="shared" si="2"/>
        <v/>
      </c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ht="15.75" customHeight="1">
      <c r="A395" s="40"/>
      <c r="B395" s="36" t="str">
        <f t="shared" si="1"/>
        <v/>
      </c>
      <c r="C395" s="37" t="str">
        <f>ifs($A395=FALSE,"",$A395,VLOOKUP($A395,SCAN!$A:$C,3,0))</f>
        <v/>
      </c>
      <c r="D395" s="36" t="str">
        <f>ifs($A395=FALSE,"",$A395,VLOOKUP($A395,SCAN!$A:$D,4,0))</f>
        <v/>
      </c>
      <c r="E395" s="38" t="str">
        <f>ifs($A395=FALSE,"",$A395,VLOOKUP($A395,SCAN!$A:$C,2,0))</f>
        <v/>
      </c>
      <c r="F395" s="39"/>
      <c r="G395" s="38" t="str">
        <f t="shared" si="2"/>
        <v/>
      </c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ht="15.75" customHeight="1">
      <c r="A396" s="40"/>
      <c r="B396" s="36" t="str">
        <f t="shared" si="1"/>
        <v/>
      </c>
      <c r="C396" s="37" t="str">
        <f>ifs($A396=FALSE,"",$A396,VLOOKUP($A396,SCAN!$A:$C,3,0))</f>
        <v/>
      </c>
      <c r="D396" s="36" t="str">
        <f>ifs($A396=FALSE,"",$A396,VLOOKUP($A396,SCAN!$A:$D,4,0))</f>
        <v/>
      </c>
      <c r="E396" s="38" t="str">
        <f>ifs($A396=FALSE,"",$A396,VLOOKUP($A396,SCAN!$A:$C,2,0))</f>
        <v/>
      </c>
      <c r="F396" s="39"/>
      <c r="G396" s="38" t="str">
        <f t="shared" si="2"/>
        <v/>
      </c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ht="15.75" customHeight="1">
      <c r="A397" s="40"/>
      <c r="B397" s="36" t="str">
        <f t="shared" si="1"/>
        <v/>
      </c>
      <c r="C397" s="37" t="str">
        <f>ifs($A397=FALSE,"",$A397,VLOOKUP($A397,SCAN!$A:$C,3,0))</f>
        <v/>
      </c>
      <c r="D397" s="36" t="str">
        <f>ifs($A397=FALSE,"",$A397,VLOOKUP($A397,SCAN!$A:$D,4,0))</f>
        <v/>
      </c>
      <c r="E397" s="38" t="str">
        <f>ifs($A397=FALSE,"",$A397,VLOOKUP($A397,SCAN!$A:$C,2,0))</f>
        <v/>
      </c>
      <c r="F397" s="39"/>
      <c r="G397" s="38" t="str">
        <f t="shared" si="2"/>
        <v/>
      </c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ht="15.75" customHeight="1">
      <c r="A398" s="40"/>
      <c r="B398" s="36" t="str">
        <f t="shared" si="1"/>
        <v/>
      </c>
      <c r="C398" s="37" t="str">
        <f>ifs($A398=FALSE,"",$A398,VLOOKUP($A398,SCAN!$A:$C,3,0))</f>
        <v/>
      </c>
      <c r="D398" s="36" t="str">
        <f>ifs($A398=FALSE,"",$A398,VLOOKUP($A398,SCAN!$A:$D,4,0))</f>
        <v/>
      </c>
      <c r="E398" s="38" t="str">
        <f>ifs($A398=FALSE,"",$A398,VLOOKUP($A398,SCAN!$A:$C,2,0))</f>
        <v/>
      </c>
      <c r="F398" s="39"/>
      <c r="G398" s="38" t="str">
        <f t="shared" si="2"/>
        <v/>
      </c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ht="15.75" customHeight="1">
      <c r="A399" s="40"/>
      <c r="B399" s="36" t="str">
        <f t="shared" si="1"/>
        <v/>
      </c>
      <c r="C399" s="37" t="str">
        <f>ifs($A399=FALSE,"",$A399,VLOOKUP($A399,SCAN!$A:$C,3,0))</f>
        <v/>
      </c>
      <c r="D399" s="36" t="str">
        <f>ifs($A399=FALSE,"",$A399,VLOOKUP($A399,SCAN!$A:$D,4,0))</f>
        <v/>
      </c>
      <c r="E399" s="38" t="str">
        <f>ifs($A399=FALSE,"",$A399,VLOOKUP($A399,SCAN!$A:$C,2,0))</f>
        <v/>
      </c>
      <c r="F399" s="39"/>
      <c r="G399" s="38" t="str">
        <f t="shared" si="2"/>
        <v/>
      </c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ht="15.75" customHeight="1">
      <c r="A400" s="40"/>
      <c r="B400" s="36" t="str">
        <f t="shared" si="1"/>
        <v/>
      </c>
      <c r="C400" s="37" t="str">
        <f>ifs($A400=FALSE,"",$A400,VLOOKUP($A400,SCAN!$A:$C,3,0))</f>
        <v/>
      </c>
      <c r="D400" s="36" t="str">
        <f>ifs($A400=FALSE,"",$A400,VLOOKUP($A400,SCAN!$A:$D,4,0))</f>
        <v/>
      </c>
      <c r="E400" s="38" t="str">
        <f>ifs($A400=FALSE,"",$A400,VLOOKUP($A400,SCAN!$A:$C,2,0))</f>
        <v/>
      </c>
      <c r="F400" s="39"/>
      <c r="G400" s="38" t="str">
        <f t="shared" si="2"/>
        <v/>
      </c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ht="15.75" customHeight="1">
      <c r="A401" s="40"/>
      <c r="B401" s="36" t="str">
        <f t="shared" si="1"/>
        <v/>
      </c>
      <c r="C401" s="37" t="str">
        <f>ifs($A401=FALSE,"",$A401,VLOOKUP($A401,SCAN!$A:$C,3,0))</f>
        <v/>
      </c>
      <c r="D401" s="36" t="str">
        <f>ifs($A401=FALSE,"",$A401,VLOOKUP($A401,SCAN!$A:$D,4,0))</f>
        <v/>
      </c>
      <c r="E401" s="38" t="str">
        <f>ifs($A401=FALSE,"",$A401,VLOOKUP($A401,SCAN!$A:$C,2,0))</f>
        <v/>
      </c>
      <c r="F401" s="39"/>
      <c r="G401" s="38" t="str">
        <f t="shared" si="2"/>
        <v/>
      </c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ht="15.75" customHeight="1">
      <c r="A402" s="40"/>
      <c r="B402" s="36" t="str">
        <f t="shared" si="1"/>
        <v/>
      </c>
      <c r="C402" s="37" t="str">
        <f>ifs($A402=FALSE,"",$A402,VLOOKUP($A402,SCAN!$A:$C,3,0))</f>
        <v/>
      </c>
      <c r="D402" s="36" t="str">
        <f>ifs($A402=FALSE,"",$A402,VLOOKUP($A402,SCAN!$A:$D,4,0))</f>
        <v/>
      </c>
      <c r="E402" s="38" t="str">
        <f>ifs($A402=FALSE,"",$A402,VLOOKUP($A402,SCAN!$A:$C,2,0))</f>
        <v/>
      </c>
      <c r="F402" s="39"/>
      <c r="G402" s="38" t="str">
        <f t="shared" si="2"/>
        <v/>
      </c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ht="15.75" customHeight="1">
      <c r="A403" s="40"/>
      <c r="B403" s="36" t="str">
        <f t="shared" si="1"/>
        <v/>
      </c>
      <c r="C403" s="37" t="str">
        <f>ifs($A403=FALSE,"",$A403,VLOOKUP($A403,SCAN!$A:$C,3,0))</f>
        <v/>
      </c>
      <c r="D403" s="36" t="str">
        <f>ifs($A403=FALSE,"",$A403,VLOOKUP($A403,SCAN!$A:$D,4,0))</f>
        <v/>
      </c>
      <c r="E403" s="38" t="str">
        <f>ifs($A403=FALSE,"",$A403,VLOOKUP($A403,SCAN!$A:$C,2,0))</f>
        <v/>
      </c>
      <c r="F403" s="39"/>
      <c r="G403" s="38" t="str">
        <f t="shared" si="2"/>
        <v/>
      </c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ht="15.75" customHeight="1">
      <c r="A404" s="40"/>
      <c r="B404" s="36" t="str">
        <f t="shared" si="1"/>
        <v/>
      </c>
      <c r="C404" s="37" t="str">
        <f>ifs($A404=FALSE,"",$A404,VLOOKUP($A404,SCAN!$A:$C,3,0))</f>
        <v/>
      </c>
      <c r="D404" s="36" t="str">
        <f>ifs($A404=FALSE,"",$A404,VLOOKUP($A404,SCAN!$A:$D,4,0))</f>
        <v/>
      </c>
      <c r="E404" s="38" t="str">
        <f>ifs($A404=FALSE,"",$A404,VLOOKUP($A404,SCAN!$A:$C,2,0))</f>
        <v/>
      </c>
      <c r="F404" s="39"/>
      <c r="G404" s="38" t="str">
        <f t="shared" si="2"/>
        <v/>
      </c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ht="15.75" customHeight="1">
      <c r="A405" s="40"/>
      <c r="B405" s="36" t="str">
        <f t="shared" si="1"/>
        <v/>
      </c>
      <c r="C405" s="37" t="str">
        <f>ifs($A405=FALSE,"",$A405,VLOOKUP($A405,SCAN!$A:$C,3,0))</f>
        <v/>
      </c>
      <c r="D405" s="36" t="str">
        <f>ifs($A405=FALSE,"",$A405,VLOOKUP($A405,SCAN!$A:$D,4,0))</f>
        <v/>
      </c>
      <c r="E405" s="38" t="str">
        <f>ifs($A405=FALSE,"",$A405,VLOOKUP($A405,SCAN!$A:$C,2,0))</f>
        <v/>
      </c>
      <c r="F405" s="39"/>
      <c r="G405" s="38" t="str">
        <f t="shared" si="2"/>
        <v/>
      </c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ht="15.75" customHeight="1">
      <c r="A406" s="40"/>
      <c r="B406" s="36" t="str">
        <f t="shared" si="1"/>
        <v/>
      </c>
      <c r="C406" s="37" t="str">
        <f>ifs($A406=FALSE,"",$A406,VLOOKUP($A406,SCAN!$A:$C,3,0))</f>
        <v/>
      </c>
      <c r="D406" s="36" t="str">
        <f>ifs($A406=FALSE,"",$A406,VLOOKUP($A406,SCAN!$A:$D,4,0))</f>
        <v/>
      </c>
      <c r="E406" s="38" t="str">
        <f>ifs($A406=FALSE,"",$A406,VLOOKUP($A406,SCAN!$A:$C,2,0))</f>
        <v/>
      </c>
      <c r="F406" s="39"/>
      <c r="G406" s="38" t="str">
        <f t="shared" si="2"/>
        <v/>
      </c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ht="15.75" customHeight="1">
      <c r="A407" s="40"/>
      <c r="B407" s="36" t="str">
        <f t="shared" si="1"/>
        <v/>
      </c>
      <c r="C407" s="37" t="str">
        <f>ifs($A407=FALSE,"",$A407,VLOOKUP($A407,SCAN!$A:$C,3,0))</f>
        <v/>
      </c>
      <c r="D407" s="36" t="str">
        <f>ifs($A407=FALSE,"",$A407,VLOOKUP($A407,SCAN!$A:$D,4,0))</f>
        <v/>
      </c>
      <c r="E407" s="38" t="str">
        <f>ifs($A407=FALSE,"",$A407,VLOOKUP($A407,SCAN!$A:$C,2,0))</f>
        <v/>
      </c>
      <c r="F407" s="39"/>
      <c r="G407" s="38" t="str">
        <f t="shared" si="2"/>
        <v/>
      </c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ht="15.75" customHeight="1">
      <c r="A408" s="40"/>
      <c r="B408" s="36" t="str">
        <f t="shared" si="1"/>
        <v/>
      </c>
      <c r="C408" s="37" t="str">
        <f>ifs($A408=FALSE,"",$A408,VLOOKUP($A408,SCAN!$A:$C,3,0))</f>
        <v/>
      </c>
      <c r="D408" s="36" t="str">
        <f>ifs($A408=FALSE,"",$A408,VLOOKUP($A408,SCAN!$A:$D,4,0))</f>
        <v/>
      </c>
      <c r="E408" s="38" t="str">
        <f>ifs($A408=FALSE,"",$A408,VLOOKUP($A408,SCAN!$A:$C,2,0))</f>
        <v/>
      </c>
      <c r="F408" s="39"/>
      <c r="G408" s="38" t="str">
        <f t="shared" si="2"/>
        <v/>
      </c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ht="15.75" customHeight="1">
      <c r="A409" s="40"/>
      <c r="B409" s="36" t="str">
        <f t="shared" si="1"/>
        <v/>
      </c>
      <c r="C409" s="37" t="str">
        <f>ifs($A409=FALSE,"",$A409,VLOOKUP($A409,SCAN!$A:$C,3,0))</f>
        <v/>
      </c>
      <c r="D409" s="36" t="str">
        <f>ifs($A409=FALSE,"",$A409,VLOOKUP($A409,SCAN!$A:$D,4,0))</f>
        <v/>
      </c>
      <c r="E409" s="38" t="str">
        <f>ifs($A409=FALSE,"",$A409,VLOOKUP($A409,SCAN!$A:$C,2,0))</f>
        <v/>
      </c>
      <c r="F409" s="39"/>
      <c r="G409" s="38" t="str">
        <f t="shared" si="2"/>
        <v/>
      </c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ht="15.75" customHeight="1">
      <c r="A410" s="40"/>
      <c r="B410" s="36" t="str">
        <f t="shared" si="1"/>
        <v/>
      </c>
      <c r="C410" s="37" t="str">
        <f>ifs($A410=FALSE,"",$A410,VLOOKUP($A410,SCAN!$A:$C,3,0))</f>
        <v/>
      </c>
      <c r="D410" s="36" t="str">
        <f>ifs($A410=FALSE,"",$A410,VLOOKUP($A410,SCAN!$A:$D,4,0))</f>
        <v/>
      </c>
      <c r="E410" s="38" t="str">
        <f>ifs($A410=FALSE,"",$A410,VLOOKUP($A410,SCAN!$A:$C,2,0))</f>
        <v/>
      </c>
      <c r="F410" s="39"/>
      <c r="G410" s="38" t="str">
        <f t="shared" si="2"/>
        <v/>
      </c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ht="15.75" customHeight="1">
      <c r="A411" s="40"/>
      <c r="B411" s="36" t="str">
        <f t="shared" si="1"/>
        <v/>
      </c>
      <c r="C411" s="37" t="str">
        <f>ifs($A411=FALSE,"",$A411,VLOOKUP($A411,SCAN!$A:$C,3,0))</f>
        <v/>
      </c>
      <c r="D411" s="36" t="str">
        <f>ifs($A411=FALSE,"",$A411,VLOOKUP($A411,SCAN!$A:$D,4,0))</f>
        <v/>
      </c>
      <c r="E411" s="38" t="str">
        <f>ifs($A411=FALSE,"",$A411,VLOOKUP($A411,SCAN!$A:$C,2,0))</f>
        <v/>
      </c>
      <c r="F411" s="39"/>
      <c r="G411" s="38" t="str">
        <f t="shared" si="2"/>
        <v/>
      </c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ht="15.75" customHeight="1">
      <c r="A412" s="40"/>
      <c r="B412" s="36" t="str">
        <f t="shared" si="1"/>
        <v/>
      </c>
      <c r="C412" s="37" t="str">
        <f>ifs($A412=FALSE,"",$A412,VLOOKUP($A412,SCAN!$A:$C,3,0))</f>
        <v/>
      </c>
      <c r="D412" s="36" t="str">
        <f>ifs($A412=FALSE,"",$A412,VLOOKUP($A412,SCAN!$A:$D,4,0))</f>
        <v/>
      </c>
      <c r="E412" s="38" t="str">
        <f>ifs($A412=FALSE,"",$A412,VLOOKUP($A412,SCAN!$A:$C,2,0))</f>
        <v/>
      </c>
      <c r="F412" s="39"/>
      <c r="G412" s="38" t="str">
        <f t="shared" si="2"/>
        <v/>
      </c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ht="15.75" customHeight="1">
      <c r="A413" s="40"/>
      <c r="B413" s="36" t="str">
        <f t="shared" si="1"/>
        <v/>
      </c>
      <c r="C413" s="37" t="str">
        <f>ifs($A413=FALSE,"",$A413,VLOOKUP($A413,SCAN!$A:$C,3,0))</f>
        <v/>
      </c>
      <c r="D413" s="36" t="str">
        <f>ifs($A413=FALSE,"",$A413,VLOOKUP($A413,SCAN!$A:$D,4,0))</f>
        <v/>
      </c>
      <c r="E413" s="38" t="str">
        <f>ifs($A413=FALSE,"",$A413,VLOOKUP($A413,SCAN!$A:$C,2,0))</f>
        <v/>
      </c>
      <c r="F413" s="39"/>
      <c r="G413" s="38" t="str">
        <f t="shared" si="2"/>
        <v/>
      </c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ht="15.75" customHeight="1">
      <c r="A414" s="40"/>
      <c r="B414" s="36" t="str">
        <f t="shared" si="1"/>
        <v/>
      </c>
      <c r="C414" s="37" t="str">
        <f>ifs($A414=FALSE,"",$A414,VLOOKUP($A414,SCAN!$A:$C,3,0))</f>
        <v/>
      </c>
      <c r="D414" s="36" t="str">
        <f>ifs($A414=FALSE,"",$A414,VLOOKUP($A414,SCAN!$A:$D,4,0))</f>
        <v/>
      </c>
      <c r="E414" s="38" t="str">
        <f>ifs($A414=FALSE,"",$A414,VLOOKUP($A414,SCAN!$A:$C,2,0))</f>
        <v/>
      </c>
      <c r="F414" s="39"/>
      <c r="G414" s="38" t="str">
        <f t="shared" si="2"/>
        <v/>
      </c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ht="15.75" customHeight="1">
      <c r="A415" s="40"/>
      <c r="B415" s="36" t="str">
        <f t="shared" si="1"/>
        <v/>
      </c>
      <c r="C415" s="37" t="str">
        <f>ifs($A415=FALSE,"",$A415,VLOOKUP($A415,SCAN!$A:$C,3,0))</f>
        <v/>
      </c>
      <c r="D415" s="36" t="str">
        <f>ifs($A415=FALSE,"",$A415,VLOOKUP($A415,SCAN!$A:$D,4,0))</f>
        <v/>
      </c>
      <c r="E415" s="38" t="str">
        <f>ifs($A415=FALSE,"",$A415,VLOOKUP($A415,SCAN!$A:$C,2,0))</f>
        <v/>
      </c>
      <c r="F415" s="39"/>
      <c r="G415" s="38" t="str">
        <f t="shared" si="2"/>
        <v/>
      </c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ht="15.75" customHeight="1">
      <c r="A416" s="40"/>
      <c r="B416" s="36" t="str">
        <f t="shared" si="1"/>
        <v/>
      </c>
      <c r="C416" s="37" t="str">
        <f>ifs($A416=FALSE,"",$A416,VLOOKUP($A416,SCAN!$A:$C,3,0))</f>
        <v/>
      </c>
      <c r="D416" s="36" t="str">
        <f>ifs($A416=FALSE,"",$A416,VLOOKUP($A416,SCAN!$A:$D,4,0))</f>
        <v/>
      </c>
      <c r="E416" s="38" t="str">
        <f>ifs($A416=FALSE,"",$A416,VLOOKUP($A416,SCAN!$A:$C,2,0))</f>
        <v/>
      </c>
      <c r="F416" s="39"/>
      <c r="G416" s="38" t="str">
        <f t="shared" si="2"/>
        <v/>
      </c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ht="15.75" customHeight="1">
      <c r="A417" s="40"/>
      <c r="B417" s="36" t="str">
        <f t="shared" si="1"/>
        <v/>
      </c>
      <c r="C417" s="37" t="str">
        <f>ifs($A417=FALSE,"",$A417,VLOOKUP($A417,SCAN!$A:$C,3,0))</f>
        <v/>
      </c>
      <c r="D417" s="36" t="str">
        <f>ifs($A417=FALSE,"",$A417,VLOOKUP($A417,SCAN!$A:$D,4,0))</f>
        <v/>
      </c>
      <c r="E417" s="38" t="str">
        <f>ifs($A417=FALSE,"",$A417,VLOOKUP($A417,SCAN!$A:$C,2,0))</f>
        <v/>
      </c>
      <c r="F417" s="39"/>
      <c r="G417" s="38" t="str">
        <f t="shared" si="2"/>
        <v/>
      </c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ht="15.75" customHeight="1">
      <c r="A418" s="40"/>
      <c r="B418" s="36" t="str">
        <f t="shared" si="1"/>
        <v/>
      </c>
      <c r="C418" s="37" t="str">
        <f>ifs($A418=FALSE,"",$A418,VLOOKUP($A418,SCAN!$A:$C,3,0))</f>
        <v/>
      </c>
      <c r="D418" s="36" t="str">
        <f>ifs($A418=FALSE,"",$A418,VLOOKUP($A418,SCAN!$A:$D,4,0))</f>
        <v/>
      </c>
      <c r="E418" s="38" t="str">
        <f>ifs($A418=FALSE,"",$A418,VLOOKUP($A418,SCAN!$A:$C,2,0))</f>
        <v/>
      </c>
      <c r="F418" s="39"/>
      <c r="G418" s="38" t="str">
        <f t="shared" si="2"/>
        <v/>
      </c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ht="15.75" customHeight="1">
      <c r="A419" s="40"/>
      <c r="B419" s="36" t="str">
        <f t="shared" si="1"/>
        <v/>
      </c>
      <c r="C419" s="37" t="str">
        <f>ifs($A419=FALSE,"",$A419,VLOOKUP($A419,SCAN!$A:$C,3,0))</f>
        <v/>
      </c>
      <c r="D419" s="36" t="str">
        <f>ifs($A419=FALSE,"",$A419,VLOOKUP($A419,SCAN!$A:$D,4,0))</f>
        <v/>
      </c>
      <c r="E419" s="38" t="str">
        <f>ifs($A419=FALSE,"",$A419,VLOOKUP($A419,SCAN!$A:$C,2,0))</f>
        <v/>
      </c>
      <c r="F419" s="39"/>
      <c r="G419" s="38" t="str">
        <f t="shared" si="2"/>
        <v/>
      </c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ht="15.75" customHeight="1">
      <c r="A420" s="40"/>
      <c r="B420" s="36" t="str">
        <f t="shared" si="1"/>
        <v/>
      </c>
      <c r="C420" s="37" t="str">
        <f>ifs($A420=FALSE,"",$A420,VLOOKUP($A420,SCAN!$A:$C,3,0))</f>
        <v/>
      </c>
      <c r="D420" s="36" t="str">
        <f>ifs($A420=FALSE,"",$A420,VLOOKUP($A420,SCAN!$A:$D,4,0))</f>
        <v/>
      </c>
      <c r="E420" s="38" t="str">
        <f>ifs($A420=FALSE,"",$A420,VLOOKUP($A420,SCAN!$A:$C,2,0))</f>
        <v/>
      </c>
      <c r="F420" s="39"/>
      <c r="G420" s="38" t="str">
        <f t="shared" si="2"/>
        <v/>
      </c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ht="15.75" customHeight="1">
      <c r="A421" s="40"/>
      <c r="B421" s="36" t="str">
        <f t="shared" si="1"/>
        <v/>
      </c>
      <c r="C421" s="37" t="str">
        <f>ifs($A421=FALSE,"",$A421,VLOOKUP($A421,SCAN!$A:$C,3,0))</f>
        <v/>
      </c>
      <c r="D421" s="36" t="str">
        <f>ifs($A421=FALSE,"",$A421,VLOOKUP($A421,SCAN!$A:$D,4,0))</f>
        <v/>
      </c>
      <c r="E421" s="38" t="str">
        <f>ifs($A421=FALSE,"",$A421,VLOOKUP($A421,SCAN!$A:$C,2,0))</f>
        <v/>
      </c>
      <c r="F421" s="39"/>
      <c r="G421" s="38" t="str">
        <f t="shared" si="2"/>
        <v/>
      </c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ht="15.75" customHeight="1">
      <c r="A422" s="40"/>
      <c r="B422" s="36" t="str">
        <f t="shared" si="1"/>
        <v/>
      </c>
      <c r="C422" s="37" t="str">
        <f>ifs($A422=FALSE,"",$A422,VLOOKUP($A422,SCAN!$A:$C,3,0))</f>
        <v/>
      </c>
      <c r="D422" s="36" t="str">
        <f>ifs($A422=FALSE,"",$A422,VLOOKUP($A422,SCAN!$A:$D,4,0))</f>
        <v/>
      </c>
      <c r="E422" s="38" t="str">
        <f>ifs($A422=FALSE,"",$A422,VLOOKUP($A422,SCAN!$A:$C,2,0))</f>
        <v/>
      </c>
      <c r="F422" s="39"/>
      <c r="G422" s="38" t="str">
        <f t="shared" si="2"/>
        <v/>
      </c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ht="15.75" customHeight="1">
      <c r="A423" s="40"/>
      <c r="B423" s="36" t="str">
        <f t="shared" si="1"/>
        <v/>
      </c>
      <c r="C423" s="37" t="str">
        <f>ifs($A423=FALSE,"",$A423,VLOOKUP($A423,SCAN!$A:$C,3,0))</f>
        <v/>
      </c>
      <c r="D423" s="36" t="str">
        <f>ifs($A423=FALSE,"",$A423,VLOOKUP($A423,SCAN!$A:$D,4,0))</f>
        <v/>
      </c>
      <c r="E423" s="38" t="str">
        <f>ifs($A423=FALSE,"",$A423,VLOOKUP($A423,SCAN!$A:$C,2,0))</f>
        <v/>
      </c>
      <c r="F423" s="39"/>
      <c r="G423" s="38" t="str">
        <f t="shared" si="2"/>
        <v/>
      </c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ht="15.75" customHeight="1">
      <c r="A424" s="40"/>
      <c r="B424" s="36" t="str">
        <f t="shared" si="1"/>
        <v/>
      </c>
      <c r="C424" s="37" t="str">
        <f>ifs($A424=FALSE,"",$A424,VLOOKUP($A424,SCAN!$A:$C,3,0))</f>
        <v/>
      </c>
      <c r="D424" s="36" t="str">
        <f>ifs($A424=FALSE,"",$A424,VLOOKUP($A424,SCAN!$A:$D,4,0))</f>
        <v/>
      </c>
      <c r="E424" s="38" t="str">
        <f>ifs($A424=FALSE,"",$A424,VLOOKUP($A424,SCAN!$A:$C,2,0))</f>
        <v/>
      </c>
      <c r="F424" s="39"/>
      <c r="G424" s="38" t="str">
        <f t="shared" si="2"/>
        <v/>
      </c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ht="15.75" customHeight="1">
      <c r="A425" s="40"/>
      <c r="B425" s="36" t="str">
        <f t="shared" si="1"/>
        <v/>
      </c>
      <c r="C425" s="37" t="str">
        <f>ifs($A425=FALSE,"",$A425,VLOOKUP($A425,SCAN!$A:$C,3,0))</f>
        <v/>
      </c>
      <c r="D425" s="36" t="str">
        <f>ifs($A425=FALSE,"",$A425,VLOOKUP($A425,SCAN!$A:$D,4,0))</f>
        <v/>
      </c>
      <c r="E425" s="38" t="str">
        <f>ifs($A425=FALSE,"",$A425,VLOOKUP($A425,SCAN!$A:$C,2,0))</f>
        <v/>
      </c>
      <c r="F425" s="39"/>
      <c r="G425" s="38" t="str">
        <f t="shared" si="2"/>
        <v/>
      </c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ht="15.75" customHeight="1">
      <c r="A426" s="40"/>
      <c r="B426" s="36" t="str">
        <f t="shared" si="1"/>
        <v/>
      </c>
      <c r="C426" s="37" t="str">
        <f>ifs($A426=FALSE,"",$A426,VLOOKUP($A426,SCAN!$A:$C,3,0))</f>
        <v/>
      </c>
      <c r="D426" s="36" t="str">
        <f>ifs($A426=FALSE,"",$A426,VLOOKUP($A426,SCAN!$A:$D,4,0))</f>
        <v/>
      </c>
      <c r="E426" s="38" t="str">
        <f>ifs($A426=FALSE,"",$A426,VLOOKUP($A426,SCAN!$A:$C,2,0))</f>
        <v/>
      </c>
      <c r="F426" s="39"/>
      <c r="G426" s="38" t="str">
        <f t="shared" si="2"/>
        <v/>
      </c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ht="15.75" customHeight="1">
      <c r="A427" s="40"/>
      <c r="B427" s="36" t="str">
        <f t="shared" si="1"/>
        <v/>
      </c>
      <c r="C427" s="37" t="str">
        <f>ifs($A427=FALSE,"",$A427,VLOOKUP($A427,SCAN!$A:$C,3,0))</f>
        <v/>
      </c>
      <c r="D427" s="36" t="str">
        <f>ifs($A427=FALSE,"",$A427,VLOOKUP($A427,SCAN!$A:$D,4,0))</f>
        <v/>
      </c>
      <c r="E427" s="38" t="str">
        <f>ifs($A427=FALSE,"",$A427,VLOOKUP($A427,SCAN!$A:$C,2,0))</f>
        <v/>
      </c>
      <c r="F427" s="39"/>
      <c r="G427" s="38" t="str">
        <f t="shared" si="2"/>
        <v/>
      </c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ht="15.75" customHeight="1">
      <c r="A428" s="40"/>
      <c r="B428" s="36" t="str">
        <f t="shared" si="1"/>
        <v/>
      </c>
      <c r="C428" s="37" t="str">
        <f>ifs($A428=FALSE,"",$A428,VLOOKUP($A428,SCAN!$A:$C,3,0))</f>
        <v/>
      </c>
      <c r="D428" s="36" t="str">
        <f>ifs($A428=FALSE,"",$A428,VLOOKUP($A428,SCAN!$A:$D,4,0))</f>
        <v/>
      </c>
      <c r="E428" s="38" t="str">
        <f>ifs($A428=FALSE,"",$A428,VLOOKUP($A428,SCAN!$A:$C,2,0))</f>
        <v/>
      </c>
      <c r="F428" s="39"/>
      <c r="G428" s="38" t="str">
        <f t="shared" si="2"/>
        <v/>
      </c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ht="15.75" customHeight="1">
      <c r="A429" s="40"/>
      <c r="B429" s="36" t="str">
        <f t="shared" si="1"/>
        <v/>
      </c>
      <c r="C429" s="37" t="str">
        <f>ifs($A429=FALSE,"",$A429,VLOOKUP($A429,SCAN!$A:$C,3,0))</f>
        <v/>
      </c>
      <c r="D429" s="36" t="str">
        <f>ifs($A429=FALSE,"",$A429,VLOOKUP($A429,SCAN!$A:$D,4,0))</f>
        <v/>
      </c>
      <c r="E429" s="38" t="str">
        <f>ifs($A429=FALSE,"",$A429,VLOOKUP($A429,SCAN!$A:$C,2,0))</f>
        <v/>
      </c>
      <c r="F429" s="39"/>
      <c r="G429" s="38" t="str">
        <f t="shared" si="2"/>
        <v/>
      </c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ht="15.75" customHeight="1">
      <c r="A430" s="40"/>
      <c r="B430" s="36" t="str">
        <f t="shared" si="1"/>
        <v/>
      </c>
      <c r="C430" s="37" t="str">
        <f>ifs($A430=FALSE,"",$A430,VLOOKUP($A430,SCAN!$A:$C,3,0))</f>
        <v/>
      </c>
      <c r="D430" s="36" t="str">
        <f>ifs($A430=FALSE,"",$A430,VLOOKUP($A430,SCAN!$A:$D,4,0))</f>
        <v/>
      </c>
      <c r="E430" s="38" t="str">
        <f>ifs($A430=FALSE,"",$A430,VLOOKUP($A430,SCAN!$A:$C,2,0))</f>
        <v/>
      </c>
      <c r="F430" s="39"/>
      <c r="G430" s="38" t="str">
        <f t="shared" si="2"/>
        <v/>
      </c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ht="15.75" customHeight="1">
      <c r="A431" s="40"/>
      <c r="B431" s="36" t="str">
        <f t="shared" si="1"/>
        <v/>
      </c>
      <c r="C431" s="37" t="str">
        <f>ifs($A431=FALSE,"",$A431,VLOOKUP($A431,SCAN!$A:$C,3,0))</f>
        <v/>
      </c>
      <c r="D431" s="36" t="str">
        <f>ifs($A431=FALSE,"",$A431,VLOOKUP($A431,SCAN!$A:$D,4,0))</f>
        <v/>
      </c>
      <c r="E431" s="38" t="str">
        <f>ifs($A431=FALSE,"",$A431,VLOOKUP($A431,SCAN!$A:$C,2,0))</f>
        <v/>
      </c>
      <c r="F431" s="39"/>
      <c r="G431" s="38" t="str">
        <f t="shared" si="2"/>
        <v/>
      </c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ht="15.75" customHeight="1">
      <c r="A432" s="40"/>
      <c r="B432" s="36" t="str">
        <f t="shared" si="1"/>
        <v/>
      </c>
      <c r="C432" s="37" t="str">
        <f>ifs($A432=FALSE,"",$A432,VLOOKUP($A432,SCAN!$A:$C,3,0))</f>
        <v/>
      </c>
      <c r="D432" s="36" t="str">
        <f>ifs($A432=FALSE,"",$A432,VLOOKUP($A432,SCAN!$A:$D,4,0))</f>
        <v/>
      </c>
      <c r="E432" s="38" t="str">
        <f>ifs($A432=FALSE,"",$A432,VLOOKUP($A432,SCAN!$A:$C,2,0))</f>
        <v/>
      </c>
      <c r="F432" s="39"/>
      <c r="G432" s="38" t="str">
        <f t="shared" si="2"/>
        <v/>
      </c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ht="15.75" customHeight="1">
      <c r="A433" s="40"/>
      <c r="B433" s="36" t="str">
        <f t="shared" si="1"/>
        <v/>
      </c>
      <c r="C433" s="37" t="str">
        <f>ifs($A433=FALSE,"",$A433,VLOOKUP($A433,SCAN!$A:$C,3,0))</f>
        <v/>
      </c>
      <c r="D433" s="36" t="str">
        <f>ifs($A433=FALSE,"",$A433,VLOOKUP($A433,SCAN!$A:$D,4,0))</f>
        <v/>
      </c>
      <c r="E433" s="38" t="str">
        <f>ifs($A433=FALSE,"",$A433,VLOOKUP($A433,SCAN!$A:$C,2,0))</f>
        <v/>
      </c>
      <c r="F433" s="39"/>
      <c r="G433" s="38" t="str">
        <f t="shared" si="2"/>
        <v/>
      </c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ht="15.75" customHeight="1">
      <c r="A434" s="40"/>
      <c r="B434" s="36" t="str">
        <f t="shared" si="1"/>
        <v/>
      </c>
      <c r="C434" s="37" t="str">
        <f>ifs($A434=FALSE,"",$A434,VLOOKUP($A434,SCAN!$A:$C,3,0))</f>
        <v/>
      </c>
      <c r="D434" s="36" t="str">
        <f>ifs($A434=FALSE,"",$A434,VLOOKUP($A434,SCAN!$A:$D,4,0))</f>
        <v/>
      </c>
      <c r="E434" s="38" t="str">
        <f>ifs($A434=FALSE,"",$A434,VLOOKUP($A434,SCAN!$A:$C,2,0))</f>
        <v/>
      </c>
      <c r="F434" s="39"/>
      <c r="G434" s="38" t="str">
        <f t="shared" si="2"/>
        <v/>
      </c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ht="15.75" customHeight="1">
      <c r="A435" s="40"/>
      <c r="B435" s="36" t="str">
        <f t="shared" si="1"/>
        <v/>
      </c>
      <c r="C435" s="37" t="str">
        <f>ifs($A435=FALSE,"",$A435,VLOOKUP($A435,SCAN!$A:$C,3,0))</f>
        <v/>
      </c>
      <c r="D435" s="36" t="str">
        <f>ifs($A435=FALSE,"",$A435,VLOOKUP($A435,SCAN!$A:$D,4,0))</f>
        <v/>
      </c>
      <c r="E435" s="38" t="str">
        <f>ifs($A435=FALSE,"",$A435,VLOOKUP($A435,SCAN!$A:$C,2,0))</f>
        <v/>
      </c>
      <c r="F435" s="39"/>
      <c r="G435" s="38" t="str">
        <f t="shared" si="2"/>
        <v/>
      </c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ht="15.75" customHeight="1">
      <c r="A436" s="40"/>
      <c r="B436" s="36" t="str">
        <f t="shared" si="1"/>
        <v/>
      </c>
      <c r="C436" s="37" t="str">
        <f>ifs($A436=FALSE,"",$A436,VLOOKUP($A436,SCAN!$A:$C,3,0))</f>
        <v/>
      </c>
      <c r="D436" s="36" t="str">
        <f>ifs($A436=FALSE,"",$A436,VLOOKUP($A436,SCAN!$A:$D,4,0))</f>
        <v/>
      </c>
      <c r="E436" s="38" t="str">
        <f>ifs($A436=FALSE,"",$A436,VLOOKUP($A436,SCAN!$A:$C,2,0))</f>
        <v/>
      </c>
      <c r="F436" s="39"/>
      <c r="G436" s="38" t="str">
        <f t="shared" si="2"/>
        <v/>
      </c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ht="15.75" customHeight="1">
      <c r="A437" s="40"/>
      <c r="B437" s="36" t="str">
        <f t="shared" si="1"/>
        <v/>
      </c>
      <c r="C437" s="37" t="str">
        <f>ifs($A437=FALSE,"",$A437,VLOOKUP($A437,SCAN!$A:$C,3,0))</f>
        <v/>
      </c>
      <c r="D437" s="36" t="str">
        <f>ifs($A437=FALSE,"",$A437,VLOOKUP($A437,SCAN!$A:$D,4,0))</f>
        <v/>
      </c>
      <c r="E437" s="38" t="str">
        <f>ifs($A437=FALSE,"",$A437,VLOOKUP($A437,SCAN!$A:$C,2,0))</f>
        <v/>
      </c>
      <c r="F437" s="39"/>
      <c r="G437" s="38" t="str">
        <f t="shared" si="2"/>
        <v/>
      </c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ht="15.75" customHeight="1">
      <c r="A438" s="40"/>
      <c r="B438" s="36" t="str">
        <f t="shared" si="1"/>
        <v/>
      </c>
      <c r="C438" s="37" t="str">
        <f>ifs($A438=FALSE,"",$A438,VLOOKUP($A438,SCAN!$A:$C,3,0))</f>
        <v/>
      </c>
      <c r="D438" s="36" t="str">
        <f>ifs($A438=FALSE,"",$A438,VLOOKUP($A438,SCAN!$A:$D,4,0))</f>
        <v/>
      </c>
      <c r="E438" s="38" t="str">
        <f>ifs($A438=FALSE,"",$A438,VLOOKUP($A438,SCAN!$A:$C,2,0))</f>
        <v/>
      </c>
      <c r="F438" s="39"/>
      <c r="G438" s="38" t="str">
        <f t="shared" si="2"/>
        <v/>
      </c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ht="15.75" customHeight="1">
      <c r="A439" s="40"/>
      <c r="B439" s="36" t="str">
        <f t="shared" si="1"/>
        <v/>
      </c>
      <c r="C439" s="37" t="str">
        <f>ifs($A439=FALSE,"",$A439,VLOOKUP($A439,SCAN!$A:$C,3,0))</f>
        <v/>
      </c>
      <c r="D439" s="36" t="str">
        <f>ifs($A439=FALSE,"",$A439,VLOOKUP($A439,SCAN!$A:$D,4,0))</f>
        <v/>
      </c>
      <c r="E439" s="38" t="str">
        <f>ifs($A439=FALSE,"",$A439,VLOOKUP($A439,SCAN!$A:$C,2,0))</f>
        <v/>
      </c>
      <c r="F439" s="39"/>
      <c r="G439" s="38" t="str">
        <f t="shared" si="2"/>
        <v/>
      </c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ht="15.75" customHeight="1">
      <c r="A440" s="40"/>
      <c r="B440" s="36" t="str">
        <f t="shared" si="1"/>
        <v/>
      </c>
      <c r="C440" s="37" t="str">
        <f>ifs($A440=FALSE,"",$A440,VLOOKUP($A440,SCAN!$A:$C,3,0))</f>
        <v/>
      </c>
      <c r="D440" s="36" t="str">
        <f>ifs($A440=FALSE,"",$A440,VLOOKUP($A440,SCAN!$A:$D,4,0))</f>
        <v/>
      </c>
      <c r="E440" s="38" t="str">
        <f>ifs($A440=FALSE,"",$A440,VLOOKUP($A440,SCAN!$A:$C,2,0))</f>
        <v/>
      </c>
      <c r="F440" s="39"/>
      <c r="G440" s="38" t="str">
        <f t="shared" si="2"/>
        <v/>
      </c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ht="15.75" customHeight="1">
      <c r="A441" s="40"/>
      <c r="B441" s="36" t="str">
        <f t="shared" si="1"/>
        <v/>
      </c>
      <c r="C441" s="37" t="str">
        <f>ifs($A441=FALSE,"",$A441,VLOOKUP($A441,SCAN!$A:$C,3,0))</f>
        <v/>
      </c>
      <c r="D441" s="36" t="str">
        <f>ifs($A441=FALSE,"",$A441,VLOOKUP($A441,SCAN!$A:$D,4,0))</f>
        <v/>
      </c>
      <c r="E441" s="38" t="str">
        <f>ifs($A441=FALSE,"",$A441,VLOOKUP($A441,SCAN!$A:$C,2,0))</f>
        <v/>
      </c>
      <c r="F441" s="39"/>
      <c r="G441" s="38" t="str">
        <f t="shared" si="2"/>
        <v/>
      </c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ht="15.75" customHeight="1">
      <c r="A442" s="40"/>
      <c r="B442" s="36" t="str">
        <f t="shared" si="1"/>
        <v/>
      </c>
      <c r="C442" s="37" t="str">
        <f>ifs($A442=FALSE,"",$A442,VLOOKUP($A442,SCAN!$A:$C,3,0))</f>
        <v/>
      </c>
      <c r="D442" s="36" t="str">
        <f>ifs($A442=FALSE,"",$A442,VLOOKUP($A442,SCAN!$A:$D,4,0))</f>
        <v/>
      </c>
      <c r="E442" s="38" t="str">
        <f>ifs($A442=FALSE,"",$A442,VLOOKUP($A442,SCAN!$A:$C,2,0))</f>
        <v/>
      </c>
      <c r="F442" s="39"/>
      <c r="G442" s="38" t="str">
        <f t="shared" si="2"/>
        <v/>
      </c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ht="15.75" customHeight="1">
      <c r="A443" s="40"/>
      <c r="B443" s="36" t="str">
        <f t="shared" si="1"/>
        <v/>
      </c>
      <c r="C443" s="37" t="str">
        <f>ifs($A443=FALSE,"",$A443,VLOOKUP($A443,SCAN!$A:$C,3,0))</f>
        <v/>
      </c>
      <c r="D443" s="36" t="str">
        <f>ifs($A443=FALSE,"",$A443,VLOOKUP($A443,SCAN!$A:$D,4,0))</f>
        <v/>
      </c>
      <c r="E443" s="38" t="str">
        <f>ifs($A443=FALSE,"",$A443,VLOOKUP($A443,SCAN!$A:$C,2,0))</f>
        <v/>
      </c>
      <c r="F443" s="39"/>
      <c r="G443" s="38" t="str">
        <f t="shared" si="2"/>
        <v/>
      </c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ht="15.75" customHeight="1">
      <c r="A444" s="40"/>
      <c r="B444" s="36" t="str">
        <f t="shared" si="1"/>
        <v/>
      </c>
      <c r="C444" s="37" t="str">
        <f>ifs($A444=FALSE,"",$A444,VLOOKUP($A444,SCAN!$A:$C,3,0))</f>
        <v/>
      </c>
      <c r="D444" s="36" t="str">
        <f>ifs($A444=FALSE,"",$A444,VLOOKUP($A444,SCAN!$A:$D,4,0))</f>
        <v/>
      </c>
      <c r="E444" s="38" t="str">
        <f>ifs($A444=FALSE,"",$A444,VLOOKUP($A444,SCAN!$A:$C,2,0))</f>
        <v/>
      </c>
      <c r="F444" s="39"/>
      <c r="G444" s="38" t="str">
        <f t="shared" si="2"/>
        <v/>
      </c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ht="15.75" customHeight="1">
      <c r="A445" s="40"/>
      <c r="B445" s="36" t="str">
        <f t="shared" si="1"/>
        <v/>
      </c>
      <c r="C445" s="37" t="str">
        <f>ifs($A445=FALSE,"",$A445,VLOOKUP($A445,SCAN!$A:$C,3,0))</f>
        <v/>
      </c>
      <c r="D445" s="36" t="str">
        <f>ifs($A445=FALSE,"",$A445,VLOOKUP($A445,SCAN!$A:$D,4,0))</f>
        <v/>
      </c>
      <c r="E445" s="38" t="str">
        <f>ifs($A445=FALSE,"",$A445,VLOOKUP($A445,SCAN!$A:$C,2,0))</f>
        <v/>
      </c>
      <c r="F445" s="39"/>
      <c r="G445" s="38" t="str">
        <f t="shared" si="2"/>
        <v/>
      </c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ht="15.75" customHeight="1">
      <c r="A446" s="40"/>
      <c r="B446" s="36" t="str">
        <f t="shared" si="1"/>
        <v/>
      </c>
      <c r="C446" s="37" t="str">
        <f>ifs($A446=FALSE,"",$A446,VLOOKUP($A446,SCAN!$A:$C,3,0))</f>
        <v/>
      </c>
      <c r="D446" s="36" t="str">
        <f>ifs($A446=FALSE,"",$A446,VLOOKUP($A446,SCAN!$A:$D,4,0))</f>
        <v/>
      </c>
      <c r="E446" s="38" t="str">
        <f>ifs($A446=FALSE,"",$A446,VLOOKUP($A446,SCAN!$A:$C,2,0))</f>
        <v/>
      </c>
      <c r="F446" s="39"/>
      <c r="G446" s="38" t="str">
        <f t="shared" si="2"/>
        <v/>
      </c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ht="15.75" customHeight="1">
      <c r="A447" s="40"/>
      <c r="B447" s="36" t="str">
        <f t="shared" si="1"/>
        <v/>
      </c>
      <c r="C447" s="37" t="str">
        <f>ifs($A447=FALSE,"",$A447,VLOOKUP($A447,SCAN!$A:$C,3,0))</f>
        <v/>
      </c>
      <c r="D447" s="36" t="str">
        <f>ifs($A447=FALSE,"",$A447,VLOOKUP($A447,SCAN!$A:$D,4,0))</f>
        <v/>
      </c>
      <c r="E447" s="38" t="str">
        <f>ifs($A447=FALSE,"",$A447,VLOOKUP($A447,SCAN!$A:$C,2,0))</f>
        <v/>
      </c>
      <c r="F447" s="39"/>
      <c r="G447" s="38" t="str">
        <f t="shared" si="2"/>
        <v/>
      </c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ht="15.75" customHeight="1">
      <c r="A448" s="40"/>
      <c r="B448" s="36" t="str">
        <f t="shared" si="1"/>
        <v/>
      </c>
      <c r="C448" s="37" t="str">
        <f>ifs($A448=FALSE,"",$A448,VLOOKUP($A448,SCAN!$A:$C,3,0))</f>
        <v/>
      </c>
      <c r="D448" s="36" t="str">
        <f>ifs($A448=FALSE,"",$A448,VLOOKUP($A448,SCAN!$A:$D,4,0))</f>
        <v/>
      </c>
      <c r="E448" s="38" t="str">
        <f>ifs($A448=FALSE,"",$A448,VLOOKUP($A448,SCAN!$A:$C,2,0))</f>
        <v/>
      </c>
      <c r="F448" s="39"/>
      <c r="G448" s="38" t="str">
        <f t="shared" si="2"/>
        <v/>
      </c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ht="15.75" customHeight="1">
      <c r="A449" s="40"/>
      <c r="B449" s="36" t="str">
        <f t="shared" si="1"/>
        <v/>
      </c>
      <c r="C449" s="37" t="str">
        <f>ifs($A449=FALSE,"",$A449,VLOOKUP($A449,SCAN!$A:$C,3,0))</f>
        <v/>
      </c>
      <c r="D449" s="36" t="str">
        <f>ifs($A449=FALSE,"",$A449,VLOOKUP($A449,SCAN!$A:$D,4,0))</f>
        <v/>
      </c>
      <c r="E449" s="38" t="str">
        <f>ifs($A449=FALSE,"",$A449,VLOOKUP($A449,SCAN!$A:$C,2,0))</f>
        <v/>
      </c>
      <c r="F449" s="39"/>
      <c r="G449" s="38" t="str">
        <f t="shared" si="2"/>
        <v/>
      </c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ht="15.75" customHeight="1">
      <c r="A450" s="40"/>
      <c r="B450" s="36" t="str">
        <f t="shared" si="1"/>
        <v/>
      </c>
      <c r="C450" s="37" t="str">
        <f>ifs($A450=FALSE,"",$A450,VLOOKUP($A450,SCAN!$A:$C,3,0))</f>
        <v/>
      </c>
      <c r="D450" s="36" t="str">
        <f>ifs($A450=FALSE,"",$A450,VLOOKUP($A450,SCAN!$A:$D,4,0))</f>
        <v/>
      </c>
      <c r="E450" s="38" t="str">
        <f>ifs($A450=FALSE,"",$A450,VLOOKUP($A450,SCAN!$A:$C,2,0))</f>
        <v/>
      </c>
      <c r="F450" s="39"/>
      <c r="G450" s="38" t="str">
        <f t="shared" si="2"/>
        <v/>
      </c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ht="15.75" customHeight="1">
      <c r="A451" s="40"/>
      <c r="B451" s="36" t="str">
        <f t="shared" si="1"/>
        <v/>
      </c>
      <c r="C451" s="37" t="str">
        <f>ifs($A451=FALSE,"",$A451,VLOOKUP($A451,SCAN!$A:$C,3,0))</f>
        <v/>
      </c>
      <c r="D451" s="36" t="str">
        <f>ifs($A451=FALSE,"",$A451,VLOOKUP($A451,SCAN!$A:$D,4,0))</f>
        <v/>
      </c>
      <c r="E451" s="38" t="str">
        <f>ifs($A451=FALSE,"",$A451,VLOOKUP($A451,SCAN!$A:$C,2,0))</f>
        <v/>
      </c>
      <c r="F451" s="39"/>
      <c r="G451" s="38" t="str">
        <f t="shared" si="2"/>
        <v/>
      </c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ht="15.75" customHeight="1">
      <c r="A452" s="40"/>
      <c r="B452" s="36" t="str">
        <f t="shared" si="1"/>
        <v/>
      </c>
      <c r="C452" s="37" t="str">
        <f>ifs($A452=FALSE,"",$A452,VLOOKUP($A452,SCAN!$A:$C,3,0))</f>
        <v/>
      </c>
      <c r="D452" s="36" t="str">
        <f>ifs($A452=FALSE,"",$A452,VLOOKUP($A452,SCAN!$A:$D,4,0))</f>
        <v/>
      </c>
      <c r="E452" s="38" t="str">
        <f>ifs($A452=FALSE,"",$A452,VLOOKUP($A452,SCAN!$A:$C,2,0))</f>
        <v/>
      </c>
      <c r="F452" s="39"/>
      <c r="G452" s="38" t="str">
        <f t="shared" si="2"/>
        <v/>
      </c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ht="15.75" customHeight="1">
      <c r="A453" s="40"/>
      <c r="B453" s="36" t="str">
        <f t="shared" si="1"/>
        <v/>
      </c>
      <c r="C453" s="37" t="str">
        <f>ifs($A453=FALSE,"",$A453,VLOOKUP($A453,SCAN!$A:$C,3,0))</f>
        <v/>
      </c>
      <c r="D453" s="36" t="str">
        <f>ifs($A453=FALSE,"",$A453,VLOOKUP($A453,SCAN!$A:$D,4,0))</f>
        <v/>
      </c>
      <c r="E453" s="38" t="str">
        <f>ifs($A453=FALSE,"",$A453,VLOOKUP($A453,SCAN!$A:$C,2,0))</f>
        <v/>
      </c>
      <c r="F453" s="39"/>
      <c r="G453" s="38" t="str">
        <f t="shared" si="2"/>
        <v/>
      </c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ht="15.75" customHeight="1">
      <c r="A454" s="40"/>
      <c r="B454" s="36" t="str">
        <f t="shared" si="1"/>
        <v/>
      </c>
      <c r="C454" s="37" t="str">
        <f>ifs($A454=FALSE,"",$A454,VLOOKUP($A454,SCAN!$A:$C,3,0))</f>
        <v/>
      </c>
      <c r="D454" s="36" t="str">
        <f>ifs($A454=FALSE,"",$A454,VLOOKUP($A454,SCAN!$A:$D,4,0))</f>
        <v/>
      </c>
      <c r="E454" s="38" t="str">
        <f>ifs($A454=FALSE,"",$A454,VLOOKUP($A454,SCAN!$A:$C,2,0))</f>
        <v/>
      </c>
      <c r="F454" s="39"/>
      <c r="G454" s="38" t="str">
        <f t="shared" si="2"/>
        <v/>
      </c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ht="15.75" customHeight="1">
      <c r="A455" s="40"/>
      <c r="B455" s="36" t="str">
        <f t="shared" si="1"/>
        <v/>
      </c>
      <c r="C455" s="37" t="str">
        <f>ifs($A455=FALSE,"",$A455,VLOOKUP($A455,SCAN!$A:$C,3,0))</f>
        <v/>
      </c>
      <c r="D455" s="36" t="str">
        <f>ifs($A455=FALSE,"",$A455,VLOOKUP($A455,SCAN!$A:$D,4,0))</f>
        <v/>
      </c>
      <c r="E455" s="38" t="str">
        <f>ifs($A455=FALSE,"",$A455,VLOOKUP($A455,SCAN!$A:$C,2,0))</f>
        <v/>
      </c>
      <c r="F455" s="39"/>
      <c r="G455" s="38" t="str">
        <f t="shared" si="2"/>
        <v/>
      </c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ht="15.75" customHeight="1">
      <c r="A456" s="40"/>
      <c r="B456" s="36" t="str">
        <f t="shared" si="1"/>
        <v/>
      </c>
      <c r="C456" s="37" t="str">
        <f>ifs($A456=FALSE,"",$A456,VLOOKUP($A456,SCAN!$A:$C,3,0))</f>
        <v/>
      </c>
      <c r="D456" s="36" t="str">
        <f>ifs($A456=FALSE,"",$A456,VLOOKUP($A456,SCAN!$A:$D,4,0))</f>
        <v/>
      </c>
      <c r="E456" s="38" t="str">
        <f>ifs($A456=FALSE,"",$A456,VLOOKUP($A456,SCAN!$A:$C,2,0))</f>
        <v/>
      </c>
      <c r="F456" s="39"/>
      <c r="G456" s="38" t="str">
        <f t="shared" si="2"/>
        <v/>
      </c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ht="15.75" customHeight="1">
      <c r="A457" s="40"/>
      <c r="B457" s="36" t="str">
        <f t="shared" si="1"/>
        <v/>
      </c>
      <c r="C457" s="37" t="str">
        <f>ifs($A457=FALSE,"",$A457,VLOOKUP($A457,SCAN!$A:$C,3,0))</f>
        <v/>
      </c>
      <c r="D457" s="36" t="str">
        <f>ifs($A457=FALSE,"",$A457,VLOOKUP($A457,SCAN!$A:$D,4,0))</f>
        <v/>
      </c>
      <c r="E457" s="38" t="str">
        <f>ifs($A457=FALSE,"",$A457,VLOOKUP($A457,SCAN!$A:$C,2,0))</f>
        <v/>
      </c>
      <c r="F457" s="39"/>
      <c r="G457" s="38" t="str">
        <f t="shared" si="2"/>
        <v/>
      </c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ht="15.75" customHeight="1">
      <c r="A458" s="40"/>
      <c r="B458" s="36" t="str">
        <f t="shared" si="1"/>
        <v/>
      </c>
      <c r="C458" s="37" t="str">
        <f>ifs($A458=FALSE,"",$A458,VLOOKUP($A458,SCAN!$A:$C,3,0))</f>
        <v/>
      </c>
      <c r="D458" s="36" t="str">
        <f>ifs($A458=FALSE,"",$A458,VLOOKUP($A458,SCAN!$A:$D,4,0))</f>
        <v/>
      </c>
      <c r="E458" s="38" t="str">
        <f>ifs($A458=FALSE,"",$A458,VLOOKUP($A458,SCAN!$A:$C,2,0))</f>
        <v/>
      </c>
      <c r="F458" s="39"/>
      <c r="G458" s="38" t="str">
        <f t="shared" si="2"/>
        <v/>
      </c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ht="15.75" customHeight="1">
      <c r="A459" s="40"/>
      <c r="B459" s="36" t="str">
        <f t="shared" si="1"/>
        <v/>
      </c>
      <c r="C459" s="37" t="str">
        <f>ifs($A459=FALSE,"",$A459,VLOOKUP($A459,SCAN!$A:$C,3,0))</f>
        <v/>
      </c>
      <c r="D459" s="36" t="str">
        <f>ifs($A459=FALSE,"",$A459,VLOOKUP($A459,SCAN!$A:$D,4,0))</f>
        <v/>
      </c>
      <c r="E459" s="38" t="str">
        <f>ifs($A459=FALSE,"",$A459,VLOOKUP($A459,SCAN!$A:$C,2,0))</f>
        <v/>
      </c>
      <c r="F459" s="39"/>
      <c r="G459" s="38" t="str">
        <f t="shared" si="2"/>
        <v/>
      </c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ht="15.75" customHeight="1">
      <c r="A460" s="40"/>
      <c r="B460" s="36" t="str">
        <f t="shared" si="1"/>
        <v/>
      </c>
      <c r="C460" s="37" t="str">
        <f>ifs($A460=FALSE,"",$A460,VLOOKUP($A460,SCAN!$A:$C,3,0))</f>
        <v/>
      </c>
      <c r="D460" s="36" t="str">
        <f>ifs($A460=FALSE,"",$A460,VLOOKUP($A460,SCAN!$A:$D,4,0))</f>
        <v/>
      </c>
      <c r="E460" s="38" t="str">
        <f>ifs($A460=FALSE,"",$A460,VLOOKUP($A460,SCAN!$A:$C,2,0))</f>
        <v/>
      </c>
      <c r="F460" s="39"/>
      <c r="G460" s="38" t="str">
        <f t="shared" si="2"/>
        <v/>
      </c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ht="15.75" customHeight="1">
      <c r="A461" s="40"/>
      <c r="B461" s="36" t="str">
        <f t="shared" si="1"/>
        <v/>
      </c>
      <c r="C461" s="37" t="str">
        <f>ifs($A461=FALSE,"",$A461,VLOOKUP($A461,SCAN!$A:$C,3,0))</f>
        <v/>
      </c>
      <c r="D461" s="36" t="str">
        <f>ifs($A461=FALSE,"",$A461,VLOOKUP($A461,SCAN!$A:$D,4,0))</f>
        <v/>
      </c>
      <c r="E461" s="38" t="str">
        <f>ifs($A461=FALSE,"",$A461,VLOOKUP($A461,SCAN!$A:$C,2,0))</f>
        <v/>
      </c>
      <c r="F461" s="39"/>
      <c r="G461" s="38" t="str">
        <f t="shared" si="2"/>
        <v/>
      </c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ht="15.75" customHeight="1">
      <c r="A462" s="40"/>
      <c r="B462" s="36" t="str">
        <f t="shared" si="1"/>
        <v/>
      </c>
      <c r="C462" s="37" t="str">
        <f>ifs($A462=FALSE,"",$A462,VLOOKUP($A462,SCAN!$A:$C,3,0))</f>
        <v/>
      </c>
      <c r="D462" s="36" t="str">
        <f>ifs($A462=FALSE,"",$A462,VLOOKUP($A462,SCAN!$A:$D,4,0))</f>
        <v/>
      </c>
      <c r="E462" s="38" t="str">
        <f>ifs($A462=FALSE,"",$A462,VLOOKUP($A462,SCAN!$A:$C,2,0))</f>
        <v/>
      </c>
      <c r="F462" s="39"/>
      <c r="G462" s="38" t="str">
        <f t="shared" si="2"/>
        <v/>
      </c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ht="15.75" customHeight="1">
      <c r="A463" s="40"/>
      <c r="B463" s="36" t="str">
        <f t="shared" si="1"/>
        <v/>
      </c>
      <c r="C463" s="37" t="str">
        <f>ifs($A463=FALSE,"",$A463,VLOOKUP($A463,SCAN!$A:$C,3,0))</f>
        <v/>
      </c>
      <c r="D463" s="36" t="str">
        <f>ifs($A463=FALSE,"",$A463,VLOOKUP($A463,SCAN!$A:$D,4,0))</f>
        <v/>
      </c>
      <c r="E463" s="38" t="str">
        <f>ifs($A463=FALSE,"",$A463,VLOOKUP($A463,SCAN!$A:$C,2,0))</f>
        <v/>
      </c>
      <c r="F463" s="39"/>
      <c r="G463" s="38" t="str">
        <f t="shared" si="2"/>
        <v/>
      </c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ht="15.75" customHeight="1">
      <c r="A464" s="40"/>
      <c r="B464" s="36" t="str">
        <f t="shared" si="1"/>
        <v/>
      </c>
      <c r="C464" s="37" t="str">
        <f>ifs($A464=FALSE,"",$A464,VLOOKUP($A464,SCAN!$A:$C,3,0))</f>
        <v/>
      </c>
      <c r="D464" s="36" t="str">
        <f>ifs($A464=FALSE,"",$A464,VLOOKUP($A464,SCAN!$A:$D,4,0))</f>
        <v/>
      </c>
      <c r="E464" s="38" t="str">
        <f>ifs($A464=FALSE,"",$A464,VLOOKUP($A464,SCAN!$A:$C,2,0))</f>
        <v/>
      </c>
      <c r="F464" s="39"/>
      <c r="G464" s="38" t="str">
        <f t="shared" si="2"/>
        <v/>
      </c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ht="15.75" customHeight="1">
      <c r="A465" s="40"/>
      <c r="B465" s="36" t="str">
        <f t="shared" si="1"/>
        <v/>
      </c>
      <c r="C465" s="37" t="str">
        <f>ifs($A465=FALSE,"",$A465,VLOOKUP($A465,SCAN!$A:$C,3,0))</f>
        <v/>
      </c>
      <c r="D465" s="36" t="str">
        <f>ifs($A465=FALSE,"",$A465,VLOOKUP($A465,SCAN!$A:$D,4,0))</f>
        <v/>
      </c>
      <c r="E465" s="38" t="str">
        <f>ifs($A465=FALSE,"",$A465,VLOOKUP($A465,SCAN!$A:$C,2,0))</f>
        <v/>
      </c>
      <c r="F465" s="39"/>
      <c r="G465" s="38" t="str">
        <f t="shared" si="2"/>
        <v/>
      </c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ht="15.75" customHeight="1">
      <c r="A466" s="40"/>
      <c r="B466" s="36" t="str">
        <f t="shared" si="1"/>
        <v/>
      </c>
      <c r="C466" s="37" t="str">
        <f>ifs($A466=FALSE,"",$A466,VLOOKUP($A466,SCAN!$A:$C,3,0))</f>
        <v/>
      </c>
      <c r="D466" s="36" t="str">
        <f>ifs($A466=FALSE,"",$A466,VLOOKUP($A466,SCAN!$A:$D,4,0))</f>
        <v/>
      </c>
      <c r="E466" s="38" t="str">
        <f>ifs($A466=FALSE,"",$A466,VLOOKUP($A466,SCAN!$A:$C,2,0))</f>
        <v/>
      </c>
      <c r="F466" s="39"/>
      <c r="G466" s="38" t="str">
        <f t="shared" si="2"/>
        <v/>
      </c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ht="15.75" customHeight="1">
      <c r="A467" s="40"/>
      <c r="B467" s="36" t="str">
        <f t="shared" si="1"/>
        <v/>
      </c>
      <c r="C467" s="37" t="str">
        <f>ifs($A467=FALSE,"",$A467,VLOOKUP($A467,SCAN!$A:$C,3,0))</f>
        <v/>
      </c>
      <c r="D467" s="36" t="str">
        <f>ifs($A467=FALSE,"",$A467,VLOOKUP($A467,SCAN!$A:$D,4,0))</f>
        <v/>
      </c>
      <c r="E467" s="38" t="str">
        <f>ifs($A467=FALSE,"",$A467,VLOOKUP($A467,SCAN!$A:$C,2,0))</f>
        <v/>
      </c>
      <c r="F467" s="39"/>
      <c r="G467" s="38" t="str">
        <f t="shared" si="2"/>
        <v/>
      </c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ht="15.75" customHeight="1">
      <c r="A468" s="40"/>
      <c r="B468" s="36" t="str">
        <f t="shared" si="1"/>
        <v/>
      </c>
      <c r="C468" s="37" t="str">
        <f>ifs($A468=FALSE,"",$A468,VLOOKUP($A468,SCAN!$A:$C,3,0))</f>
        <v/>
      </c>
      <c r="D468" s="36" t="str">
        <f>ifs($A468=FALSE,"",$A468,VLOOKUP($A468,SCAN!$A:$D,4,0))</f>
        <v/>
      </c>
      <c r="E468" s="38" t="str">
        <f>ifs($A468=FALSE,"",$A468,VLOOKUP($A468,SCAN!$A:$C,2,0))</f>
        <v/>
      </c>
      <c r="F468" s="39"/>
      <c r="G468" s="38" t="str">
        <f t="shared" si="2"/>
        <v/>
      </c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ht="15.75" customHeight="1">
      <c r="A469" s="40"/>
      <c r="B469" s="36" t="str">
        <f t="shared" si="1"/>
        <v/>
      </c>
      <c r="C469" s="37" t="str">
        <f>ifs($A469=FALSE,"",$A469,VLOOKUP($A469,SCAN!$A:$C,3,0))</f>
        <v/>
      </c>
      <c r="D469" s="36" t="str">
        <f>ifs($A469=FALSE,"",$A469,VLOOKUP($A469,SCAN!$A:$D,4,0))</f>
        <v/>
      </c>
      <c r="E469" s="38" t="str">
        <f>ifs($A469=FALSE,"",$A469,VLOOKUP($A469,SCAN!$A:$C,2,0))</f>
        <v/>
      </c>
      <c r="F469" s="39"/>
      <c r="G469" s="38" t="str">
        <f t="shared" si="2"/>
        <v/>
      </c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ht="15.75" customHeight="1">
      <c r="A470" s="40"/>
      <c r="B470" s="36" t="str">
        <f t="shared" si="1"/>
        <v/>
      </c>
      <c r="C470" s="37" t="str">
        <f>ifs($A470=FALSE,"",$A470,VLOOKUP($A470,SCAN!$A:$C,3,0))</f>
        <v/>
      </c>
      <c r="D470" s="36" t="str">
        <f>ifs($A470=FALSE,"",$A470,VLOOKUP($A470,SCAN!$A:$D,4,0))</f>
        <v/>
      </c>
      <c r="E470" s="38" t="str">
        <f>ifs($A470=FALSE,"",$A470,VLOOKUP($A470,SCAN!$A:$C,2,0))</f>
        <v/>
      </c>
      <c r="F470" s="39"/>
      <c r="G470" s="38" t="str">
        <f t="shared" si="2"/>
        <v/>
      </c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ht="15.75" customHeight="1">
      <c r="A471" s="40"/>
      <c r="B471" s="36" t="str">
        <f t="shared" si="1"/>
        <v/>
      </c>
      <c r="C471" s="37" t="str">
        <f>ifs($A471=FALSE,"",$A471,VLOOKUP($A471,SCAN!$A:$C,3,0))</f>
        <v/>
      </c>
      <c r="D471" s="36" t="str">
        <f>ifs($A471=FALSE,"",$A471,VLOOKUP($A471,SCAN!$A:$D,4,0))</f>
        <v/>
      </c>
      <c r="E471" s="38" t="str">
        <f>ifs($A471=FALSE,"",$A471,VLOOKUP($A471,SCAN!$A:$C,2,0))</f>
        <v/>
      </c>
      <c r="F471" s="39"/>
      <c r="G471" s="38" t="str">
        <f t="shared" si="2"/>
        <v/>
      </c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ht="15.75" customHeight="1">
      <c r="A472" s="40"/>
      <c r="B472" s="36" t="str">
        <f t="shared" si="1"/>
        <v/>
      </c>
      <c r="C472" s="37" t="str">
        <f>ifs($A472=FALSE,"",$A472,VLOOKUP($A472,SCAN!$A:$C,3,0))</f>
        <v/>
      </c>
      <c r="D472" s="36" t="str">
        <f>ifs($A472=FALSE,"",$A472,VLOOKUP($A472,SCAN!$A:$D,4,0))</f>
        <v/>
      </c>
      <c r="E472" s="38" t="str">
        <f>ifs($A472=FALSE,"",$A472,VLOOKUP($A472,SCAN!$A:$C,2,0))</f>
        <v/>
      </c>
      <c r="F472" s="39"/>
      <c r="G472" s="38" t="str">
        <f t="shared" si="2"/>
        <v/>
      </c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ht="15.75" customHeight="1">
      <c r="A473" s="40"/>
      <c r="B473" s="36" t="str">
        <f t="shared" si="1"/>
        <v/>
      </c>
      <c r="C473" s="37" t="str">
        <f>ifs($A473=FALSE,"",$A473,VLOOKUP($A473,SCAN!$A:$C,3,0))</f>
        <v/>
      </c>
      <c r="D473" s="36" t="str">
        <f>ifs($A473=FALSE,"",$A473,VLOOKUP($A473,SCAN!$A:$D,4,0))</f>
        <v/>
      </c>
      <c r="E473" s="38" t="str">
        <f>ifs($A473=FALSE,"",$A473,VLOOKUP($A473,SCAN!$A:$C,2,0))</f>
        <v/>
      </c>
      <c r="F473" s="39"/>
      <c r="G473" s="38" t="str">
        <f t="shared" si="2"/>
        <v/>
      </c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ht="15.75" customHeight="1">
      <c r="A474" s="40"/>
      <c r="B474" s="36" t="str">
        <f t="shared" si="1"/>
        <v/>
      </c>
      <c r="C474" s="37" t="str">
        <f>ifs($A474=FALSE,"",$A474,VLOOKUP($A474,SCAN!$A:$C,3,0))</f>
        <v/>
      </c>
      <c r="D474" s="36" t="str">
        <f>ifs($A474=FALSE,"",$A474,VLOOKUP($A474,SCAN!$A:$D,4,0))</f>
        <v/>
      </c>
      <c r="E474" s="38" t="str">
        <f>ifs($A474=FALSE,"",$A474,VLOOKUP($A474,SCAN!$A:$C,2,0))</f>
        <v/>
      </c>
      <c r="F474" s="39"/>
      <c r="G474" s="38" t="str">
        <f t="shared" si="2"/>
        <v/>
      </c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ht="15.75" customHeight="1">
      <c r="A475" s="40"/>
      <c r="B475" s="36" t="str">
        <f t="shared" si="1"/>
        <v/>
      </c>
      <c r="C475" s="37" t="str">
        <f>ifs($A475=FALSE,"",$A475,VLOOKUP($A475,SCAN!$A:$C,3,0))</f>
        <v/>
      </c>
      <c r="D475" s="36" t="str">
        <f>ifs($A475=FALSE,"",$A475,VLOOKUP($A475,SCAN!$A:$D,4,0))</f>
        <v/>
      </c>
      <c r="E475" s="38" t="str">
        <f>ifs($A475=FALSE,"",$A475,VLOOKUP($A475,SCAN!$A:$C,2,0))</f>
        <v/>
      </c>
      <c r="F475" s="39"/>
      <c r="G475" s="38" t="str">
        <f t="shared" si="2"/>
        <v/>
      </c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ht="15.75" customHeight="1">
      <c r="A476" s="40"/>
      <c r="B476" s="36" t="str">
        <f t="shared" si="1"/>
        <v/>
      </c>
      <c r="C476" s="37" t="str">
        <f>ifs($A476=FALSE,"",$A476,VLOOKUP($A476,SCAN!$A:$C,3,0))</f>
        <v/>
      </c>
      <c r="D476" s="36" t="str">
        <f>ifs($A476=FALSE,"",$A476,VLOOKUP($A476,SCAN!$A:$D,4,0))</f>
        <v/>
      </c>
      <c r="E476" s="38" t="str">
        <f>ifs($A476=FALSE,"",$A476,VLOOKUP($A476,SCAN!$A:$C,2,0))</f>
        <v/>
      </c>
      <c r="F476" s="39"/>
      <c r="G476" s="38" t="str">
        <f t="shared" si="2"/>
        <v/>
      </c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ht="15.75" customHeight="1">
      <c r="A477" s="40"/>
      <c r="B477" s="36" t="str">
        <f t="shared" si="1"/>
        <v/>
      </c>
      <c r="C477" s="37" t="str">
        <f>ifs($A477=FALSE,"",$A477,VLOOKUP($A477,SCAN!$A:$C,3,0))</f>
        <v/>
      </c>
      <c r="D477" s="36" t="str">
        <f>ifs($A477=FALSE,"",$A477,VLOOKUP($A477,SCAN!$A:$D,4,0))</f>
        <v/>
      </c>
      <c r="E477" s="38" t="str">
        <f>ifs($A477=FALSE,"",$A477,VLOOKUP($A477,SCAN!$A:$C,2,0))</f>
        <v/>
      </c>
      <c r="F477" s="39"/>
      <c r="G477" s="38" t="str">
        <f t="shared" si="2"/>
        <v/>
      </c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ht="15.75" customHeight="1">
      <c r="A478" s="40"/>
      <c r="B478" s="36" t="str">
        <f t="shared" si="1"/>
        <v/>
      </c>
      <c r="C478" s="37" t="str">
        <f>ifs($A478=FALSE,"",$A478,VLOOKUP($A478,SCAN!$A:$C,3,0))</f>
        <v/>
      </c>
      <c r="D478" s="36" t="str">
        <f>ifs($A478=FALSE,"",$A478,VLOOKUP($A478,SCAN!$A:$D,4,0))</f>
        <v/>
      </c>
      <c r="E478" s="38" t="str">
        <f>ifs($A478=FALSE,"",$A478,VLOOKUP($A478,SCAN!$A:$C,2,0))</f>
        <v/>
      </c>
      <c r="F478" s="39"/>
      <c r="G478" s="38" t="str">
        <f t="shared" si="2"/>
        <v/>
      </c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ht="15.75" customHeight="1">
      <c r="A479" s="40"/>
      <c r="B479" s="36" t="str">
        <f t="shared" si="1"/>
        <v/>
      </c>
      <c r="C479" s="37" t="str">
        <f>ifs($A479=FALSE,"",$A479,VLOOKUP($A479,SCAN!$A:$C,3,0))</f>
        <v/>
      </c>
      <c r="D479" s="36" t="str">
        <f>ifs($A479=FALSE,"",$A479,VLOOKUP($A479,SCAN!$A:$D,4,0))</f>
        <v/>
      </c>
      <c r="E479" s="38" t="str">
        <f>ifs($A479=FALSE,"",$A479,VLOOKUP($A479,SCAN!$A:$C,2,0))</f>
        <v/>
      </c>
      <c r="F479" s="39"/>
      <c r="G479" s="38" t="str">
        <f t="shared" si="2"/>
        <v/>
      </c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ht="15.75" customHeight="1">
      <c r="A480" s="40"/>
      <c r="B480" s="36" t="str">
        <f t="shared" si="1"/>
        <v/>
      </c>
      <c r="C480" s="37" t="str">
        <f>ifs($A480=FALSE,"",$A480,VLOOKUP($A480,SCAN!$A:$C,3,0))</f>
        <v/>
      </c>
      <c r="D480" s="36" t="str">
        <f>ifs($A480=FALSE,"",$A480,VLOOKUP($A480,SCAN!$A:$D,4,0))</f>
        <v/>
      </c>
      <c r="E480" s="38" t="str">
        <f>ifs($A480=FALSE,"",$A480,VLOOKUP($A480,SCAN!$A:$C,2,0))</f>
        <v/>
      </c>
      <c r="F480" s="39"/>
      <c r="G480" s="38" t="str">
        <f t="shared" si="2"/>
        <v/>
      </c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ht="15.75" customHeight="1">
      <c r="A481" s="40"/>
      <c r="B481" s="36" t="str">
        <f t="shared" si="1"/>
        <v/>
      </c>
      <c r="C481" s="37" t="str">
        <f>ifs($A481=FALSE,"",$A481,VLOOKUP($A481,SCAN!$A:$C,3,0))</f>
        <v/>
      </c>
      <c r="D481" s="36" t="str">
        <f>ifs($A481=FALSE,"",$A481,VLOOKUP($A481,SCAN!$A:$D,4,0))</f>
        <v/>
      </c>
      <c r="E481" s="38" t="str">
        <f>ifs($A481=FALSE,"",$A481,VLOOKUP($A481,SCAN!$A:$C,2,0))</f>
        <v/>
      </c>
      <c r="F481" s="39"/>
      <c r="G481" s="38" t="str">
        <f t="shared" si="2"/>
        <v/>
      </c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ht="15.75" customHeight="1">
      <c r="A482" s="40"/>
      <c r="B482" s="36" t="str">
        <f t="shared" si="1"/>
        <v/>
      </c>
      <c r="C482" s="37" t="str">
        <f>ifs($A482=FALSE,"",$A482,VLOOKUP($A482,SCAN!$A:$C,3,0))</f>
        <v/>
      </c>
      <c r="D482" s="36" t="str">
        <f>ifs($A482=FALSE,"",$A482,VLOOKUP($A482,SCAN!$A:$D,4,0))</f>
        <v/>
      </c>
      <c r="E482" s="38" t="str">
        <f>ifs($A482=FALSE,"",$A482,VLOOKUP($A482,SCAN!$A:$C,2,0))</f>
        <v/>
      </c>
      <c r="F482" s="39"/>
      <c r="G482" s="38" t="str">
        <f t="shared" si="2"/>
        <v/>
      </c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ht="15.75" customHeight="1">
      <c r="A483" s="40"/>
      <c r="B483" s="36" t="str">
        <f t="shared" si="1"/>
        <v/>
      </c>
      <c r="C483" s="37" t="str">
        <f>ifs($A483=FALSE,"",$A483,VLOOKUP($A483,SCAN!$A:$C,3,0))</f>
        <v/>
      </c>
      <c r="D483" s="36" t="str">
        <f>ifs($A483=FALSE,"",$A483,VLOOKUP($A483,SCAN!$A:$D,4,0))</f>
        <v/>
      </c>
      <c r="E483" s="38" t="str">
        <f>ifs($A483=FALSE,"",$A483,VLOOKUP($A483,SCAN!$A:$C,2,0))</f>
        <v/>
      </c>
      <c r="F483" s="39"/>
      <c r="G483" s="38" t="str">
        <f t="shared" si="2"/>
        <v/>
      </c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ht="15.75" customHeight="1">
      <c r="A484" s="40"/>
      <c r="B484" s="36" t="str">
        <f t="shared" si="1"/>
        <v/>
      </c>
      <c r="C484" s="37" t="str">
        <f>ifs($A484=FALSE,"",$A484,VLOOKUP($A484,SCAN!$A:$C,3,0))</f>
        <v/>
      </c>
      <c r="D484" s="36" t="str">
        <f>ifs($A484=FALSE,"",$A484,VLOOKUP($A484,SCAN!$A:$D,4,0))</f>
        <v/>
      </c>
      <c r="E484" s="38" t="str">
        <f>ifs($A484=FALSE,"",$A484,VLOOKUP($A484,SCAN!$A:$C,2,0))</f>
        <v/>
      </c>
      <c r="F484" s="39"/>
      <c r="G484" s="38" t="str">
        <f t="shared" si="2"/>
        <v/>
      </c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ht="15.75" customHeight="1">
      <c r="A485" s="40"/>
      <c r="B485" s="36" t="str">
        <f t="shared" si="1"/>
        <v/>
      </c>
      <c r="C485" s="37" t="str">
        <f>ifs($A485=FALSE,"",$A485,VLOOKUP($A485,SCAN!$A:$C,3,0))</f>
        <v/>
      </c>
      <c r="D485" s="36" t="str">
        <f>ifs($A485=FALSE,"",$A485,VLOOKUP($A485,SCAN!$A:$D,4,0))</f>
        <v/>
      </c>
      <c r="E485" s="38" t="str">
        <f>ifs($A485=FALSE,"",$A485,VLOOKUP($A485,SCAN!$A:$C,2,0))</f>
        <v/>
      </c>
      <c r="F485" s="39"/>
      <c r="G485" s="38" t="str">
        <f t="shared" si="2"/>
        <v/>
      </c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ht="15.75" customHeight="1">
      <c r="A486" s="40"/>
      <c r="B486" s="36" t="str">
        <f t="shared" si="1"/>
        <v/>
      </c>
      <c r="C486" s="37" t="str">
        <f>ifs($A486=FALSE,"",$A486,VLOOKUP($A486,SCAN!$A:$C,3,0))</f>
        <v/>
      </c>
      <c r="D486" s="36" t="str">
        <f>ifs($A486=FALSE,"",$A486,VLOOKUP($A486,SCAN!$A:$D,4,0))</f>
        <v/>
      </c>
      <c r="E486" s="38" t="str">
        <f>ifs($A486=FALSE,"",$A486,VLOOKUP($A486,SCAN!$A:$C,2,0))</f>
        <v/>
      </c>
      <c r="F486" s="39"/>
      <c r="G486" s="38" t="str">
        <f t="shared" si="2"/>
        <v/>
      </c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ht="15.75" customHeight="1">
      <c r="A487" s="40"/>
      <c r="B487" s="36" t="str">
        <f t="shared" si="1"/>
        <v/>
      </c>
      <c r="C487" s="37" t="str">
        <f>ifs($A487=FALSE,"",$A487,VLOOKUP($A487,SCAN!$A:$C,3,0))</f>
        <v/>
      </c>
      <c r="D487" s="36" t="str">
        <f>ifs($A487=FALSE,"",$A487,VLOOKUP($A487,SCAN!$A:$D,4,0))</f>
        <v/>
      </c>
      <c r="E487" s="38" t="str">
        <f>ifs($A487=FALSE,"",$A487,VLOOKUP($A487,SCAN!$A:$C,2,0))</f>
        <v/>
      </c>
      <c r="F487" s="39"/>
      <c r="G487" s="38" t="str">
        <f t="shared" si="2"/>
        <v/>
      </c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ht="15.75" customHeight="1">
      <c r="A488" s="40"/>
      <c r="B488" s="36" t="str">
        <f t="shared" si="1"/>
        <v/>
      </c>
      <c r="C488" s="37" t="str">
        <f>ifs($A488=FALSE,"",$A488,VLOOKUP($A488,SCAN!$A:$C,3,0))</f>
        <v/>
      </c>
      <c r="D488" s="36" t="str">
        <f>ifs($A488=FALSE,"",$A488,VLOOKUP($A488,SCAN!$A:$D,4,0))</f>
        <v/>
      </c>
      <c r="E488" s="38" t="str">
        <f>ifs($A488=FALSE,"",$A488,VLOOKUP($A488,SCAN!$A:$C,2,0))</f>
        <v/>
      </c>
      <c r="F488" s="39"/>
      <c r="G488" s="38" t="str">
        <f t="shared" si="2"/>
        <v/>
      </c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ht="15.75" customHeight="1">
      <c r="A489" s="40"/>
      <c r="B489" s="36" t="str">
        <f t="shared" si="1"/>
        <v/>
      </c>
      <c r="C489" s="37" t="str">
        <f>ifs($A489=FALSE,"",$A489,VLOOKUP($A489,SCAN!$A:$C,3,0))</f>
        <v/>
      </c>
      <c r="D489" s="36" t="str">
        <f>ifs($A489=FALSE,"",$A489,VLOOKUP($A489,SCAN!$A:$D,4,0))</f>
        <v/>
      </c>
      <c r="E489" s="38" t="str">
        <f>ifs($A489=FALSE,"",$A489,VLOOKUP($A489,SCAN!$A:$C,2,0))</f>
        <v/>
      </c>
      <c r="F489" s="39"/>
      <c r="G489" s="38" t="str">
        <f t="shared" si="2"/>
        <v/>
      </c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ht="15.75" customHeight="1">
      <c r="A490" s="40"/>
      <c r="B490" s="36" t="str">
        <f t="shared" si="1"/>
        <v/>
      </c>
      <c r="C490" s="37" t="str">
        <f>ifs($A490=FALSE,"",$A490,VLOOKUP($A490,SCAN!$A:$C,3,0))</f>
        <v/>
      </c>
      <c r="D490" s="36" t="str">
        <f>ifs($A490=FALSE,"",$A490,VLOOKUP($A490,SCAN!$A:$D,4,0))</f>
        <v/>
      </c>
      <c r="E490" s="38" t="str">
        <f>ifs($A490=FALSE,"",$A490,VLOOKUP($A490,SCAN!$A:$C,2,0))</f>
        <v/>
      </c>
      <c r="F490" s="39"/>
      <c r="G490" s="38" t="str">
        <f t="shared" si="2"/>
        <v/>
      </c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ht="15.75" customHeight="1">
      <c r="A491" s="40"/>
      <c r="B491" s="36" t="str">
        <f t="shared" si="1"/>
        <v/>
      </c>
      <c r="C491" s="37" t="str">
        <f>ifs($A491=FALSE,"",$A491,VLOOKUP($A491,SCAN!$A:$C,3,0))</f>
        <v/>
      </c>
      <c r="D491" s="36" t="str">
        <f>ifs($A491=FALSE,"",$A491,VLOOKUP($A491,SCAN!$A:$D,4,0))</f>
        <v/>
      </c>
      <c r="E491" s="38" t="str">
        <f>ifs($A491=FALSE,"",$A491,VLOOKUP($A491,SCAN!$A:$C,2,0))</f>
        <v/>
      </c>
      <c r="F491" s="39"/>
      <c r="G491" s="38" t="str">
        <f t="shared" si="2"/>
        <v/>
      </c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ht="15.75" customHeight="1">
      <c r="A492" s="40"/>
      <c r="B492" s="36" t="str">
        <f t="shared" si="1"/>
        <v/>
      </c>
      <c r="C492" s="37" t="str">
        <f>ifs($A492=FALSE,"",$A492,VLOOKUP($A492,SCAN!$A:$C,3,0))</f>
        <v/>
      </c>
      <c r="D492" s="36" t="str">
        <f>ifs($A492=FALSE,"",$A492,VLOOKUP($A492,SCAN!$A:$D,4,0))</f>
        <v/>
      </c>
      <c r="E492" s="38" t="str">
        <f>ifs($A492=FALSE,"",$A492,VLOOKUP($A492,SCAN!$A:$C,2,0))</f>
        <v/>
      </c>
      <c r="F492" s="39"/>
      <c r="G492" s="38" t="str">
        <f t="shared" si="2"/>
        <v/>
      </c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ht="15.75" customHeight="1">
      <c r="A493" s="40"/>
      <c r="B493" s="36" t="str">
        <f t="shared" si="1"/>
        <v/>
      </c>
      <c r="C493" s="37" t="str">
        <f>ifs($A493=FALSE,"",$A493,VLOOKUP($A493,SCAN!$A:$C,3,0))</f>
        <v/>
      </c>
      <c r="D493" s="36" t="str">
        <f>ifs($A493=FALSE,"",$A493,VLOOKUP($A493,SCAN!$A:$D,4,0))</f>
        <v/>
      </c>
      <c r="E493" s="38" t="str">
        <f>ifs($A493=FALSE,"",$A493,VLOOKUP($A493,SCAN!$A:$C,2,0))</f>
        <v/>
      </c>
      <c r="F493" s="39"/>
      <c r="G493" s="38" t="str">
        <f t="shared" si="2"/>
        <v/>
      </c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ht="15.75" customHeight="1">
      <c r="A494" s="40"/>
      <c r="B494" s="36" t="str">
        <f t="shared" si="1"/>
        <v/>
      </c>
      <c r="C494" s="37" t="str">
        <f>ifs($A494=FALSE,"",$A494,VLOOKUP($A494,SCAN!$A:$C,3,0))</f>
        <v/>
      </c>
      <c r="D494" s="36" t="str">
        <f>ifs($A494=FALSE,"",$A494,VLOOKUP($A494,SCAN!$A:$D,4,0))</f>
        <v/>
      </c>
      <c r="E494" s="38" t="str">
        <f>ifs($A494=FALSE,"",$A494,VLOOKUP($A494,SCAN!$A:$C,2,0))</f>
        <v/>
      </c>
      <c r="F494" s="39"/>
      <c r="G494" s="38" t="str">
        <f t="shared" si="2"/>
        <v/>
      </c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ht="15.75" customHeight="1">
      <c r="A495" s="40"/>
      <c r="B495" s="36" t="str">
        <f t="shared" si="1"/>
        <v/>
      </c>
      <c r="C495" s="37" t="str">
        <f>ifs($A495=FALSE,"",$A495,VLOOKUP($A495,SCAN!$A:$C,3,0))</f>
        <v/>
      </c>
      <c r="D495" s="36" t="str">
        <f>ifs($A495=FALSE,"",$A495,VLOOKUP($A495,SCAN!$A:$D,4,0))</f>
        <v/>
      </c>
      <c r="E495" s="38" t="str">
        <f>ifs($A495=FALSE,"",$A495,VLOOKUP($A495,SCAN!$A:$C,2,0))</f>
        <v/>
      </c>
      <c r="F495" s="39"/>
      <c r="G495" s="38" t="str">
        <f t="shared" si="2"/>
        <v/>
      </c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ht="15.75" customHeight="1">
      <c r="A496" s="40"/>
      <c r="B496" s="36" t="str">
        <f t="shared" si="1"/>
        <v/>
      </c>
      <c r="C496" s="37" t="str">
        <f>ifs($A496=FALSE,"",$A496,VLOOKUP($A496,SCAN!$A:$C,3,0))</f>
        <v/>
      </c>
      <c r="D496" s="36" t="str">
        <f>ifs($A496=FALSE,"",$A496,VLOOKUP($A496,SCAN!$A:$D,4,0))</f>
        <v/>
      </c>
      <c r="E496" s="38" t="str">
        <f>ifs($A496=FALSE,"",$A496,VLOOKUP($A496,SCAN!$A:$C,2,0))</f>
        <v/>
      </c>
      <c r="F496" s="39"/>
      <c r="G496" s="38" t="str">
        <f t="shared" si="2"/>
        <v/>
      </c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ht="15.75" customHeight="1">
      <c r="A497" s="40"/>
      <c r="B497" s="36" t="str">
        <f t="shared" si="1"/>
        <v/>
      </c>
      <c r="C497" s="37" t="str">
        <f>ifs($A497=FALSE,"",$A497,VLOOKUP($A497,SCAN!$A:$C,3,0))</f>
        <v/>
      </c>
      <c r="D497" s="36" t="str">
        <f>ifs($A497=FALSE,"",$A497,VLOOKUP($A497,SCAN!$A:$D,4,0))</f>
        <v/>
      </c>
      <c r="E497" s="38" t="str">
        <f>ifs($A497=FALSE,"",$A497,VLOOKUP($A497,SCAN!$A:$C,2,0))</f>
        <v/>
      </c>
      <c r="F497" s="39"/>
      <c r="G497" s="38" t="str">
        <f t="shared" si="2"/>
        <v/>
      </c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ht="15.75" customHeight="1">
      <c r="A498" s="40"/>
      <c r="B498" s="36" t="str">
        <f t="shared" si="1"/>
        <v/>
      </c>
      <c r="C498" s="37" t="str">
        <f>ifs($A498=FALSE,"",$A498,VLOOKUP($A498,SCAN!$A:$C,3,0))</f>
        <v/>
      </c>
      <c r="D498" s="36" t="str">
        <f>ifs($A498=FALSE,"",$A498,VLOOKUP($A498,SCAN!$A:$D,4,0))</f>
        <v/>
      </c>
      <c r="E498" s="38" t="str">
        <f>ifs($A498=FALSE,"",$A498,VLOOKUP($A498,SCAN!$A:$C,2,0))</f>
        <v/>
      </c>
      <c r="F498" s="39"/>
      <c r="G498" s="38" t="str">
        <f t="shared" si="2"/>
        <v/>
      </c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ht="15.75" customHeight="1">
      <c r="A499" s="40"/>
      <c r="B499" s="36" t="str">
        <f t="shared" si="1"/>
        <v/>
      </c>
      <c r="C499" s="37" t="str">
        <f>ifs($A499=FALSE,"",$A499,VLOOKUP($A499,SCAN!$A:$C,3,0))</f>
        <v/>
      </c>
      <c r="D499" s="36" t="str">
        <f>ifs($A499=FALSE,"",$A499,VLOOKUP($A499,SCAN!$A:$D,4,0))</f>
        <v/>
      </c>
      <c r="E499" s="38" t="str">
        <f>ifs($A499=FALSE,"",$A499,VLOOKUP($A499,SCAN!$A:$C,2,0))</f>
        <v/>
      </c>
      <c r="F499" s="39"/>
      <c r="G499" s="38" t="str">
        <f t="shared" si="2"/>
        <v/>
      </c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71.88"/>
    <col customWidth="1" min="2" max="2" width="64.63"/>
    <col customWidth="1" min="3" max="6" width="12.63"/>
  </cols>
  <sheetData>
    <row r="1" ht="286.5" customHeight="1">
      <c r="A1" s="42" t="s">
        <v>6495</v>
      </c>
      <c r="B1" s="43" t="str">
        <f>IMAGE("https://chart.googleapis.com/chart?chs=400x400&amp;cht=qr&amp;chl="&amp;A1&amp;"")</f>
        <v/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5.63"/>
    <col customWidth="1" min="3" max="3" width="1.88"/>
    <col customWidth="1" min="4" max="4" width="8.5"/>
    <col customWidth="1" min="5" max="5" width="9.38"/>
    <col customWidth="1" min="6" max="6" width="10.13"/>
    <col customWidth="1" min="7" max="7" width="7.38"/>
    <col customWidth="1" min="8" max="8" width="7.25"/>
    <col customWidth="1" min="9" max="9" width="11.13"/>
    <col customWidth="1" min="10" max="10" width="32.13"/>
    <col customWidth="1" min="11" max="11" width="7.25"/>
    <col customWidth="1" min="12" max="12" width="7.5"/>
    <col customWidth="1" min="13" max="13" width="6.63"/>
    <col customWidth="1" min="14" max="14" width="6.13"/>
    <col customWidth="1" min="15" max="15" width="1.88"/>
    <col customWidth="1" hidden="1" min="16" max="20" width="11.0"/>
    <col customWidth="1" hidden="1" min="21" max="21" width="1.88"/>
    <col customWidth="1" min="22" max="22" width="13.0"/>
    <col customWidth="1" hidden="1" min="23" max="24" width="30.25"/>
    <col customWidth="1" hidden="1" min="25" max="25" width="10.63"/>
    <col customWidth="1" hidden="1" min="26" max="26" width="1.38"/>
    <col customWidth="1" min="27" max="27" width="8.38"/>
  </cols>
  <sheetData>
    <row r="1" ht="15.75" customHeight="1">
      <c r="A1" s="44" t="s">
        <v>33</v>
      </c>
      <c r="B1" s="45" t="s">
        <v>6496</v>
      </c>
      <c r="C1" s="46"/>
      <c r="D1" s="47" t="s">
        <v>34</v>
      </c>
      <c r="E1" s="47"/>
      <c r="F1" s="48" t="s">
        <v>6497</v>
      </c>
      <c r="G1" s="49" t="s">
        <v>6498</v>
      </c>
      <c r="H1" s="50" t="s">
        <v>1</v>
      </c>
      <c r="I1" s="50" t="s">
        <v>6499</v>
      </c>
      <c r="J1" s="50" t="s">
        <v>6425</v>
      </c>
      <c r="K1" s="49" t="s">
        <v>6500</v>
      </c>
      <c r="L1" s="49" t="s">
        <v>6501</v>
      </c>
      <c r="M1" s="49" t="s">
        <v>6502</v>
      </c>
      <c r="N1" s="51" t="s">
        <v>6503</v>
      </c>
      <c r="O1" s="46"/>
      <c r="P1" s="47" t="s">
        <v>6478</v>
      </c>
      <c r="Q1" s="49" t="s">
        <v>6504</v>
      </c>
      <c r="R1" s="49" t="s">
        <v>6422</v>
      </c>
      <c r="S1" s="49" t="s">
        <v>6424</v>
      </c>
      <c r="T1" s="49" t="s">
        <v>6437</v>
      </c>
      <c r="U1" s="52"/>
      <c r="V1" s="53" t="s">
        <v>6505</v>
      </c>
      <c r="W1" s="47"/>
      <c r="X1" s="50"/>
      <c r="Y1" s="49" t="s">
        <v>6506</v>
      </c>
      <c r="Z1" s="54"/>
      <c r="AA1" s="55"/>
    </row>
    <row r="2" ht="15.75" customHeight="1">
      <c r="A2" s="56" t="str">
        <f>IFS($B2=FALSE,"",$B2,VLOOKUP($B2,'PATIENT DATA (072721)'!A:C, 2, 0))</f>
        <v/>
      </c>
      <c r="B2" s="57"/>
      <c r="C2" s="58" t="str">
        <f>IF(COUNTIF('PATIENT DATA (072721)'!A:A, B2)=0, "X","✓")</f>
        <v>X</v>
      </c>
      <c r="D2" s="59" t="str">
        <f>IFS($B2=FALSE,"",$B2,VLOOKUP($B2,'PATIENT DATA (072721)'!A:C, 3, 0))</f>
        <v/>
      </c>
      <c r="E2" s="60"/>
      <c r="F2" s="61" t="str">
        <f>ifs($B2="","",$B2, VLOOKUP($B2&amp;$E2, 'FEB - VISIT DATA'!A:O,3,0))</f>
        <v/>
      </c>
      <c r="G2" s="62"/>
      <c r="H2" s="63"/>
      <c r="I2" s="64" t="str">
        <f>VLOOKUP($B2&amp;$E2,'FEB - VISIT DATA'!A:J, 9, FALSE)</f>
        <v>#N/A</v>
      </c>
      <c r="J2" s="65" t="str">
        <f>VLOOKUP(B2&amp;E2,'FEB - VISIT DATA'!A:O,10,FALSE)</f>
        <v>#N/A</v>
      </c>
      <c r="K2" s="66"/>
      <c r="L2" s="66"/>
      <c r="M2" s="66"/>
      <c r="N2" s="66"/>
      <c r="O2" s="58" t="str">
        <f t="shared" ref="O2:O99" si="1">IF(OR(K2 = "x",L2 = "x",M2 = "x"),"✓", "X")</f>
        <v>X</v>
      </c>
      <c r="P2" s="59" t="str">
        <f t="shared" ref="P2:P99" si="2">ifs(SEARCH($P$1,$J2)&gt;=1,"X")</f>
        <v>#N/A</v>
      </c>
      <c r="Q2" s="67" t="str">
        <f t="shared" ref="Q2:Q99" si="3">ifs(SEARCH($Q$1,$J2)&gt;=1,"X")</f>
        <v>#N/A</v>
      </c>
      <c r="R2" s="68" t="str">
        <f t="shared" ref="R2:R99" si="4">ifs(SEARCH($R$1,$J2)&gt;=1,"X")</f>
        <v>#N/A</v>
      </c>
      <c r="S2" s="62" t="str">
        <f t="shared" ref="S2:S99" si="5">ifs(SEARCH($S$1,$J2)&gt;=1,"X")</f>
        <v>#N/A</v>
      </c>
      <c r="T2" s="62" t="str">
        <f t="shared" ref="T2:T99" si="6">ifs(SEARCH($T$1,$J2)&gt;=1,"X")</f>
        <v>#N/A</v>
      </c>
      <c r="U2" s="63">
        <f t="shared" ref="U2:U99" si="7">countif($P2:$T2,"X")</f>
        <v>0</v>
      </c>
      <c r="V2" s="69" t="str">
        <f>ifs($N2="",VLOOKUP($B2&amp;$E2,'FEB - VISIT DATA'!$A$2:$J100,7,FALSE), $N2="SWAB","OUTSA-RW",$N2="SWQU","OUTSA-SaQu", AND($L2="X",$M2="X",$N2="QUEST"),"OUT-UAQPre",$N2="QUEST","OUT-UAQ", $N2="Walk in","ColUATele")</f>
        <v>#N/A</v>
      </c>
      <c r="W2" s="70" t="str">
        <f t="shared" ref="W2:W99" si="8">ifs($V2="UA-NWPT","UA-NWPT : UA New Patient",$V2="UA","UA : Urine Analysis In House",$V2="UA-Prelim","UA-Prelim : Preliminary UA Test",$V2="OUT-UAQ","OUT-UAQ : Quest Out UA",$V2="OUT-UAQPre", "OUT-UAQPre : OUT UA Prelim Quest",$V2="OUTSA-SaQu","OUTSA-SaQu : Saliva Out Quest",$V2="ColUATele","Collected Telemed",$V2="OUTUA-PrRW", "OUTUA-PrRW : OUT UA Prelimin Redwood",$V2="OUTUA-FURW", "OUTUA-FURW : OUT UA FU Redwood",$V2="OUTUA-NWRW", "OUTUA-NWRW : OUT UA New Redwood",$V2="OUTSA-RW", "OUTSA-RW : OUT Saliva Redwood")</f>
        <v>#N/A</v>
      </c>
      <c r="X2" s="64" t="str">
        <f t="shared" ref="X2:X99" si="9">ifs($B2="","",and($K2="X",$L2="X",$M2="X",$N2="SWAB"), "ERROR",and($K2="X",$L2="X",$N2="SWAB"), "ERROR", and($L2="X",$N2="SWAB"), "OUTSA-RW : OUT Saliva Redwood", and($K2="X",$M2="X", $N2="SWAB"),"ERROR", and($M2="X",$N2="SWAB"), "OUTSA-RW : OUT Saliva Redwood", and($K2="X",$N2="SWAB"),"OUTSA-RW : OUT Saliva Redwood",and($K2="X",$L2="X"),"ERROR", and($K2="X",$M2="X"),"ERROR",and($M2="X",$U2=1), "OUTUA-PrRW : OUT UA Prelimin Redwood", and($K2="X",$U2=1), "OUTUA-NWRW : OUT UA New Redwood", and($L2="X",$U2=1), "OUTUA-FURW : OUT UA FU Redwood", and($L2="X",$M2="X",$U2=1), "OUTUA-PrRW : OUT UA Prelimin Redwood", $K2="X","UA-NWPT : UA New Patient", and($L2="X",$M2="X"),"UA-Prelim : Preliminary UA Test",and($L2="X",$N2="SWAB"),"OUTSA-RW : OUT Saliva Redwood",$L2="X","UA : Urine Analysis In House",$M2="X","UA-Prelim : Preliminary UA Test")</f>
        <v/>
      </c>
      <c r="Y2" s="64" t="str">
        <f t="shared" ref="Y2:Y99" si="10">IFS($B2="","",X2=W2,"MATCH",X2&lt;&gt;W2,"NO MATCH")</f>
        <v/>
      </c>
      <c r="Z2" s="66" t="str">
        <f t="shared" ref="Z2:Z99" si="11">IF((countif($B$2:$B100,$B2)&gt;1),"Repeat"," ")</f>
        <v> </v>
      </c>
      <c r="AA2" s="71"/>
    </row>
    <row r="3" ht="15.75" customHeight="1">
      <c r="A3" s="56" t="str">
        <f>IFS($B3=FALSE,"",$B3,VLOOKUP($B3,'PATIENT DATA (072721)'!A:C, 2, 0))</f>
        <v/>
      </c>
      <c r="B3" s="57"/>
      <c r="C3" s="58" t="str">
        <f>IF(COUNTIF('PATIENT DATA (072721)'!A:A, B3)=0, "X","✓")</f>
        <v>X</v>
      </c>
      <c r="D3" s="59" t="str">
        <f>IFS($B3=FALSE,"",$B3,VLOOKUP($B3,'PATIENT DATA (072721)'!A:C, 3, 0))</f>
        <v/>
      </c>
      <c r="E3" s="60"/>
      <c r="F3" s="61" t="str">
        <f>ifs($B3="","",$B3, VLOOKUP($B3&amp;$E3, 'FEB - VISIT DATA'!A:O,3,0))</f>
        <v/>
      </c>
      <c r="G3" s="62"/>
      <c r="H3" s="63"/>
      <c r="I3" s="64" t="str">
        <f>VLOOKUP($B3&amp;$E3,'FEB - VISIT DATA'!A:J, 9, FALSE)</f>
        <v>#N/A</v>
      </c>
      <c r="J3" s="65" t="str">
        <f>VLOOKUP(B3&amp;E3,'FEB - VISIT DATA'!A:O,10,FALSE)</f>
        <v>#N/A</v>
      </c>
      <c r="K3" s="66"/>
      <c r="L3" s="66"/>
      <c r="M3" s="66"/>
      <c r="N3" s="66"/>
      <c r="O3" s="58" t="str">
        <f t="shared" si="1"/>
        <v>X</v>
      </c>
      <c r="P3" s="59" t="str">
        <f t="shared" si="2"/>
        <v>#N/A</v>
      </c>
      <c r="Q3" s="67" t="str">
        <f t="shared" si="3"/>
        <v>#N/A</v>
      </c>
      <c r="R3" s="68" t="str">
        <f t="shared" si="4"/>
        <v>#N/A</v>
      </c>
      <c r="S3" s="62" t="str">
        <f t="shared" si="5"/>
        <v>#N/A</v>
      </c>
      <c r="T3" s="62" t="str">
        <f t="shared" si="6"/>
        <v>#N/A</v>
      </c>
      <c r="U3" s="63">
        <f t="shared" si="7"/>
        <v>0</v>
      </c>
      <c r="V3" s="69" t="str">
        <f>ifs($N3="",VLOOKUP($B3&amp;$E3,'FEB - VISIT DATA'!$A$2:$J100,7,FALSE), $N3="SWAB","OUTSA-RW",$N3="SWQU","OUTSA-SaQu", AND($L3="X",$M3="X",$N3="QUEST"),"OUT-UAQPre",$N3="QUEST","OUT-UAQ", $N3="Walk in","ColUATele")</f>
        <v>#N/A</v>
      </c>
      <c r="W3" s="70" t="str">
        <f t="shared" si="8"/>
        <v>#N/A</v>
      </c>
      <c r="X3" s="64" t="str">
        <f t="shared" si="9"/>
        <v/>
      </c>
      <c r="Y3" s="64" t="str">
        <f t="shared" si="10"/>
        <v/>
      </c>
      <c r="Z3" s="66" t="str">
        <f t="shared" si="11"/>
        <v> </v>
      </c>
      <c r="AA3" s="71"/>
    </row>
    <row r="4" ht="15.75" customHeight="1">
      <c r="A4" s="56" t="str">
        <f>IFS($B4=FALSE,"",$B4,VLOOKUP($B4,'PATIENT DATA (072721)'!A:C, 2, 0))</f>
        <v/>
      </c>
      <c r="B4" s="57"/>
      <c r="C4" s="58" t="str">
        <f>IF(COUNTIF('PATIENT DATA (072721)'!A:A, B4)=0, "X","✓")</f>
        <v>X</v>
      </c>
      <c r="D4" s="59" t="str">
        <f>IFS($B4=FALSE,"",$B4,VLOOKUP($B4,'PATIENT DATA (072721)'!A:C, 3, 0))</f>
        <v/>
      </c>
      <c r="E4" s="60"/>
      <c r="F4" s="61" t="str">
        <f>ifs($B4="","",$B4, VLOOKUP($B4&amp;$E4, 'FEB - VISIT DATA'!A:O,3,0))</f>
        <v/>
      </c>
      <c r="G4" s="62"/>
      <c r="H4" s="63"/>
      <c r="I4" s="64" t="str">
        <f>VLOOKUP($B4&amp;$E4,'FEB - VISIT DATA'!A:J, 9, FALSE)</f>
        <v>#N/A</v>
      </c>
      <c r="J4" s="65" t="str">
        <f>VLOOKUP(B4&amp;E4,'FEB - VISIT DATA'!A:O,10,FALSE)</f>
        <v>#N/A</v>
      </c>
      <c r="K4" s="66"/>
      <c r="L4" s="66"/>
      <c r="M4" s="66"/>
      <c r="N4" s="66"/>
      <c r="O4" s="58" t="str">
        <f t="shared" si="1"/>
        <v>X</v>
      </c>
      <c r="P4" s="59" t="str">
        <f t="shared" si="2"/>
        <v>#N/A</v>
      </c>
      <c r="Q4" s="67" t="str">
        <f t="shared" si="3"/>
        <v>#N/A</v>
      </c>
      <c r="R4" s="68" t="str">
        <f t="shared" si="4"/>
        <v>#N/A</v>
      </c>
      <c r="S4" s="62" t="str">
        <f t="shared" si="5"/>
        <v>#N/A</v>
      </c>
      <c r="T4" s="62" t="str">
        <f t="shared" si="6"/>
        <v>#N/A</v>
      </c>
      <c r="U4" s="63">
        <f t="shared" si="7"/>
        <v>0</v>
      </c>
      <c r="V4" s="69" t="str">
        <f>ifs($N4="",VLOOKUP($B4&amp;$E4,'FEB - VISIT DATA'!$A$2:$J100,7,FALSE), $N4="SWAB","OUTSA-RW",$N4="SWQU","OUTSA-SaQu", AND($L4="X",$M4="X",$N4="QUEST"),"OUT-UAQPre",$N4="QUEST","OUT-UAQ", $N4="Walk in","ColUATele")</f>
        <v>#N/A</v>
      </c>
      <c r="W4" s="70" t="str">
        <f t="shared" si="8"/>
        <v>#N/A</v>
      </c>
      <c r="X4" s="64" t="str">
        <f t="shared" si="9"/>
        <v/>
      </c>
      <c r="Y4" s="64" t="str">
        <f t="shared" si="10"/>
        <v/>
      </c>
      <c r="Z4" s="66" t="str">
        <f t="shared" si="11"/>
        <v> </v>
      </c>
      <c r="AA4" s="71"/>
    </row>
    <row r="5" ht="15.75" customHeight="1">
      <c r="A5" s="56" t="str">
        <f>IFS($B5=FALSE,"",$B5,VLOOKUP($B5,'PATIENT DATA (072721)'!A:C, 2, 0))</f>
        <v/>
      </c>
      <c r="B5" s="57"/>
      <c r="C5" s="58" t="str">
        <f>IF(COUNTIF('PATIENT DATA (072721)'!A:A, B5)=0, "X","✓")</f>
        <v>X</v>
      </c>
      <c r="D5" s="59" t="str">
        <f>IFS($B5=FALSE,"",$B5,VLOOKUP($B5,'PATIENT DATA (072721)'!A:C, 3, 0))</f>
        <v/>
      </c>
      <c r="E5" s="60"/>
      <c r="F5" s="61" t="str">
        <f>ifs($B5="","",$B5, VLOOKUP($B5&amp;$E5, 'FEB - VISIT DATA'!A:O,3,0))</f>
        <v/>
      </c>
      <c r="G5" s="62"/>
      <c r="H5" s="63"/>
      <c r="I5" s="64" t="str">
        <f>VLOOKUP($B5&amp;$E5,'FEB - VISIT DATA'!A:J, 9, FALSE)</f>
        <v>#N/A</v>
      </c>
      <c r="J5" s="65" t="str">
        <f>VLOOKUP(B5&amp;E5,'FEB - VISIT DATA'!A:O,10,FALSE)</f>
        <v>#N/A</v>
      </c>
      <c r="K5" s="66"/>
      <c r="L5" s="66"/>
      <c r="M5" s="66"/>
      <c r="N5" s="66"/>
      <c r="O5" s="58" t="str">
        <f t="shared" si="1"/>
        <v>X</v>
      </c>
      <c r="P5" s="59" t="str">
        <f t="shared" si="2"/>
        <v>#N/A</v>
      </c>
      <c r="Q5" s="67" t="str">
        <f t="shared" si="3"/>
        <v>#N/A</v>
      </c>
      <c r="R5" s="68" t="str">
        <f t="shared" si="4"/>
        <v>#N/A</v>
      </c>
      <c r="S5" s="62" t="str">
        <f t="shared" si="5"/>
        <v>#N/A</v>
      </c>
      <c r="T5" s="62" t="str">
        <f t="shared" si="6"/>
        <v>#N/A</v>
      </c>
      <c r="U5" s="63">
        <f t="shared" si="7"/>
        <v>0</v>
      </c>
      <c r="V5" s="69" t="str">
        <f>ifs($N5="",VLOOKUP($B5&amp;$E5,'FEB - VISIT DATA'!$A$2:$J100,7,FALSE), $N5="SWAB","OUTSA-RW",$N5="SWQU","OUTSA-SaQu", AND($L5="X",$M5="X",$N5="QUEST"),"OUT-UAQPre",$N5="QUEST","OUT-UAQ", $N5="Walk in","ColUATele")</f>
        <v>#N/A</v>
      </c>
      <c r="W5" s="70" t="str">
        <f t="shared" si="8"/>
        <v>#N/A</v>
      </c>
      <c r="X5" s="64" t="str">
        <f t="shared" si="9"/>
        <v/>
      </c>
      <c r="Y5" s="64" t="str">
        <f t="shared" si="10"/>
        <v/>
      </c>
      <c r="Z5" s="66" t="str">
        <f t="shared" si="11"/>
        <v> </v>
      </c>
      <c r="AA5" s="71"/>
    </row>
    <row r="6" ht="15.75" customHeight="1">
      <c r="A6" s="56" t="str">
        <f>IFS($B6=FALSE,"",$B6,VLOOKUP($B6,'PATIENT DATA (072721)'!A:C, 2, 0))</f>
        <v/>
      </c>
      <c r="B6" s="57"/>
      <c r="C6" s="58" t="str">
        <f>IF(COUNTIF('PATIENT DATA (072721)'!A:A, B6)=0, "X","✓")</f>
        <v>X</v>
      </c>
      <c r="D6" s="59" t="str">
        <f>IFS($B6=FALSE,"",$B6,VLOOKUP($B6,'PATIENT DATA (072721)'!A:C, 3, 0))</f>
        <v/>
      </c>
      <c r="E6" s="60"/>
      <c r="F6" s="61" t="str">
        <f>ifs($B6="","",$B6, VLOOKUP($B6&amp;$E6, 'FEB - VISIT DATA'!A:O,3,0))</f>
        <v/>
      </c>
      <c r="G6" s="62"/>
      <c r="H6" s="63"/>
      <c r="I6" s="64" t="str">
        <f>VLOOKUP($B6&amp;$E6,'FEB - VISIT DATA'!A:J, 9, FALSE)</f>
        <v>#N/A</v>
      </c>
      <c r="J6" s="65" t="str">
        <f>VLOOKUP(B6&amp;E6,'FEB - VISIT DATA'!A:O,10,FALSE)</f>
        <v>#N/A</v>
      </c>
      <c r="K6" s="66"/>
      <c r="L6" s="66"/>
      <c r="M6" s="66"/>
      <c r="N6" s="66"/>
      <c r="O6" s="58" t="str">
        <f t="shared" si="1"/>
        <v>X</v>
      </c>
      <c r="P6" s="59" t="str">
        <f t="shared" si="2"/>
        <v>#N/A</v>
      </c>
      <c r="Q6" s="67" t="str">
        <f t="shared" si="3"/>
        <v>#N/A</v>
      </c>
      <c r="R6" s="68" t="str">
        <f t="shared" si="4"/>
        <v>#N/A</v>
      </c>
      <c r="S6" s="62" t="str">
        <f t="shared" si="5"/>
        <v>#N/A</v>
      </c>
      <c r="T6" s="62" t="str">
        <f t="shared" si="6"/>
        <v>#N/A</v>
      </c>
      <c r="U6" s="63">
        <f t="shared" si="7"/>
        <v>0</v>
      </c>
      <c r="V6" s="69" t="str">
        <f>ifs($N6="",VLOOKUP($B6&amp;$E6,'FEB - VISIT DATA'!$A$2:$J100,7,FALSE), $N6="SWAB","OUTSA-RW",$N6="SWQU","OUTSA-SaQu", AND($L6="X",$M6="X",$N6="QUEST"),"OUT-UAQPre",$N6="QUEST","OUT-UAQ", $N6="Walk in","ColUATele")</f>
        <v>#N/A</v>
      </c>
      <c r="W6" s="70" t="str">
        <f t="shared" si="8"/>
        <v>#N/A</v>
      </c>
      <c r="X6" s="64" t="str">
        <f t="shared" si="9"/>
        <v/>
      </c>
      <c r="Y6" s="64" t="str">
        <f t="shared" si="10"/>
        <v/>
      </c>
      <c r="Z6" s="66" t="str">
        <f t="shared" si="11"/>
        <v> </v>
      </c>
      <c r="AA6" s="71"/>
    </row>
    <row r="7" ht="15.75" customHeight="1">
      <c r="A7" s="56" t="str">
        <f>IFS($B7=FALSE,"",$B7,VLOOKUP($B7,'PATIENT DATA (072721)'!A:C, 2, 0))</f>
        <v/>
      </c>
      <c r="B7" s="57"/>
      <c r="C7" s="58" t="str">
        <f>IF(COUNTIF('PATIENT DATA (072721)'!A:A, B7)=0, "X","✓")</f>
        <v>X</v>
      </c>
      <c r="D7" s="59" t="str">
        <f>IFS($B7=FALSE,"",$B7,VLOOKUP($B7,'PATIENT DATA (072721)'!A:C, 3, 0))</f>
        <v/>
      </c>
      <c r="E7" s="60"/>
      <c r="F7" s="61" t="str">
        <f>ifs($B7="","",$B7, VLOOKUP($B7&amp;$E7, 'FEB - VISIT DATA'!A:O,3,0))</f>
        <v/>
      </c>
      <c r="G7" s="62"/>
      <c r="H7" s="63"/>
      <c r="I7" s="64" t="str">
        <f>VLOOKUP($B7&amp;$E7,'FEB - VISIT DATA'!A:J, 9, FALSE)</f>
        <v>#N/A</v>
      </c>
      <c r="J7" s="65" t="str">
        <f>VLOOKUP(B7&amp;E7,'FEB - VISIT DATA'!A:O,10,FALSE)</f>
        <v>#N/A</v>
      </c>
      <c r="K7" s="66"/>
      <c r="L7" s="66"/>
      <c r="M7" s="66"/>
      <c r="N7" s="66"/>
      <c r="O7" s="58" t="str">
        <f t="shared" si="1"/>
        <v>X</v>
      </c>
      <c r="P7" s="59" t="str">
        <f t="shared" si="2"/>
        <v>#N/A</v>
      </c>
      <c r="Q7" s="67" t="str">
        <f t="shared" si="3"/>
        <v>#N/A</v>
      </c>
      <c r="R7" s="68" t="str">
        <f t="shared" si="4"/>
        <v>#N/A</v>
      </c>
      <c r="S7" s="62" t="str">
        <f t="shared" si="5"/>
        <v>#N/A</v>
      </c>
      <c r="T7" s="62" t="str">
        <f t="shared" si="6"/>
        <v>#N/A</v>
      </c>
      <c r="U7" s="63">
        <f t="shared" si="7"/>
        <v>0</v>
      </c>
      <c r="V7" s="69" t="str">
        <f>ifs($N7="",VLOOKUP($B7&amp;$E7,'FEB - VISIT DATA'!$A$2:$J100,7,FALSE), $N7="SWAB","OUTSA-RW",$N7="SWQU","OUTSA-SaQu", AND($L7="X",$M7="X",$N7="QUEST"),"OUT-UAQPre",$N7="QUEST","OUT-UAQ", $N7="Walk in","ColUATele")</f>
        <v>#N/A</v>
      </c>
      <c r="W7" s="70" t="str">
        <f t="shared" si="8"/>
        <v>#N/A</v>
      </c>
      <c r="X7" s="64" t="str">
        <f t="shared" si="9"/>
        <v/>
      </c>
      <c r="Y7" s="64" t="str">
        <f t="shared" si="10"/>
        <v/>
      </c>
      <c r="Z7" s="66" t="str">
        <f t="shared" si="11"/>
        <v> </v>
      </c>
      <c r="AA7" s="71"/>
    </row>
    <row r="8" ht="15.75" customHeight="1">
      <c r="A8" s="56" t="str">
        <f>IFS($B8=FALSE,"",$B8,VLOOKUP($B8,'PATIENT DATA (072721)'!A:C, 2, 0))</f>
        <v/>
      </c>
      <c r="B8" s="57"/>
      <c r="C8" s="58" t="str">
        <f>IF(COUNTIF('PATIENT DATA (072721)'!A:A, B8)=0, "X","✓")</f>
        <v>X</v>
      </c>
      <c r="D8" s="59" t="str">
        <f>IFS($B8=FALSE,"",$B8,VLOOKUP($B8,'PATIENT DATA (072721)'!A:C, 3, 0))</f>
        <v/>
      </c>
      <c r="E8" s="60"/>
      <c r="F8" s="61" t="str">
        <f>ifs($B8="","",$B8, VLOOKUP($B8&amp;$E8, 'FEB - VISIT DATA'!A:O,3,0))</f>
        <v/>
      </c>
      <c r="G8" s="62"/>
      <c r="H8" s="63"/>
      <c r="I8" s="64" t="str">
        <f>VLOOKUP($B8&amp;$E8,'FEB - VISIT DATA'!A:J, 9, FALSE)</f>
        <v>#N/A</v>
      </c>
      <c r="J8" s="65" t="str">
        <f>VLOOKUP(B8&amp;E8,'FEB - VISIT DATA'!A:O,10,FALSE)</f>
        <v>#N/A</v>
      </c>
      <c r="K8" s="66"/>
      <c r="L8" s="66"/>
      <c r="M8" s="66"/>
      <c r="N8" s="66"/>
      <c r="O8" s="58" t="str">
        <f t="shared" si="1"/>
        <v>X</v>
      </c>
      <c r="P8" s="59" t="str">
        <f t="shared" si="2"/>
        <v>#N/A</v>
      </c>
      <c r="Q8" s="67" t="str">
        <f t="shared" si="3"/>
        <v>#N/A</v>
      </c>
      <c r="R8" s="68" t="str">
        <f t="shared" si="4"/>
        <v>#N/A</v>
      </c>
      <c r="S8" s="62" t="str">
        <f t="shared" si="5"/>
        <v>#N/A</v>
      </c>
      <c r="T8" s="62" t="str">
        <f t="shared" si="6"/>
        <v>#N/A</v>
      </c>
      <c r="U8" s="63">
        <f t="shared" si="7"/>
        <v>0</v>
      </c>
      <c r="V8" s="69" t="str">
        <f>ifs($N8="",VLOOKUP($B8&amp;$E8,'FEB - VISIT DATA'!$A$2:$J100,7,FALSE), $N8="SWAB","OUTSA-RW",$N8="SWQU","OUTSA-SaQu", AND($L8="X",$M8="X",$N8="QUEST"),"OUT-UAQPre",$N8="QUEST","OUT-UAQ", $N8="Walk in","ColUATele")</f>
        <v>#N/A</v>
      </c>
      <c r="W8" s="70" t="str">
        <f t="shared" si="8"/>
        <v>#N/A</v>
      </c>
      <c r="X8" s="64" t="str">
        <f t="shared" si="9"/>
        <v/>
      </c>
      <c r="Y8" s="64" t="str">
        <f t="shared" si="10"/>
        <v/>
      </c>
      <c r="Z8" s="66" t="str">
        <f t="shared" si="11"/>
        <v> </v>
      </c>
      <c r="AA8" s="71"/>
    </row>
    <row r="9" ht="15.75" customHeight="1">
      <c r="A9" s="56" t="str">
        <f>IFS($B9=FALSE,"",$B9,VLOOKUP($B9,'PATIENT DATA (072721)'!A:C, 2, 0))</f>
        <v/>
      </c>
      <c r="B9" s="57"/>
      <c r="C9" s="58" t="str">
        <f>IF(COUNTIF('PATIENT DATA (072721)'!A:A, B9)=0, "X","✓")</f>
        <v>X</v>
      </c>
      <c r="D9" s="59" t="str">
        <f>IFS($B9=FALSE,"",$B9,VLOOKUP($B9,'PATIENT DATA (072721)'!A:C, 3, 0))</f>
        <v/>
      </c>
      <c r="E9" s="60"/>
      <c r="F9" s="61" t="str">
        <f>ifs($B9="","",$B9, VLOOKUP($B9&amp;$E9, 'FEB - VISIT DATA'!A:O,3,0))</f>
        <v/>
      </c>
      <c r="G9" s="62"/>
      <c r="H9" s="63"/>
      <c r="I9" s="64" t="str">
        <f>VLOOKUP($B9&amp;$E9,'FEB - VISIT DATA'!A:J, 9, FALSE)</f>
        <v>#N/A</v>
      </c>
      <c r="J9" s="65" t="str">
        <f>VLOOKUP(B9&amp;E9,'FEB - VISIT DATA'!A:O,10,FALSE)</f>
        <v>#N/A</v>
      </c>
      <c r="K9" s="66"/>
      <c r="L9" s="66"/>
      <c r="M9" s="66"/>
      <c r="N9" s="66"/>
      <c r="O9" s="58" t="str">
        <f t="shared" si="1"/>
        <v>X</v>
      </c>
      <c r="P9" s="59" t="str">
        <f t="shared" si="2"/>
        <v>#N/A</v>
      </c>
      <c r="Q9" s="67" t="str">
        <f t="shared" si="3"/>
        <v>#N/A</v>
      </c>
      <c r="R9" s="68" t="str">
        <f t="shared" si="4"/>
        <v>#N/A</v>
      </c>
      <c r="S9" s="62" t="str">
        <f t="shared" si="5"/>
        <v>#N/A</v>
      </c>
      <c r="T9" s="62" t="str">
        <f t="shared" si="6"/>
        <v>#N/A</v>
      </c>
      <c r="U9" s="63">
        <f t="shared" si="7"/>
        <v>0</v>
      </c>
      <c r="V9" s="69" t="str">
        <f>ifs($N9="",VLOOKUP($B9&amp;$E9,'FEB - VISIT DATA'!$A$2:$J100,7,FALSE), $N9="SWAB","OUTSA-RW",$N9="SWQU","OUTSA-SaQu", AND($L9="X",$M9="X",$N9="QUEST"),"OUT-UAQPre",$N9="QUEST","OUT-UAQ", $N9="Walk in","ColUATele")</f>
        <v>#N/A</v>
      </c>
      <c r="W9" s="70" t="str">
        <f t="shared" si="8"/>
        <v>#N/A</v>
      </c>
      <c r="X9" s="64" t="str">
        <f t="shared" si="9"/>
        <v/>
      </c>
      <c r="Y9" s="64" t="str">
        <f t="shared" si="10"/>
        <v/>
      </c>
      <c r="Z9" s="66" t="str">
        <f t="shared" si="11"/>
        <v> </v>
      </c>
      <c r="AA9" s="71"/>
    </row>
    <row r="10" ht="15.75" customHeight="1">
      <c r="A10" s="56" t="str">
        <f>IFS($B10=FALSE,"",$B10,VLOOKUP($B10,'PATIENT DATA (072721)'!A:C, 2, 0))</f>
        <v/>
      </c>
      <c r="B10" s="57"/>
      <c r="C10" s="58" t="str">
        <f>IF(COUNTIF('PATIENT DATA (072721)'!A:A, B10)=0, "X","✓")</f>
        <v>X</v>
      </c>
      <c r="D10" s="59" t="str">
        <f>IFS($B10=FALSE,"",$B10,VLOOKUP($B10,'PATIENT DATA (072721)'!A:C, 3, 0))</f>
        <v/>
      </c>
      <c r="E10" s="60"/>
      <c r="F10" s="61" t="str">
        <f>ifs($B10="","",$B10, VLOOKUP($B10&amp;$E10, 'FEB - VISIT DATA'!A:O,3,0))</f>
        <v/>
      </c>
      <c r="G10" s="62"/>
      <c r="H10" s="63"/>
      <c r="I10" s="64" t="str">
        <f>VLOOKUP($B10&amp;$E10,'FEB - VISIT DATA'!A:J, 9, FALSE)</f>
        <v>#N/A</v>
      </c>
      <c r="J10" s="65" t="str">
        <f>VLOOKUP(B10&amp;E10,'FEB - VISIT DATA'!A:O,10,FALSE)</f>
        <v>#N/A</v>
      </c>
      <c r="K10" s="66"/>
      <c r="L10" s="66"/>
      <c r="M10" s="66"/>
      <c r="N10" s="66"/>
      <c r="O10" s="58" t="str">
        <f t="shared" si="1"/>
        <v>X</v>
      </c>
      <c r="P10" s="59" t="str">
        <f t="shared" si="2"/>
        <v>#N/A</v>
      </c>
      <c r="Q10" s="67" t="str">
        <f t="shared" si="3"/>
        <v>#N/A</v>
      </c>
      <c r="R10" s="68" t="str">
        <f t="shared" si="4"/>
        <v>#N/A</v>
      </c>
      <c r="S10" s="62" t="str">
        <f t="shared" si="5"/>
        <v>#N/A</v>
      </c>
      <c r="T10" s="62" t="str">
        <f t="shared" si="6"/>
        <v>#N/A</v>
      </c>
      <c r="U10" s="63">
        <f t="shared" si="7"/>
        <v>0</v>
      </c>
      <c r="V10" s="69" t="str">
        <f>ifs($N10="",VLOOKUP($B10&amp;$E10,'FEB - VISIT DATA'!$A$2:$J100,7,FALSE), $N10="SWAB","OUTSA-RW",$N10="SWQU","OUTSA-SaQu", AND($L10="X",$M10="X",$N10="QUEST"),"OUT-UAQPre",$N10="QUEST","OUT-UAQ", $N10="Walk in","ColUATele")</f>
        <v>#N/A</v>
      </c>
      <c r="W10" s="70" t="str">
        <f t="shared" si="8"/>
        <v>#N/A</v>
      </c>
      <c r="X10" s="64" t="str">
        <f t="shared" si="9"/>
        <v/>
      </c>
      <c r="Y10" s="64" t="str">
        <f t="shared" si="10"/>
        <v/>
      </c>
      <c r="Z10" s="66" t="str">
        <f t="shared" si="11"/>
        <v> </v>
      </c>
      <c r="AA10" s="71"/>
    </row>
    <row r="11" ht="15.75" customHeight="1">
      <c r="A11" s="56" t="str">
        <f>IFS($B11=FALSE,"",$B11,VLOOKUP($B11,'PATIENT DATA (072721)'!A:C, 2, 0))</f>
        <v/>
      </c>
      <c r="B11" s="57"/>
      <c r="C11" s="58" t="str">
        <f>IF(COUNTIF('PATIENT DATA (072721)'!A:A, B11)=0, "X","✓")</f>
        <v>X</v>
      </c>
      <c r="D11" s="59" t="str">
        <f>IFS($B11=FALSE,"",$B11,VLOOKUP($B11,'PATIENT DATA (072721)'!A:C, 3, 0))</f>
        <v/>
      </c>
      <c r="E11" s="60"/>
      <c r="F11" s="61" t="str">
        <f>ifs($B11="","",$B11, VLOOKUP($B11&amp;$E11, 'FEB - VISIT DATA'!A:O,3,0))</f>
        <v/>
      </c>
      <c r="G11" s="62"/>
      <c r="H11" s="63"/>
      <c r="I11" s="64" t="str">
        <f>VLOOKUP($B11&amp;$E11,'FEB - VISIT DATA'!A:J, 9, FALSE)</f>
        <v>#N/A</v>
      </c>
      <c r="J11" s="65" t="str">
        <f>VLOOKUP(B11&amp;E11,'FEB - VISIT DATA'!A:O,10,FALSE)</f>
        <v>#N/A</v>
      </c>
      <c r="K11" s="66"/>
      <c r="L11" s="66"/>
      <c r="M11" s="66"/>
      <c r="N11" s="66"/>
      <c r="O11" s="58" t="str">
        <f t="shared" si="1"/>
        <v>X</v>
      </c>
      <c r="P11" s="59" t="str">
        <f t="shared" si="2"/>
        <v>#N/A</v>
      </c>
      <c r="Q11" s="67" t="str">
        <f t="shared" si="3"/>
        <v>#N/A</v>
      </c>
      <c r="R11" s="68" t="str">
        <f t="shared" si="4"/>
        <v>#N/A</v>
      </c>
      <c r="S11" s="62" t="str">
        <f t="shared" si="5"/>
        <v>#N/A</v>
      </c>
      <c r="T11" s="62" t="str">
        <f t="shared" si="6"/>
        <v>#N/A</v>
      </c>
      <c r="U11" s="63">
        <f t="shared" si="7"/>
        <v>0</v>
      </c>
      <c r="V11" s="69" t="str">
        <f>ifs($N11="",VLOOKUP($B11&amp;$E11,'FEB - VISIT DATA'!$A$2:$J100,7,FALSE), $N11="SWAB","OUTSA-RW",$N11="SWQU","OUTSA-SaQu", AND($L11="X",$M11="X",$N11="QUEST"),"OUT-UAQPre",$N11="QUEST","OUT-UAQ", $N11="Walk in","ColUATele")</f>
        <v>#N/A</v>
      </c>
      <c r="W11" s="70" t="str">
        <f t="shared" si="8"/>
        <v>#N/A</v>
      </c>
      <c r="X11" s="64" t="str">
        <f t="shared" si="9"/>
        <v/>
      </c>
      <c r="Y11" s="64" t="str">
        <f t="shared" si="10"/>
        <v/>
      </c>
      <c r="Z11" s="66" t="str">
        <f t="shared" si="11"/>
        <v> </v>
      </c>
      <c r="AA11" s="71"/>
    </row>
    <row r="12" ht="15.75" customHeight="1">
      <c r="A12" s="56" t="str">
        <f>IFS($B12=FALSE,"",$B12,VLOOKUP($B12,'PATIENT DATA (072721)'!A:C, 2, 0))</f>
        <v/>
      </c>
      <c r="B12" s="57"/>
      <c r="C12" s="58" t="str">
        <f>IF(COUNTIF('PATIENT DATA (072721)'!A:A, B12)=0, "X","✓")</f>
        <v>X</v>
      </c>
      <c r="D12" s="59" t="str">
        <f>IFS($B12=FALSE,"",$B12,VLOOKUP($B12,'PATIENT DATA (072721)'!A:C, 3, 0))</f>
        <v/>
      </c>
      <c r="E12" s="60"/>
      <c r="F12" s="61" t="str">
        <f>ifs($B12="","",$B12, VLOOKUP($B12&amp;$E12, 'FEB - VISIT DATA'!A:O,3,0))</f>
        <v/>
      </c>
      <c r="G12" s="62"/>
      <c r="H12" s="63"/>
      <c r="I12" s="64" t="str">
        <f>VLOOKUP($B12&amp;$E12,'FEB - VISIT DATA'!A:J, 9, FALSE)</f>
        <v>#N/A</v>
      </c>
      <c r="J12" s="65" t="str">
        <f>VLOOKUP(B12&amp;E12,'FEB - VISIT DATA'!A:O,10,FALSE)</f>
        <v>#N/A</v>
      </c>
      <c r="K12" s="66"/>
      <c r="L12" s="66"/>
      <c r="M12" s="66"/>
      <c r="N12" s="66"/>
      <c r="O12" s="58" t="str">
        <f t="shared" si="1"/>
        <v>X</v>
      </c>
      <c r="P12" s="59" t="str">
        <f t="shared" si="2"/>
        <v>#N/A</v>
      </c>
      <c r="Q12" s="67" t="str">
        <f t="shared" si="3"/>
        <v>#N/A</v>
      </c>
      <c r="R12" s="68" t="str">
        <f t="shared" si="4"/>
        <v>#N/A</v>
      </c>
      <c r="S12" s="62" t="str">
        <f t="shared" si="5"/>
        <v>#N/A</v>
      </c>
      <c r="T12" s="62" t="str">
        <f t="shared" si="6"/>
        <v>#N/A</v>
      </c>
      <c r="U12" s="63">
        <f t="shared" si="7"/>
        <v>0</v>
      </c>
      <c r="V12" s="69" t="str">
        <f>ifs($N12="",VLOOKUP($B12&amp;$E12,'FEB - VISIT DATA'!$A$2:$J100,7,FALSE), $N12="SWAB","OUTSA-RW",$N12="SWQU","OUTSA-SaQu", AND($L12="X",$M12="X",$N12="QUEST"),"OUT-UAQPre",$N12="QUEST","OUT-UAQ", $N12="Walk in","ColUATele")</f>
        <v>#N/A</v>
      </c>
      <c r="W12" s="70" t="str">
        <f t="shared" si="8"/>
        <v>#N/A</v>
      </c>
      <c r="X12" s="64" t="str">
        <f t="shared" si="9"/>
        <v/>
      </c>
      <c r="Y12" s="64" t="str">
        <f t="shared" si="10"/>
        <v/>
      </c>
      <c r="Z12" s="66" t="str">
        <f t="shared" si="11"/>
        <v> </v>
      </c>
      <c r="AA12" s="71"/>
    </row>
    <row r="13" ht="15.75" customHeight="1">
      <c r="A13" s="56" t="str">
        <f>IFS($B13=FALSE,"",$B13,VLOOKUP($B13,'PATIENT DATA (072721)'!A:C, 2, 0))</f>
        <v/>
      </c>
      <c r="B13" s="57"/>
      <c r="C13" s="58" t="str">
        <f>IF(COUNTIF('PATIENT DATA (072721)'!A:A, B13)=0, "X","✓")</f>
        <v>X</v>
      </c>
      <c r="D13" s="59" t="str">
        <f>IFS($B13=FALSE,"",$B13,VLOOKUP($B13,'PATIENT DATA (072721)'!A:C, 3, 0))</f>
        <v/>
      </c>
      <c r="E13" s="60"/>
      <c r="F13" s="61" t="str">
        <f>ifs($B13="","",$B13, VLOOKUP($B13&amp;$E13, 'FEB - VISIT DATA'!A:O,3,0))</f>
        <v/>
      </c>
      <c r="G13" s="62"/>
      <c r="H13" s="63"/>
      <c r="I13" s="64" t="str">
        <f>VLOOKUP($B13&amp;$E13,'FEB - VISIT DATA'!A:J, 9, FALSE)</f>
        <v>#N/A</v>
      </c>
      <c r="J13" s="65" t="str">
        <f>VLOOKUP(B13&amp;E13,'FEB - VISIT DATA'!A:O,10,FALSE)</f>
        <v>#N/A</v>
      </c>
      <c r="K13" s="66"/>
      <c r="L13" s="66"/>
      <c r="M13" s="66"/>
      <c r="N13" s="66"/>
      <c r="O13" s="58" t="str">
        <f t="shared" si="1"/>
        <v>X</v>
      </c>
      <c r="P13" s="59" t="str">
        <f t="shared" si="2"/>
        <v>#N/A</v>
      </c>
      <c r="Q13" s="67" t="str">
        <f t="shared" si="3"/>
        <v>#N/A</v>
      </c>
      <c r="R13" s="68" t="str">
        <f t="shared" si="4"/>
        <v>#N/A</v>
      </c>
      <c r="S13" s="62" t="str">
        <f t="shared" si="5"/>
        <v>#N/A</v>
      </c>
      <c r="T13" s="62" t="str">
        <f t="shared" si="6"/>
        <v>#N/A</v>
      </c>
      <c r="U13" s="63">
        <f t="shared" si="7"/>
        <v>0</v>
      </c>
      <c r="V13" s="69" t="str">
        <f>ifs($N13="",VLOOKUP($B13&amp;$E13,'FEB - VISIT DATA'!$A$2:$J100,7,FALSE), $N13="SWAB","OUTSA-RW",$N13="SWQU","OUTSA-SaQu", AND($L13="X",$M13="X",$N13="QUEST"),"OUT-UAQPre",$N13="QUEST","OUT-UAQ", $N13="Walk in","ColUATele")</f>
        <v>#N/A</v>
      </c>
      <c r="W13" s="70" t="str">
        <f t="shared" si="8"/>
        <v>#N/A</v>
      </c>
      <c r="X13" s="64" t="str">
        <f t="shared" si="9"/>
        <v/>
      </c>
      <c r="Y13" s="64" t="str">
        <f t="shared" si="10"/>
        <v/>
      </c>
      <c r="Z13" s="66" t="str">
        <f t="shared" si="11"/>
        <v> </v>
      </c>
      <c r="AA13" s="71"/>
    </row>
    <row r="14" ht="15.75" customHeight="1">
      <c r="A14" s="56" t="str">
        <f>IFS($B14=FALSE,"",$B14,VLOOKUP($B14,'PATIENT DATA (072721)'!A:C, 2, 0))</f>
        <v/>
      </c>
      <c r="B14" s="57"/>
      <c r="C14" s="58" t="str">
        <f>IF(COUNTIF('PATIENT DATA (072721)'!A:A, B14)=0, "X","✓")</f>
        <v>X</v>
      </c>
      <c r="D14" s="59" t="str">
        <f>IFS($B14=FALSE,"",$B14,VLOOKUP($B14,'PATIENT DATA (072721)'!A:C, 3, 0))</f>
        <v/>
      </c>
      <c r="E14" s="60"/>
      <c r="F14" s="61" t="str">
        <f>ifs($B14="","",$B14, VLOOKUP($B14&amp;$E14, 'FEB - VISIT DATA'!A:O,3,0))</f>
        <v/>
      </c>
      <c r="G14" s="62"/>
      <c r="H14" s="63"/>
      <c r="I14" s="64" t="str">
        <f>VLOOKUP($B14&amp;$E14,'FEB - VISIT DATA'!A:J, 9, FALSE)</f>
        <v>#N/A</v>
      </c>
      <c r="J14" s="65" t="str">
        <f>VLOOKUP(B14&amp;E14,'FEB - VISIT DATA'!A:O,10,FALSE)</f>
        <v>#N/A</v>
      </c>
      <c r="K14" s="66"/>
      <c r="L14" s="66"/>
      <c r="M14" s="66"/>
      <c r="N14" s="66"/>
      <c r="O14" s="58" t="str">
        <f t="shared" si="1"/>
        <v>X</v>
      </c>
      <c r="P14" s="59" t="str">
        <f t="shared" si="2"/>
        <v>#N/A</v>
      </c>
      <c r="Q14" s="67" t="str">
        <f t="shared" si="3"/>
        <v>#N/A</v>
      </c>
      <c r="R14" s="68" t="str">
        <f t="shared" si="4"/>
        <v>#N/A</v>
      </c>
      <c r="S14" s="62" t="str">
        <f t="shared" si="5"/>
        <v>#N/A</v>
      </c>
      <c r="T14" s="62" t="str">
        <f t="shared" si="6"/>
        <v>#N/A</v>
      </c>
      <c r="U14" s="63">
        <f t="shared" si="7"/>
        <v>0</v>
      </c>
      <c r="V14" s="69" t="str">
        <f>ifs($N14="",VLOOKUP($B14&amp;$E14,'FEB - VISIT DATA'!$A$2:$J100,7,FALSE), $N14="SWAB","OUTSA-RW",$N14="SWQU","OUTSA-SaQu", AND($L14="X",$M14="X",$N14="QUEST"),"OUT-UAQPre",$N14="QUEST","OUT-UAQ", $N14="Walk in","ColUATele")</f>
        <v>#N/A</v>
      </c>
      <c r="W14" s="70" t="str">
        <f t="shared" si="8"/>
        <v>#N/A</v>
      </c>
      <c r="X14" s="64" t="str">
        <f t="shared" si="9"/>
        <v/>
      </c>
      <c r="Y14" s="64" t="str">
        <f t="shared" si="10"/>
        <v/>
      </c>
      <c r="Z14" s="66" t="str">
        <f t="shared" si="11"/>
        <v> </v>
      </c>
      <c r="AA14" s="71"/>
    </row>
    <row r="15" ht="15.75" customHeight="1">
      <c r="A15" s="56" t="str">
        <f>IFS($B15=FALSE,"",$B15,VLOOKUP($B15,'PATIENT DATA (072721)'!A:C, 2, 0))</f>
        <v/>
      </c>
      <c r="B15" s="57"/>
      <c r="C15" s="58" t="str">
        <f>IF(COUNTIF('PATIENT DATA (072721)'!A:A, B15)=0, "X","✓")</f>
        <v>X</v>
      </c>
      <c r="D15" s="59" t="str">
        <f>IFS($B15=FALSE,"",$B15,VLOOKUP($B15,'PATIENT DATA (072721)'!A:C, 3, 0))</f>
        <v/>
      </c>
      <c r="E15" s="60"/>
      <c r="F15" s="61" t="str">
        <f>ifs($B15="","",$B15, VLOOKUP($B15&amp;$E15, 'FEB - VISIT DATA'!A:O,3,0))</f>
        <v/>
      </c>
      <c r="G15" s="62"/>
      <c r="H15" s="63"/>
      <c r="I15" s="64" t="str">
        <f>VLOOKUP($B15&amp;$E15,'FEB - VISIT DATA'!A:J, 9, FALSE)</f>
        <v>#N/A</v>
      </c>
      <c r="J15" s="65" t="str">
        <f>VLOOKUP(B15&amp;E15,'FEB - VISIT DATA'!A:O,10,FALSE)</f>
        <v>#N/A</v>
      </c>
      <c r="K15" s="66"/>
      <c r="L15" s="66"/>
      <c r="M15" s="66"/>
      <c r="N15" s="66"/>
      <c r="O15" s="58" t="str">
        <f t="shared" si="1"/>
        <v>X</v>
      </c>
      <c r="P15" s="59" t="str">
        <f t="shared" si="2"/>
        <v>#N/A</v>
      </c>
      <c r="Q15" s="67" t="str">
        <f t="shared" si="3"/>
        <v>#N/A</v>
      </c>
      <c r="R15" s="68" t="str">
        <f t="shared" si="4"/>
        <v>#N/A</v>
      </c>
      <c r="S15" s="62" t="str">
        <f t="shared" si="5"/>
        <v>#N/A</v>
      </c>
      <c r="T15" s="62" t="str">
        <f t="shared" si="6"/>
        <v>#N/A</v>
      </c>
      <c r="U15" s="63">
        <f t="shared" si="7"/>
        <v>0</v>
      </c>
      <c r="V15" s="69" t="str">
        <f>ifs($N15="",VLOOKUP($B15&amp;$E15,'FEB - VISIT DATA'!$A$2:$J100,7,FALSE), $N15="SWAB","OUTSA-RW",$N15="SWQU","OUTSA-SaQu", AND($L15="X",$M15="X",$N15="QUEST"),"OUT-UAQPre",$N15="QUEST","OUT-UAQ", $N15="Walk in","ColUATele")</f>
        <v>#N/A</v>
      </c>
      <c r="W15" s="70" t="str">
        <f t="shared" si="8"/>
        <v>#N/A</v>
      </c>
      <c r="X15" s="64" t="str">
        <f t="shared" si="9"/>
        <v/>
      </c>
      <c r="Y15" s="64" t="str">
        <f t="shared" si="10"/>
        <v/>
      </c>
      <c r="Z15" s="66" t="str">
        <f t="shared" si="11"/>
        <v> </v>
      </c>
      <c r="AA15" s="71"/>
    </row>
    <row r="16" ht="15.75" customHeight="1">
      <c r="A16" s="56" t="str">
        <f>IFS($B16=FALSE,"",$B16,VLOOKUP($B16,'PATIENT DATA (072721)'!A:C, 2, 0))</f>
        <v/>
      </c>
      <c r="B16" s="57"/>
      <c r="C16" s="58" t="str">
        <f>IF(COUNTIF('PATIENT DATA (072721)'!A:A, B16)=0, "X","✓")</f>
        <v>X</v>
      </c>
      <c r="D16" s="59" t="str">
        <f>IFS($B16=FALSE,"",$B16,VLOOKUP($B16,'PATIENT DATA (072721)'!A:C, 3, 0))</f>
        <v/>
      </c>
      <c r="E16" s="60"/>
      <c r="F16" s="61" t="str">
        <f>ifs($B16="","",$B16, VLOOKUP($B16&amp;$E16, 'FEB - VISIT DATA'!A:O,3,0))</f>
        <v/>
      </c>
      <c r="G16" s="62"/>
      <c r="H16" s="63"/>
      <c r="I16" s="64" t="str">
        <f>VLOOKUP($B16&amp;$E16,'FEB - VISIT DATA'!A:J, 9, FALSE)</f>
        <v>#N/A</v>
      </c>
      <c r="J16" s="65" t="str">
        <f>VLOOKUP(B16&amp;E16,'FEB - VISIT DATA'!A:O,10,FALSE)</f>
        <v>#N/A</v>
      </c>
      <c r="K16" s="66"/>
      <c r="L16" s="66"/>
      <c r="M16" s="66"/>
      <c r="N16" s="66"/>
      <c r="O16" s="58" t="str">
        <f t="shared" si="1"/>
        <v>X</v>
      </c>
      <c r="P16" s="59" t="str">
        <f t="shared" si="2"/>
        <v>#N/A</v>
      </c>
      <c r="Q16" s="67" t="str">
        <f t="shared" si="3"/>
        <v>#N/A</v>
      </c>
      <c r="R16" s="68" t="str">
        <f t="shared" si="4"/>
        <v>#N/A</v>
      </c>
      <c r="S16" s="62" t="str">
        <f t="shared" si="5"/>
        <v>#N/A</v>
      </c>
      <c r="T16" s="62" t="str">
        <f t="shared" si="6"/>
        <v>#N/A</v>
      </c>
      <c r="U16" s="63">
        <f t="shared" si="7"/>
        <v>0</v>
      </c>
      <c r="V16" s="69" t="str">
        <f>ifs($N16="",VLOOKUP($B16&amp;$E16,'FEB - VISIT DATA'!$A$2:$J100,7,FALSE), $N16="SWAB","OUTSA-RW",$N16="SWQU","OUTSA-SaQu", AND($L16="X",$M16="X",$N16="QUEST"),"OUT-UAQPre",$N16="QUEST","OUT-UAQ", $N16="Walk in","ColUATele")</f>
        <v>#N/A</v>
      </c>
      <c r="W16" s="70" t="str">
        <f t="shared" si="8"/>
        <v>#N/A</v>
      </c>
      <c r="X16" s="64" t="str">
        <f t="shared" si="9"/>
        <v/>
      </c>
      <c r="Y16" s="64" t="str">
        <f t="shared" si="10"/>
        <v/>
      </c>
      <c r="Z16" s="66" t="str">
        <f t="shared" si="11"/>
        <v> </v>
      </c>
      <c r="AA16" s="71"/>
    </row>
    <row r="17" ht="15.75" customHeight="1">
      <c r="A17" s="56" t="str">
        <f>IFS($B17=FALSE,"",$B17,VLOOKUP($B17,'PATIENT DATA (072721)'!A:C, 2, 0))</f>
        <v/>
      </c>
      <c r="B17" s="57"/>
      <c r="C17" s="58" t="str">
        <f>IF(COUNTIF('PATIENT DATA (072721)'!A:A, B17)=0, "X","✓")</f>
        <v>X</v>
      </c>
      <c r="D17" s="59" t="str">
        <f>IFS($B17=FALSE,"",$B17,VLOOKUP($B17,'PATIENT DATA (072721)'!A:C, 3, 0))</f>
        <v/>
      </c>
      <c r="E17" s="60"/>
      <c r="F17" s="61" t="str">
        <f>ifs($B17="","",$B17, VLOOKUP($B17&amp;$E17, 'FEB - VISIT DATA'!A:O,3,0))</f>
        <v/>
      </c>
      <c r="G17" s="62"/>
      <c r="H17" s="63"/>
      <c r="I17" s="64" t="str">
        <f>VLOOKUP($B17&amp;$E17,'FEB - VISIT DATA'!A:J, 9, FALSE)</f>
        <v>#N/A</v>
      </c>
      <c r="J17" s="65" t="str">
        <f>VLOOKUP(B17&amp;E17,'FEB - VISIT DATA'!A:O,10,FALSE)</f>
        <v>#N/A</v>
      </c>
      <c r="K17" s="66"/>
      <c r="L17" s="66"/>
      <c r="M17" s="66"/>
      <c r="N17" s="66"/>
      <c r="O17" s="58" t="str">
        <f t="shared" si="1"/>
        <v>X</v>
      </c>
      <c r="P17" s="59" t="str">
        <f t="shared" si="2"/>
        <v>#N/A</v>
      </c>
      <c r="Q17" s="67" t="str">
        <f t="shared" si="3"/>
        <v>#N/A</v>
      </c>
      <c r="R17" s="68" t="str">
        <f t="shared" si="4"/>
        <v>#N/A</v>
      </c>
      <c r="S17" s="62" t="str">
        <f t="shared" si="5"/>
        <v>#N/A</v>
      </c>
      <c r="T17" s="62" t="str">
        <f t="shared" si="6"/>
        <v>#N/A</v>
      </c>
      <c r="U17" s="63">
        <f t="shared" si="7"/>
        <v>0</v>
      </c>
      <c r="V17" s="69" t="str">
        <f>ifs($N17="",VLOOKUP($B17&amp;$E17,'FEB - VISIT DATA'!$A$2:$J100,7,FALSE), $N17="SWAB","OUTSA-RW",$N17="SWQU","OUTSA-SaQu", AND($L17="X",$M17="X",$N17="QUEST"),"OUT-UAQPre",$N17="QUEST","OUT-UAQ", $N17="Walk in","ColUATele")</f>
        <v>#N/A</v>
      </c>
      <c r="W17" s="70" t="str">
        <f t="shared" si="8"/>
        <v>#N/A</v>
      </c>
      <c r="X17" s="64" t="str">
        <f t="shared" si="9"/>
        <v/>
      </c>
      <c r="Y17" s="64" t="str">
        <f t="shared" si="10"/>
        <v/>
      </c>
      <c r="Z17" s="66" t="str">
        <f t="shared" si="11"/>
        <v> </v>
      </c>
      <c r="AA17" s="71"/>
    </row>
    <row r="18" ht="15.75" customHeight="1">
      <c r="A18" s="56" t="str">
        <f>IFS($B18=FALSE,"",$B18,VLOOKUP($B18,'PATIENT DATA (072721)'!A:C, 2, 0))</f>
        <v/>
      </c>
      <c r="B18" s="57"/>
      <c r="C18" s="58" t="str">
        <f>IF(COUNTIF('PATIENT DATA (072721)'!A:A, B18)=0, "X","✓")</f>
        <v>X</v>
      </c>
      <c r="D18" s="59" t="str">
        <f>IFS($B18=FALSE,"",$B18,VLOOKUP($B18,'PATIENT DATA (072721)'!A:C, 3, 0))</f>
        <v/>
      </c>
      <c r="E18" s="60"/>
      <c r="F18" s="61" t="str">
        <f>ifs($B18="","",$B18, VLOOKUP($B18&amp;$E18, 'FEB - VISIT DATA'!A:O,3,0))</f>
        <v/>
      </c>
      <c r="G18" s="62"/>
      <c r="H18" s="63"/>
      <c r="I18" s="64" t="str">
        <f>VLOOKUP($B18&amp;$E18,'FEB - VISIT DATA'!A:J, 9, FALSE)</f>
        <v>#N/A</v>
      </c>
      <c r="J18" s="65" t="str">
        <f>VLOOKUP(B18&amp;E18,'FEB - VISIT DATA'!A:O,10,FALSE)</f>
        <v>#N/A</v>
      </c>
      <c r="K18" s="66"/>
      <c r="L18" s="66"/>
      <c r="M18" s="66"/>
      <c r="N18" s="66"/>
      <c r="O18" s="58" t="str">
        <f t="shared" si="1"/>
        <v>X</v>
      </c>
      <c r="P18" s="59" t="str">
        <f t="shared" si="2"/>
        <v>#N/A</v>
      </c>
      <c r="Q18" s="67" t="str">
        <f t="shared" si="3"/>
        <v>#N/A</v>
      </c>
      <c r="R18" s="68" t="str">
        <f t="shared" si="4"/>
        <v>#N/A</v>
      </c>
      <c r="S18" s="62" t="str">
        <f t="shared" si="5"/>
        <v>#N/A</v>
      </c>
      <c r="T18" s="62" t="str">
        <f t="shared" si="6"/>
        <v>#N/A</v>
      </c>
      <c r="U18" s="63">
        <f t="shared" si="7"/>
        <v>0</v>
      </c>
      <c r="V18" s="69" t="str">
        <f>ifs($N18="",VLOOKUP($B18&amp;$E18,'FEB - VISIT DATA'!$A$2:$J100,7,FALSE), $N18="SWAB","OUTSA-RW",$N18="SWQU","OUTSA-SaQu", AND($L18="X",$M18="X",$N18="QUEST"),"OUT-UAQPre",$N18="QUEST","OUT-UAQ", $N18="Walk in","ColUATele")</f>
        <v>#N/A</v>
      </c>
      <c r="W18" s="70" t="str">
        <f t="shared" si="8"/>
        <v>#N/A</v>
      </c>
      <c r="X18" s="64" t="str">
        <f t="shared" si="9"/>
        <v/>
      </c>
      <c r="Y18" s="64" t="str">
        <f t="shared" si="10"/>
        <v/>
      </c>
      <c r="Z18" s="66" t="str">
        <f t="shared" si="11"/>
        <v> </v>
      </c>
      <c r="AA18" s="71"/>
    </row>
    <row r="19" ht="15.75" customHeight="1">
      <c r="A19" s="56" t="str">
        <f>IFS($B19=FALSE,"",$B19,VLOOKUP($B19,'PATIENT DATA (072721)'!A:C, 2, 0))</f>
        <v/>
      </c>
      <c r="B19" s="57"/>
      <c r="C19" s="58" t="str">
        <f>IF(COUNTIF('PATIENT DATA (072721)'!A:A, B19)=0, "X","✓")</f>
        <v>X</v>
      </c>
      <c r="D19" s="59" t="str">
        <f>IFS($B19=FALSE,"",$B19,VLOOKUP($B19,'PATIENT DATA (072721)'!A:C, 3, 0))</f>
        <v/>
      </c>
      <c r="E19" s="60"/>
      <c r="F19" s="61" t="str">
        <f>ifs($B19="","",$B19, VLOOKUP($B19&amp;$E19, 'FEB - VISIT DATA'!A:O,3,0))</f>
        <v/>
      </c>
      <c r="G19" s="62"/>
      <c r="H19" s="63"/>
      <c r="I19" s="64" t="str">
        <f>VLOOKUP($B19&amp;$E19,'FEB - VISIT DATA'!A:J, 9, FALSE)</f>
        <v>#N/A</v>
      </c>
      <c r="J19" s="65" t="str">
        <f>VLOOKUP(B19&amp;E19,'FEB - VISIT DATA'!A:O,10,FALSE)</f>
        <v>#N/A</v>
      </c>
      <c r="K19" s="66"/>
      <c r="L19" s="66"/>
      <c r="M19" s="66"/>
      <c r="N19" s="66"/>
      <c r="O19" s="58" t="str">
        <f t="shared" si="1"/>
        <v>X</v>
      </c>
      <c r="P19" s="59" t="str">
        <f t="shared" si="2"/>
        <v>#N/A</v>
      </c>
      <c r="Q19" s="67" t="str">
        <f t="shared" si="3"/>
        <v>#N/A</v>
      </c>
      <c r="R19" s="68" t="str">
        <f t="shared" si="4"/>
        <v>#N/A</v>
      </c>
      <c r="S19" s="62" t="str">
        <f t="shared" si="5"/>
        <v>#N/A</v>
      </c>
      <c r="T19" s="62" t="str">
        <f t="shared" si="6"/>
        <v>#N/A</v>
      </c>
      <c r="U19" s="63">
        <f t="shared" si="7"/>
        <v>0</v>
      </c>
      <c r="V19" s="69" t="str">
        <f>ifs($N19="",VLOOKUP($B19&amp;$E19,'FEB - VISIT DATA'!$A$2:$J100,7,FALSE), $N19="SWAB","OUTSA-RW",$N19="SWQU","OUTSA-SaQu", AND($L19="X",$M19="X",$N19="QUEST"),"OUT-UAQPre",$N19="QUEST","OUT-UAQ", $N19="Walk in","ColUATele")</f>
        <v>#N/A</v>
      </c>
      <c r="W19" s="70" t="str">
        <f t="shared" si="8"/>
        <v>#N/A</v>
      </c>
      <c r="X19" s="64" t="str">
        <f t="shared" si="9"/>
        <v/>
      </c>
      <c r="Y19" s="64" t="str">
        <f t="shared" si="10"/>
        <v/>
      </c>
      <c r="Z19" s="66" t="str">
        <f t="shared" si="11"/>
        <v> </v>
      </c>
      <c r="AA19" s="71"/>
    </row>
    <row r="20" ht="15.75" customHeight="1">
      <c r="A20" s="56" t="str">
        <f>IFS($B20=FALSE,"",$B20,VLOOKUP($B20,'PATIENT DATA (072721)'!A:C, 2, 0))</f>
        <v/>
      </c>
      <c r="B20" s="57"/>
      <c r="C20" s="58" t="str">
        <f>IF(COUNTIF('PATIENT DATA (072721)'!A:A, B20)=0, "X","✓")</f>
        <v>X</v>
      </c>
      <c r="D20" s="59" t="str">
        <f>IFS($B20=FALSE,"",$B20,VLOOKUP($B20,'PATIENT DATA (072721)'!A:C, 3, 0))</f>
        <v/>
      </c>
      <c r="E20" s="60"/>
      <c r="F20" s="61" t="str">
        <f>ifs($B20="","",$B20, VLOOKUP($B20&amp;$E20, 'FEB - VISIT DATA'!A:O,3,0))</f>
        <v/>
      </c>
      <c r="G20" s="62"/>
      <c r="H20" s="63"/>
      <c r="I20" s="64" t="str">
        <f>VLOOKUP($B20&amp;$E20,'FEB - VISIT DATA'!A:J, 9, FALSE)</f>
        <v>#N/A</v>
      </c>
      <c r="J20" s="65" t="str">
        <f>VLOOKUP(B20&amp;E20,'FEB - VISIT DATA'!A:O,10,FALSE)</f>
        <v>#N/A</v>
      </c>
      <c r="K20" s="66"/>
      <c r="L20" s="66"/>
      <c r="M20" s="66"/>
      <c r="N20" s="66"/>
      <c r="O20" s="58" t="str">
        <f t="shared" si="1"/>
        <v>X</v>
      </c>
      <c r="P20" s="59" t="str">
        <f t="shared" si="2"/>
        <v>#N/A</v>
      </c>
      <c r="Q20" s="67" t="str">
        <f t="shared" si="3"/>
        <v>#N/A</v>
      </c>
      <c r="R20" s="68" t="str">
        <f t="shared" si="4"/>
        <v>#N/A</v>
      </c>
      <c r="S20" s="62" t="str">
        <f t="shared" si="5"/>
        <v>#N/A</v>
      </c>
      <c r="T20" s="62" t="str">
        <f t="shared" si="6"/>
        <v>#N/A</v>
      </c>
      <c r="U20" s="63">
        <f t="shared" si="7"/>
        <v>0</v>
      </c>
      <c r="V20" s="69" t="str">
        <f>ifs($N20="",VLOOKUP($B20&amp;$E20,'FEB - VISIT DATA'!$A$2:$J100,7,FALSE), $N20="SWAB","OUTSA-RW",$N20="SWQU","OUTSA-SaQu", AND($L20="X",$M20="X",$N20="QUEST"),"OUT-UAQPre",$N20="QUEST","OUT-UAQ", $N20="Walk in","ColUATele")</f>
        <v>#N/A</v>
      </c>
      <c r="W20" s="70" t="str">
        <f t="shared" si="8"/>
        <v>#N/A</v>
      </c>
      <c r="X20" s="64" t="str">
        <f t="shared" si="9"/>
        <v/>
      </c>
      <c r="Y20" s="64" t="str">
        <f t="shared" si="10"/>
        <v/>
      </c>
      <c r="Z20" s="66" t="str">
        <f t="shared" si="11"/>
        <v> </v>
      </c>
      <c r="AA20" s="71"/>
    </row>
    <row r="21" ht="15.75" customHeight="1">
      <c r="A21" s="56" t="str">
        <f>IFS($B21=FALSE,"",$B21,VLOOKUP($B21,'PATIENT DATA (072721)'!A:C, 2, 0))</f>
        <v/>
      </c>
      <c r="B21" s="57"/>
      <c r="C21" s="58" t="str">
        <f>IF(COUNTIF('PATIENT DATA (072721)'!A:A, B21)=0, "X","✓")</f>
        <v>X</v>
      </c>
      <c r="D21" s="59" t="str">
        <f>IFS($B21=FALSE,"",$B21,VLOOKUP($B21,'PATIENT DATA (072721)'!A:C, 3, 0))</f>
        <v/>
      </c>
      <c r="E21" s="60"/>
      <c r="F21" s="61" t="str">
        <f>ifs($B21="","",$B21, VLOOKUP($B21&amp;$E21, 'FEB - VISIT DATA'!A:O,3,0))</f>
        <v/>
      </c>
      <c r="G21" s="62"/>
      <c r="H21" s="63"/>
      <c r="I21" s="64" t="str">
        <f>VLOOKUP($B21&amp;$E21,'FEB - VISIT DATA'!A:J, 9, FALSE)</f>
        <v>#N/A</v>
      </c>
      <c r="J21" s="65" t="str">
        <f>VLOOKUP(B21&amp;E21,'FEB - VISIT DATA'!A:O,10,FALSE)</f>
        <v>#N/A</v>
      </c>
      <c r="K21" s="66"/>
      <c r="L21" s="66"/>
      <c r="M21" s="66"/>
      <c r="N21" s="66"/>
      <c r="O21" s="58" t="str">
        <f t="shared" si="1"/>
        <v>X</v>
      </c>
      <c r="P21" s="59" t="str">
        <f t="shared" si="2"/>
        <v>#N/A</v>
      </c>
      <c r="Q21" s="67" t="str">
        <f t="shared" si="3"/>
        <v>#N/A</v>
      </c>
      <c r="R21" s="68" t="str">
        <f t="shared" si="4"/>
        <v>#N/A</v>
      </c>
      <c r="S21" s="62" t="str">
        <f t="shared" si="5"/>
        <v>#N/A</v>
      </c>
      <c r="T21" s="62" t="str">
        <f t="shared" si="6"/>
        <v>#N/A</v>
      </c>
      <c r="U21" s="63">
        <f t="shared" si="7"/>
        <v>0</v>
      </c>
      <c r="V21" s="69" t="str">
        <f>ifs($N21="",VLOOKUP($B21&amp;$E21,'FEB - VISIT DATA'!$A$2:$J100,7,FALSE), $N21="SWAB","OUTSA-RW",$N21="SWQU","OUTSA-SaQu", AND($L21="X",$M21="X",$N21="QUEST"),"OUT-UAQPre",$N21="QUEST","OUT-UAQ", $N21="Walk in","ColUATele")</f>
        <v>#N/A</v>
      </c>
      <c r="W21" s="70" t="str">
        <f t="shared" si="8"/>
        <v>#N/A</v>
      </c>
      <c r="X21" s="64" t="str">
        <f t="shared" si="9"/>
        <v/>
      </c>
      <c r="Y21" s="64" t="str">
        <f t="shared" si="10"/>
        <v/>
      </c>
      <c r="Z21" s="66" t="str">
        <f t="shared" si="11"/>
        <v> </v>
      </c>
      <c r="AA21" s="71"/>
    </row>
    <row r="22" ht="15.75" customHeight="1">
      <c r="A22" s="56" t="str">
        <f>IFS($B22=FALSE,"",$B22,VLOOKUP($B22,'PATIENT DATA (072721)'!A:C, 2, 0))</f>
        <v/>
      </c>
      <c r="B22" s="57"/>
      <c r="C22" s="58" t="str">
        <f>IF(COUNTIF('PATIENT DATA (072721)'!A:A, B22)=0, "X","✓")</f>
        <v>X</v>
      </c>
      <c r="D22" s="59" t="str">
        <f>IFS($B22=FALSE,"",$B22,VLOOKUP($B22,'PATIENT DATA (072721)'!A:C, 3, 0))</f>
        <v/>
      </c>
      <c r="E22" s="60"/>
      <c r="F22" s="61" t="str">
        <f>ifs($B22="","",$B22, VLOOKUP($B22&amp;$E22, 'FEB - VISIT DATA'!A:O,3,0))</f>
        <v/>
      </c>
      <c r="G22" s="62"/>
      <c r="H22" s="63"/>
      <c r="I22" s="64" t="str">
        <f>VLOOKUP($B22&amp;$E22,'FEB - VISIT DATA'!A:J, 9, FALSE)</f>
        <v>#N/A</v>
      </c>
      <c r="J22" s="65" t="str">
        <f>VLOOKUP(B22&amp;E22,'FEB - VISIT DATA'!A:O,10,FALSE)</f>
        <v>#N/A</v>
      </c>
      <c r="K22" s="66"/>
      <c r="L22" s="66"/>
      <c r="M22" s="66"/>
      <c r="N22" s="66"/>
      <c r="O22" s="58" t="str">
        <f t="shared" si="1"/>
        <v>X</v>
      </c>
      <c r="P22" s="59" t="str">
        <f t="shared" si="2"/>
        <v>#N/A</v>
      </c>
      <c r="Q22" s="67" t="str">
        <f t="shared" si="3"/>
        <v>#N/A</v>
      </c>
      <c r="R22" s="68" t="str">
        <f t="shared" si="4"/>
        <v>#N/A</v>
      </c>
      <c r="S22" s="62" t="str">
        <f t="shared" si="5"/>
        <v>#N/A</v>
      </c>
      <c r="T22" s="62" t="str">
        <f t="shared" si="6"/>
        <v>#N/A</v>
      </c>
      <c r="U22" s="63">
        <f t="shared" si="7"/>
        <v>0</v>
      </c>
      <c r="V22" s="69" t="str">
        <f>ifs($N22="",VLOOKUP($B22&amp;$E22,'FEB - VISIT DATA'!$A$2:$J100,7,FALSE), $N22="SWAB","OUTSA-RW",$N22="SWQU","OUTSA-SaQu", AND($L22="X",$M22="X",$N22="QUEST"),"OUT-UAQPre",$N22="QUEST","OUT-UAQ", $N22="Walk in","ColUATele")</f>
        <v>#N/A</v>
      </c>
      <c r="W22" s="70" t="str">
        <f t="shared" si="8"/>
        <v>#N/A</v>
      </c>
      <c r="X22" s="64" t="str">
        <f t="shared" si="9"/>
        <v/>
      </c>
      <c r="Y22" s="64" t="str">
        <f t="shared" si="10"/>
        <v/>
      </c>
      <c r="Z22" s="66" t="str">
        <f t="shared" si="11"/>
        <v> </v>
      </c>
      <c r="AA22" s="71"/>
    </row>
    <row r="23" ht="15.75" customHeight="1">
      <c r="A23" s="56" t="str">
        <f>IFS($B23=FALSE,"",$B23,VLOOKUP($B23,'PATIENT DATA (072721)'!A:C, 2, 0))</f>
        <v/>
      </c>
      <c r="B23" s="57"/>
      <c r="C23" s="58" t="str">
        <f>IF(COUNTIF('PATIENT DATA (072721)'!A:A, B23)=0, "X","✓")</f>
        <v>X</v>
      </c>
      <c r="D23" s="59" t="str">
        <f>IFS($B23=FALSE,"",$B23,VLOOKUP($B23,'PATIENT DATA (072721)'!A:C, 3, 0))</f>
        <v/>
      </c>
      <c r="E23" s="60"/>
      <c r="F23" s="61" t="str">
        <f>ifs($B23="","",$B23, VLOOKUP($B23&amp;$E23, 'FEB - VISIT DATA'!A:O,3,0))</f>
        <v/>
      </c>
      <c r="G23" s="62"/>
      <c r="H23" s="63"/>
      <c r="I23" s="64" t="str">
        <f>VLOOKUP($B23&amp;$E23,'FEB - VISIT DATA'!A:J, 9, FALSE)</f>
        <v>#N/A</v>
      </c>
      <c r="J23" s="65" t="str">
        <f>VLOOKUP(B23&amp;E23,'FEB - VISIT DATA'!A:O,10,FALSE)</f>
        <v>#N/A</v>
      </c>
      <c r="K23" s="66"/>
      <c r="L23" s="66"/>
      <c r="M23" s="66"/>
      <c r="N23" s="66"/>
      <c r="O23" s="58" t="str">
        <f t="shared" si="1"/>
        <v>X</v>
      </c>
      <c r="P23" s="59" t="str">
        <f t="shared" si="2"/>
        <v>#N/A</v>
      </c>
      <c r="Q23" s="67" t="str">
        <f t="shared" si="3"/>
        <v>#N/A</v>
      </c>
      <c r="R23" s="68" t="str">
        <f t="shared" si="4"/>
        <v>#N/A</v>
      </c>
      <c r="S23" s="62" t="str">
        <f t="shared" si="5"/>
        <v>#N/A</v>
      </c>
      <c r="T23" s="62" t="str">
        <f t="shared" si="6"/>
        <v>#N/A</v>
      </c>
      <c r="U23" s="63">
        <f t="shared" si="7"/>
        <v>0</v>
      </c>
      <c r="V23" s="69" t="str">
        <f>ifs($N23="",VLOOKUP($B23&amp;$E23,'FEB - VISIT DATA'!$A$2:$J100,7,FALSE), $N23="SWAB","OUTSA-RW",$N23="SWQU","OUTSA-SaQu", AND($L23="X",$M23="X",$N23="QUEST"),"OUT-UAQPre",$N23="QUEST","OUT-UAQ", $N23="Walk in","ColUATele")</f>
        <v>#N/A</v>
      </c>
      <c r="W23" s="70" t="str">
        <f t="shared" si="8"/>
        <v>#N/A</v>
      </c>
      <c r="X23" s="64" t="str">
        <f t="shared" si="9"/>
        <v/>
      </c>
      <c r="Y23" s="64" t="str">
        <f t="shared" si="10"/>
        <v/>
      </c>
      <c r="Z23" s="66" t="str">
        <f t="shared" si="11"/>
        <v> </v>
      </c>
      <c r="AA23" s="71"/>
    </row>
    <row r="24" ht="15.75" customHeight="1">
      <c r="A24" s="56" t="str">
        <f>IFS($B24=FALSE,"",$B24,VLOOKUP($B24,'PATIENT DATA (072721)'!A:C, 2, 0))</f>
        <v/>
      </c>
      <c r="B24" s="57"/>
      <c r="C24" s="58" t="str">
        <f>IF(COUNTIF('PATIENT DATA (072721)'!A:A, B24)=0, "X","✓")</f>
        <v>X</v>
      </c>
      <c r="D24" s="59" t="str">
        <f>IFS($B24=FALSE,"",$B24,VLOOKUP($B24,'PATIENT DATA (072721)'!A:C, 3, 0))</f>
        <v/>
      </c>
      <c r="E24" s="60"/>
      <c r="F24" s="61" t="str">
        <f>ifs($B24="","",$B24, VLOOKUP($B24&amp;$E24, 'FEB - VISIT DATA'!A:O,3,0))</f>
        <v/>
      </c>
      <c r="G24" s="62"/>
      <c r="H24" s="63"/>
      <c r="I24" s="64" t="str">
        <f>VLOOKUP($B24&amp;$E24,'FEB - VISIT DATA'!A:J, 9, FALSE)</f>
        <v>#N/A</v>
      </c>
      <c r="J24" s="65" t="str">
        <f>VLOOKUP(B24&amp;E24,'FEB - VISIT DATA'!A:O,10,FALSE)</f>
        <v>#N/A</v>
      </c>
      <c r="K24" s="66"/>
      <c r="L24" s="66"/>
      <c r="M24" s="66"/>
      <c r="N24" s="66"/>
      <c r="O24" s="58" t="str">
        <f t="shared" si="1"/>
        <v>X</v>
      </c>
      <c r="P24" s="59" t="str">
        <f t="shared" si="2"/>
        <v>#N/A</v>
      </c>
      <c r="Q24" s="67" t="str">
        <f t="shared" si="3"/>
        <v>#N/A</v>
      </c>
      <c r="R24" s="68" t="str">
        <f t="shared" si="4"/>
        <v>#N/A</v>
      </c>
      <c r="S24" s="62" t="str">
        <f t="shared" si="5"/>
        <v>#N/A</v>
      </c>
      <c r="T24" s="62" t="str">
        <f t="shared" si="6"/>
        <v>#N/A</v>
      </c>
      <c r="U24" s="63">
        <f t="shared" si="7"/>
        <v>0</v>
      </c>
      <c r="V24" s="69" t="str">
        <f>ifs($N24="",VLOOKUP($B24&amp;$E24,'FEB - VISIT DATA'!$A$2:$J100,7,FALSE), $N24="SWAB","OUTSA-RW",$N24="SWQU","OUTSA-SaQu", AND($L24="X",$M24="X",$N24="QUEST"),"OUT-UAQPre",$N24="QUEST","OUT-UAQ", $N24="Walk in","ColUATele")</f>
        <v>#N/A</v>
      </c>
      <c r="W24" s="70" t="str">
        <f t="shared" si="8"/>
        <v>#N/A</v>
      </c>
      <c r="X24" s="64" t="str">
        <f t="shared" si="9"/>
        <v/>
      </c>
      <c r="Y24" s="64" t="str">
        <f t="shared" si="10"/>
        <v/>
      </c>
      <c r="Z24" s="66" t="str">
        <f t="shared" si="11"/>
        <v> </v>
      </c>
      <c r="AA24" s="71"/>
    </row>
    <row r="25" ht="15.75" customHeight="1">
      <c r="A25" s="56" t="str">
        <f>IFS($B25=FALSE,"",$B25,VLOOKUP($B25,'PATIENT DATA (072721)'!A:C, 2, 0))</f>
        <v/>
      </c>
      <c r="B25" s="57"/>
      <c r="C25" s="58" t="str">
        <f>IF(COUNTIF('PATIENT DATA (072721)'!A:A, B25)=0, "X","✓")</f>
        <v>X</v>
      </c>
      <c r="D25" s="59" t="str">
        <f>IFS($B25=FALSE,"",$B25,VLOOKUP($B25,'PATIENT DATA (072721)'!A:C, 3, 0))</f>
        <v/>
      </c>
      <c r="E25" s="60"/>
      <c r="F25" s="61" t="str">
        <f>ifs($B25="","",$B25, VLOOKUP($B25&amp;$E25, 'FEB - VISIT DATA'!A:O,3,0))</f>
        <v/>
      </c>
      <c r="G25" s="62"/>
      <c r="H25" s="63"/>
      <c r="I25" s="64" t="str">
        <f>VLOOKUP($B25&amp;$E25,'FEB - VISIT DATA'!A:J, 9, FALSE)</f>
        <v>#N/A</v>
      </c>
      <c r="J25" s="65" t="str">
        <f>VLOOKUP(B25&amp;E25,'FEB - VISIT DATA'!A:O,10,FALSE)</f>
        <v>#N/A</v>
      </c>
      <c r="K25" s="66"/>
      <c r="L25" s="66"/>
      <c r="M25" s="66"/>
      <c r="N25" s="66"/>
      <c r="O25" s="58" t="str">
        <f t="shared" si="1"/>
        <v>X</v>
      </c>
      <c r="P25" s="59" t="str">
        <f t="shared" si="2"/>
        <v>#N/A</v>
      </c>
      <c r="Q25" s="67" t="str">
        <f t="shared" si="3"/>
        <v>#N/A</v>
      </c>
      <c r="R25" s="68" t="str">
        <f t="shared" si="4"/>
        <v>#N/A</v>
      </c>
      <c r="S25" s="62" t="str">
        <f t="shared" si="5"/>
        <v>#N/A</v>
      </c>
      <c r="T25" s="62" t="str">
        <f t="shared" si="6"/>
        <v>#N/A</v>
      </c>
      <c r="U25" s="63">
        <f t="shared" si="7"/>
        <v>0</v>
      </c>
      <c r="V25" s="69" t="str">
        <f>ifs($N25="",VLOOKUP($B25&amp;$E25,'FEB - VISIT DATA'!$A$2:$J100,7,FALSE), $N25="SWAB","OUTSA-RW",$N25="SWQU","OUTSA-SaQu", AND($L25="X",$M25="X",$N25="QUEST"),"OUT-UAQPre",$N25="QUEST","OUT-UAQ", $N25="Walk in","ColUATele")</f>
        <v>#N/A</v>
      </c>
      <c r="W25" s="70" t="str">
        <f t="shared" si="8"/>
        <v>#N/A</v>
      </c>
      <c r="X25" s="64" t="str">
        <f t="shared" si="9"/>
        <v/>
      </c>
      <c r="Y25" s="64" t="str">
        <f t="shared" si="10"/>
        <v/>
      </c>
      <c r="Z25" s="66" t="str">
        <f t="shared" si="11"/>
        <v> </v>
      </c>
      <c r="AA25" s="71"/>
    </row>
    <row r="26" ht="15.75" customHeight="1">
      <c r="A26" s="56" t="str">
        <f>IFS($B26=FALSE,"",$B26,VLOOKUP($B26,'PATIENT DATA (072721)'!A:C, 2, 0))</f>
        <v/>
      </c>
      <c r="B26" s="57"/>
      <c r="C26" s="58" t="str">
        <f>IF(COUNTIF('PATIENT DATA (072721)'!A:A, B26)=0, "X","✓")</f>
        <v>X</v>
      </c>
      <c r="D26" s="59" t="str">
        <f>IFS($B26=FALSE,"",$B26,VLOOKUP($B26,'PATIENT DATA (072721)'!A:C, 3, 0))</f>
        <v/>
      </c>
      <c r="E26" s="60"/>
      <c r="F26" s="61" t="str">
        <f>ifs($B26="","",$B26, VLOOKUP($B26&amp;$E26, 'FEB - VISIT DATA'!A:O,3,0))</f>
        <v/>
      </c>
      <c r="G26" s="62"/>
      <c r="H26" s="63"/>
      <c r="I26" s="64" t="str">
        <f>VLOOKUP($B26&amp;$E26,'FEB - VISIT DATA'!A:J, 9, FALSE)</f>
        <v>#N/A</v>
      </c>
      <c r="J26" s="65" t="str">
        <f>VLOOKUP(B26&amp;E26,'FEB - VISIT DATA'!A:O,10,FALSE)</f>
        <v>#N/A</v>
      </c>
      <c r="K26" s="66"/>
      <c r="L26" s="66"/>
      <c r="M26" s="66"/>
      <c r="N26" s="66"/>
      <c r="O26" s="58" t="str">
        <f t="shared" si="1"/>
        <v>X</v>
      </c>
      <c r="P26" s="59" t="str">
        <f t="shared" si="2"/>
        <v>#N/A</v>
      </c>
      <c r="Q26" s="67" t="str">
        <f t="shared" si="3"/>
        <v>#N/A</v>
      </c>
      <c r="R26" s="68" t="str">
        <f t="shared" si="4"/>
        <v>#N/A</v>
      </c>
      <c r="S26" s="62" t="str">
        <f t="shared" si="5"/>
        <v>#N/A</v>
      </c>
      <c r="T26" s="62" t="str">
        <f t="shared" si="6"/>
        <v>#N/A</v>
      </c>
      <c r="U26" s="63">
        <f t="shared" si="7"/>
        <v>0</v>
      </c>
      <c r="V26" s="69" t="str">
        <f>ifs($N26="",VLOOKUP($B26&amp;$E26,'FEB - VISIT DATA'!$A$2:$J100,7,FALSE), $N26="SWAB","OUTSA-RW",$N26="SWQU","OUTSA-SaQu", AND($L26="X",$M26="X",$N26="QUEST"),"OUT-UAQPre",$N26="QUEST","OUT-UAQ", $N26="Walk in","ColUATele")</f>
        <v>#N/A</v>
      </c>
      <c r="W26" s="70" t="str">
        <f t="shared" si="8"/>
        <v>#N/A</v>
      </c>
      <c r="X26" s="64" t="str">
        <f t="shared" si="9"/>
        <v/>
      </c>
      <c r="Y26" s="64" t="str">
        <f t="shared" si="10"/>
        <v/>
      </c>
      <c r="Z26" s="66" t="str">
        <f t="shared" si="11"/>
        <v> </v>
      </c>
      <c r="AA26" s="71"/>
    </row>
    <row r="27" ht="15.75" customHeight="1">
      <c r="A27" s="56" t="str">
        <f>IFS($B27=FALSE,"",$B27,VLOOKUP($B27,'PATIENT DATA (072721)'!A:C, 2, 0))</f>
        <v/>
      </c>
      <c r="B27" s="57"/>
      <c r="C27" s="58" t="str">
        <f>IF(COUNTIF('PATIENT DATA (072721)'!A:A, B27)=0, "X","✓")</f>
        <v>X</v>
      </c>
      <c r="D27" s="59" t="str">
        <f>IFS($B27=FALSE,"",$B27,VLOOKUP($B27,'PATIENT DATA (072721)'!A:C, 3, 0))</f>
        <v/>
      </c>
      <c r="E27" s="60"/>
      <c r="F27" s="61" t="str">
        <f>ifs($B27="","",$B27, VLOOKUP($B27&amp;$E27, 'FEB - VISIT DATA'!A:O,3,0))</f>
        <v/>
      </c>
      <c r="G27" s="62"/>
      <c r="H27" s="63"/>
      <c r="I27" s="64" t="str">
        <f>VLOOKUP($B27&amp;$E27,'FEB - VISIT DATA'!A:J, 9, FALSE)</f>
        <v>#N/A</v>
      </c>
      <c r="J27" s="65" t="str">
        <f>VLOOKUP(B27&amp;E27,'FEB - VISIT DATA'!A:O,10,FALSE)</f>
        <v>#N/A</v>
      </c>
      <c r="K27" s="66"/>
      <c r="L27" s="66"/>
      <c r="M27" s="66"/>
      <c r="N27" s="66"/>
      <c r="O27" s="58" t="str">
        <f t="shared" si="1"/>
        <v>X</v>
      </c>
      <c r="P27" s="59" t="str">
        <f t="shared" si="2"/>
        <v>#N/A</v>
      </c>
      <c r="Q27" s="67" t="str">
        <f t="shared" si="3"/>
        <v>#N/A</v>
      </c>
      <c r="R27" s="68" t="str">
        <f t="shared" si="4"/>
        <v>#N/A</v>
      </c>
      <c r="S27" s="62" t="str">
        <f t="shared" si="5"/>
        <v>#N/A</v>
      </c>
      <c r="T27" s="62" t="str">
        <f t="shared" si="6"/>
        <v>#N/A</v>
      </c>
      <c r="U27" s="63">
        <f t="shared" si="7"/>
        <v>0</v>
      </c>
      <c r="V27" s="69" t="str">
        <f>ifs($N27="",VLOOKUP($B27&amp;$E27,'FEB - VISIT DATA'!$A$2:$J100,7,FALSE), $N27="SWAB","OUTSA-RW",$N27="SWQU","OUTSA-SaQu", AND($L27="X",$M27="X",$N27="QUEST"),"OUT-UAQPre",$N27="QUEST","OUT-UAQ", $N27="Walk in","ColUATele")</f>
        <v>#N/A</v>
      </c>
      <c r="W27" s="70" t="str">
        <f t="shared" si="8"/>
        <v>#N/A</v>
      </c>
      <c r="X27" s="64" t="str">
        <f t="shared" si="9"/>
        <v/>
      </c>
      <c r="Y27" s="64" t="str">
        <f t="shared" si="10"/>
        <v/>
      </c>
      <c r="Z27" s="66" t="str">
        <f t="shared" si="11"/>
        <v> </v>
      </c>
      <c r="AA27" s="71"/>
    </row>
    <row r="28" ht="15.75" customHeight="1">
      <c r="A28" s="56" t="str">
        <f>IFS($B28=FALSE,"",$B28,VLOOKUP($B28,'PATIENT DATA (072721)'!A:C, 2, 0))</f>
        <v/>
      </c>
      <c r="B28" s="57"/>
      <c r="C28" s="58" t="str">
        <f>IF(COUNTIF('PATIENT DATA (072721)'!A:A, B28)=0, "X","✓")</f>
        <v>X</v>
      </c>
      <c r="D28" s="59" t="str">
        <f>IFS($B28=FALSE,"",$B28,VLOOKUP($B28,'PATIENT DATA (072721)'!A:C, 3, 0))</f>
        <v/>
      </c>
      <c r="E28" s="60"/>
      <c r="F28" s="61" t="str">
        <f>ifs($B28="","",$B28, VLOOKUP($B28&amp;$E28, 'FEB - VISIT DATA'!A:O,3,0))</f>
        <v/>
      </c>
      <c r="G28" s="62"/>
      <c r="H28" s="63"/>
      <c r="I28" s="64" t="str">
        <f>VLOOKUP($B28&amp;$E28,'FEB - VISIT DATA'!A:J, 9, FALSE)</f>
        <v>#N/A</v>
      </c>
      <c r="J28" s="65" t="str">
        <f>VLOOKUP(B28&amp;E28,'FEB - VISIT DATA'!A:O,10,FALSE)</f>
        <v>#N/A</v>
      </c>
      <c r="K28" s="66"/>
      <c r="L28" s="66"/>
      <c r="M28" s="66"/>
      <c r="N28" s="66"/>
      <c r="O28" s="58" t="str">
        <f t="shared" si="1"/>
        <v>X</v>
      </c>
      <c r="P28" s="59" t="str">
        <f t="shared" si="2"/>
        <v>#N/A</v>
      </c>
      <c r="Q28" s="67" t="str">
        <f t="shared" si="3"/>
        <v>#N/A</v>
      </c>
      <c r="R28" s="68" t="str">
        <f t="shared" si="4"/>
        <v>#N/A</v>
      </c>
      <c r="S28" s="62" t="str">
        <f t="shared" si="5"/>
        <v>#N/A</v>
      </c>
      <c r="T28" s="62" t="str">
        <f t="shared" si="6"/>
        <v>#N/A</v>
      </c>
      <c r="U28" s="63">
        <f t="shared" si="7"/>
        <v>0</v>
      </c>
      <c r="V28" s="69" t="str">
        <f>ifs($N28="",VLOOKUP($B28&amp;$E28,'FEB - VISIT DATA'!$A$2:$J100,7,FALSE), $N28="SWAB","OUTSA-RW",$N28="SWQU","OUTSA-SaQu", AND($L28="X",$M28="X",$N28="QUEST"),"OUT-UAQPre",$N28="QUEST","OUT-UAQ", $N28="Walk in","ColUATele")</f>
        <v>#N/A</v>
      </c>
      <c r="W28" s="70" t="str">
        <f t="shared" si="8"/>
        <v>#N/A</v>
      </c>
      <c r="X28" s="64" t="str">
        <f t="shared" si="9"/>
        <v/>
      </c>
      <c r="Y28" s="64" t="str">
        <f t="shared" si="10"/>
        <v/>
      </c>
      <c r="Z28" s="66" t="str">
        <f t="shared" si="11"/>
        <v> </v>
      </c>
      <c r="AA28" s="71"/>
    </row>
    <row r="29" ht="15.75" customHeight="1">
      <c r="A29" s="56" t="str">
        <f>IFS($B29=FALSE,"",$B29,VLOOKUP($B29,'PATIENT DATA (072721)'!A:C, 2, 0))</f>
        <v/>
      </c>
      <c r="B29" s="72"/>
      <c r="C29" s="58" t="str">
        <f>IF(COUNTIF('PATIENT DATA (072721)'!A:A, B29)=0, "X","✓")</f>
        <v>X</v>
      </c>
      <c r="D29" s="59" t="str">
        <f>IFS($B29=FALSE,"",$B29,VLOOKUP($B29,'PATIENT DATA (072721)'!A:C, 3, 0))</f>
        <v/>
      </c>
      <c r="E29" s="60"/>
      <c r="F29" s="61" t="str">
        <f>ifs($B29="","",$B29, VLOOKUP($B29&amp;$E29, 'FEB - VISIT DATA'!A:O,3,0))</f>
        <v/>
      </c>
      <c r="G29" s="62"/>
      <c r="H29" s="63"/>
      <c r="I29" s="64" t="str">
        <f>VLOOKUP($B29&amp;$E29,'FEB - VISIT DATA'!A:J, 9, FALSE)</f>
        <v>#N/A</v>
      </c>
      <c r="J29" s="65" t="str">
        <f>VLOOKUP(B29&amp;E29,'FEB - VISIT DATA'!A:O,10,FALSE)</f>
        <v>#N/A</v>
      </c>
      <c r="K29" s="66"/>
      <c r="L29" s="66"/>
      <c r="M29" s="66"/>
      <c r="N29" s="66"/>
      <c r="O29" s="58" t="str">
        <f t="shared" si="1"/>
        <v>X</v>
      </c>
      <c r="P29" s="59" t="str">
        <f t="shared" si="2"/>
        <v>#N/A</v>
      </c>
      <c r="Q29" s="67" t="str">
        <f t="shared" si="3"/>
        <v>#N/A</v>
      </c>
      <c r="R29" s="68" t="str">
        <f t="shared" si="4"/>
        <v>#N/A</v>
      </c>
      <c r="S29" s="62" t="str">
        <f t="shared" si="5"/>
        <v>#N/A</v>
      </c>
      <c r="T29" s="62" t="str">
        <f t="shared" si="6"/>
        <v>#N/A</v>
      </c>
      <c r="U29" s="63">
        <f t="shared" si="7"/>
        <v>0</v>
      </c>
      <c r="V29" s="69" t="str">
        <f>ifs($N29="",VLOOKUP($B29&amp;$E29,'FEB - VISIT DATA'!$A$2:$J100,7,FALSE), $N29="SWAB","OUTSA-RW",$N29="SWQU","OUTSA-SaQu", AND($L29="X",$M29="X",$N29="QUEST"),"OUT-UAQPre",$N29="QUEST","OUT-UAQ", $N29="Walk in","ColUATele")</f>
        <v>#N/A</v>
      </c>
      <c r="W29" s="70" t="str">
        <f t="shared" si="8"/>
        <v>#N/A</v>
      </c>
      <c r="X29" s="64" t="str">
        <f t="shared" si="9"/>
        <v/>
      </c>
      <c r="Y29" s="64" t="str">
        <f t="shared" si="10"/>
        <v/>
      </c>
      <c r="Z29" s="66" t="str">
        <f t="shared" si="11"/>
        <v> </v>
      </c>
      <c r="AA29" s="71"/>
    </row>
    <row r="30" ht="15.75" customHeight="1">
      <c r="A30" s="56" t="str">
        <f>IFS($B30=FALSE,"",$B30,VLOOKUP($B30,'PATIENT DATA (072721)'!A:C, 2, 0))</f>
        <v/>
      </c>
      <c r="B30" s="57"/>
      <c r="C30" s="73" t="str">
        <f>IF(COUNTIF('PATIENT DATA (072721)'!A:A, B30)=0, "X","✓")</f>
        <v>X</v>
      </c>
      <c r="D30" s="59" t="str">
        <f>IFS($B30=FALSE,"",$B30,VLOOKUP($B30,'PATIENT DATA (072721)'!A:C, 3, 0))</f>
        <v/>
      </c>
      <c r="E30" s="60"/>
      <c r="F30" s="61" t="str">
        <f>ifs($B30="","",$B30, VLOOKUP($B30&amp;$E30, 'FEB - VISIT DATA'!A:O,3,0))</f>
        <v/>
      </c>
      <c r="G30" s="74"/>
      <c r="H30" s="63"/>
      <c r="I30" s="64" t="str">
        <f>VLOOKUP($B30&amp;$E30,'FEB - VISIT DATA'!A:J, 9, FALSE)</f>
        <v>#N/A</v>
      </c>
      <c r="J30" s="65" t="str">
        <f>VLOOKUP(B30&amp;E30,'FEB - VISIT DATA'!A:O,10,FALSE)</f>
        <v>#N/A</v>
      </c>
      <c r="K30" s="66"/>
      <c r="L30" s="66"/>
      <c r="M30" s="66"/>
      <c r="N30" s="66"/>
      <c r="O30" s="58" t="str">
        <f t="shared" si="1"/>
        <v>X</v>
      </c>
      <c r="P30" s="59" t="str">
        <f t="shared" si="2"/>
        <v>#N/A</v>
      </c>
      <c r="Q30" s="67" t="str">
        <f t="shared" si="3"/>
        <v>#N/A</v>
      </c>
      <c r="R30" s="68" t="str">
        <f t="shared" si="4"/>
        <v>#N/A</v>
      </c>
      <c r="S30" s="62" t="str">
        <f t="shared" si="5"/>
        <v>#N/A</v>
      </c>
      <c r="T30" s="62" t="str">
        <f t="shared" si="6"/>
        <v>#N/A</v>
      </c>
      <c r="U30" s="63">
        <f t="shared" si="7"/>
        <v>0</v>
      </c>
      <c r="V30" s="69" t="str">
        <f>ifs($N30="",VLOOKUP($B30&amp;$E30,'FEB - VISIT DATA'!$A$2:$J100,7,FALSE), $N30="SWAB","OUTSA-RW",$N30="SWQU","OUTSA-SaQu", AND($L30="X",$M30="X",$N30="QUEST"),"OUT-UAQPre",$N30="QUEST","OUT-UAQ", $N30="Walk in","ColUATele")</f>
        <v>#N/A</v>
      </c>
      <c r="W30" s="70" t="str">
        <f t="shared" si="8"/>
        <v>#N/A</v>
      </c>
      <c r="X30" s="64" t="str">
        <f t="shared" si="9"/>
        <v/>
      </c>
      <c r="Y30" s="64" t="str">
        <f t="shared" si="10"/>
        <v/>
      </c>
      <c r="Z30" s="66" t="str">
        <f t="shared" si="11"/>
        <v> </v>
      </c>
      <c r="AA30" s="71"/>
    </row>
    <row r="31" ht="15.75" customHeight="1">
      <c r="A31" s="56" t="str">
        <f>IFS($B31=FALSE,"",$B31,VLOOKUP($B31,'PATIENT DATA (072721)'!A:C, 2, 0))</f>
        <v/>
      </c>
      <c r="B31" s="57"/>
      <c r="C31" s="73" t="str">
        <f>IF(COUNTIF('PATIENT DATA (072721)'!A:A, B31)=0, "X","✓")</f>
        <v>X</v>
      </c>
      <c r="D31" s="59" t="str">
        <f>IFS($B31=FALSE,"",$B31,VLOOKUP($B31,'PATIENT DATA (072721)'!A:C, 3, 0))</f>
        <v/>
      </c>
      <c r="E31" s="60"/>
      <c r="F31" s="61" t="str">
        <f>ifs($B31="","",$B31, VLOOKUP($B31&amp;$E31, 'FEB - VISIT DATA'!A:O,3,0))</f>
        <v/>
      </c>
      <c r="G31" s="74"/>
      <c r="H31" s="63"/>
      <c r="I31" s="64" t="str">
        <f>VLOOKUP($B31&amp;$E31,'FEB - VISIT DATA'!A:J, 9, FALSE)</f>
        <v>#N/A</v>
      </c>
      <c r="J31" s="65" t="str">
        <f>VLOOKUP(B31&amp;E31,'FEB - VISIT DATA'!A:O,10,FALSE)</f>
        <v>#N/A</v>
      </c>
      <c r="K31" s="66"/>
      <c r="L31" s="66"/>
      <c r="M31" s="66"/>
      <c r="N31" s="66"/>
      <c r="O31" s="58" t="str">
        <f t="shared" si="1"/>
        <v>X</v>
      </c>
      <c r="P31" s="59" t="str">
        <f t="shared" si="2"/>
        <v>#N/A</v>
      </c>
      <c r="Q31" s="67" t="str">
        <f t="shared" si="3"/>
        <v>#N/A</v>
      </c>
      <c r="R31" s="68" t="str">
        <f t="shared" si="4"/>
        <v>#N/A</v>
      </c>
      <c r="S31" s="62" t="str">
        <f t="shared" si="5"/>
        <v>#N/A</v>
      </c>
      <c r="T31" s="62" t="str">
        <f t="shared" si="6"/>
        <v>#N/A</v>
      </c>
      <c r="U31" s="63">
        <f t="shared" si="7"/>
        <v>0</v>
      </c>
      <c r="V31" s="69" t="str">
        <f>ifs($N31="",VLOOKUP($B31&amp;$E31,'FEB - VISIT DATA'!$A$2:$J100,7,FALSE), $N31="SWAB","OUTSA-RW",$N31="SWQU","OUTSA-SaQu", AND($L31="X",$M31="X",$N31="QUEST"),"OUT-UAQPre",$N31="QUEST","OUT-UAQ", $N31="Walk in","ColUATele")</f>
        <v>#N/A</v>
      </c>
      <c r="W31" s="70" t="str">
        <f t="shared" si="8"/>
        <v>#N/A</v>
      </c>
      <c r="X31" s="64" t="str">
        <f t="shared" si="9"/>
        <v/>
      </c>
      <c r="Y31" s="64" t="str">
        <f t="shared" si="10"/>
        <v/>
      </c>
      <c r="Z31" s="66" t="str">
        <f t="shared" si="11"/>
        <v> </v>
      </c>
      <c r="AA31" s="71"/>
    </row>
    <row r="32" ht="15.75" customHeight="1">
      <c r="A32" s="56" t="str">
        <f>IFS($B32=FALSE,"",$B32,VLOOKUP($B32,'PATIENT DATA (072721)'!A:C, 2, 0))</f>
        <v/>
      </c>
      <c r="B32" s="57"/>
      <c r="C32" s="73" t="str">
        <f>IF(COUNTIF('PATIENT DATA (072721)'!A:A, B32)=0, "X","✓")</f>
        <v>X</v>
      </c>
      <c r="D32" s="59" t="str">
        <f>IFS($B32=FALSE,"",$B32,VLOOKUP($B32,'PATIENT DATA (072721)'!A:C, 3, 0))</f>
        <v/>
      </c>
      <c r="E32" s="60"/>
      <c r="F32" s="61" t="str">
        <f>ifs($B32="","",$B32, VLOOKUP($B32&amp;$E32, 'FEB - VISIT DATA'!A:O,3,0))</f>
        <v/>
      </c>
      <c r="G32" s="74"/>
      <c r="H32" s="63"/>
      <c r="I32" s="64" t="str">
        <f>VLOOKUP($B32&amp;$E32,'FEB - VISIT DATA'!A:J, 9, FALSE)</f>
        <v>#N/A</v>
      </c>
      <c r="J32" s="65" t="str">
        <f>VLOOKUP(B32&amp;E32,'FEB - VISIT DATA'!A:O,10,FALSE)</f>
        <v>#N/A</v>
      </c>
      <c r="K32" s="66"/>
      <c r="L32" s="66"/>
      <c r="M32" s="66"/>
      <c r="N32" s="66"/>
      <c r="O32" s="58" t="str">
        <f t="shared" si="1"/>
        <v>X</v>
      </c>
      <c r="P32" s="59" t="str">
        <f t="shared" si="2"/>
        <v>#N/A</v>
      </c>
      <c r="Q32" s="67" t="str">
        <f t="shared" si="3"/>
        <v>#N/A</v>
      </c>
      <c r="R32" s="68" t="str">
        <f t="shared" si="4"/>
        <v>#N/A</v>
      </c>
      <c r="S32" s="62" t="str">
        <f t="shared" si="5"/>
        <v>#N/A</v>
      </c>
      <c r="T32" s="62" t="str">
        <f t="shared" si="6"/>
        <v>#N/A</v>
      </c>
      <c r="U32" s="63">
        <f t="shared" si="7"/>
        <v>0</v>
      </c>
      <c r="V32" s="69" t="str">
        <f>ifs($N32="",VLOOKUP($B32&amp;$E32,'FEB - VISIT DATA'!$A$2:$J100,7,FALSE), $N32="SWAB","OUTSA-RW",$N32="SWQU","OUTSA-SaQu", AND($L32="X",$M32="X",$N32="QUEST"),"OUT-UAQPre",$N32="QUEST","OUT-UAQ", $N32="Walk in","ColUATele")</f>
        <v>#N/A</v>
      </c>
      <c r="W32" s="70" t="str">
        <f t="shared" si="8"/>
        <v>#N/A</v>
      </c>
      <c r="X32" s="64" t="str">
        <f t="shared" si="9"/>
        <v/>
      </c>
      <c r="Y32" s="64" t="str">
        <f t="shared" si="10"/>
        <v/>
      </c>
      <c r="Z32" s="66" t="str">
        <f t="shared" si="11"/>
        <v> </v>
      </c>
      <c r="AA32" s="71"/>
    </row>
    <row r="33" ht="15.75" customHeight="1">
      <c r="A33" s="56" t="str">
        <f>IFS($B33=FALSE,"",$B33,VLOOKUP($B33,'PATIENT DATA (072721)'!A:C, 2, 0))</f>
        <v/>
      </c>
      <c r="B33" s="57"/>
      <c r="C33" s="73" t="str">
        <f>IF(COUNTIF('PATIENT DATA (072721)'!A:A, B33)=0, "X","✓")</f>
        <v>X</v>
      </c>
      <c r="D33" s="59" t="str">
        <f>IFS($B33=FALSE,"",$B33,VLOOKUP($B33,'PATIENT DATA (072721)'!A:C, 3, 0))</f>
        <v/>
      </c>
      <c r="E33" s="60"/>
      <c r="F33" s="61" t="str">
        <f>ifs($B33="","",$B33, VLOOKUP($B33&amp;$E33, 'FEB - VISIT DATA'!A:O,3,0))</f>
        <v/>
      </c>
      <c r="G33" s="74"/>
      <c r="H33" s="63"/>
      <c r="I33" s="64" t="str">
        <f>VLOOKUP($B33&amp;$E33,'FEB - VISIT DATA'!A:J, 9, FALSE)</f>
        <v>#N/A</v>
      </c>
      <c r="J33" s="65" t="str">
        <f>VLOOKUP(B33&amp;E33,'FEB - VISIT DATA'!A:O,10,FALSE)</f>
        <v>#N/A</v>
      </c>
      <c r="K33" s="66"/>
      <c r="L33" s="66"/>
      <c r="M33" s="66"/>
      <c r="N33" s="66"/>
      <c r="O33" s="58" t="str">
        <f t="shared" si="1"/>
        <v>X</v>
      </c>
      <c r="P33" s="59" t="str">
        <f t="shared" si="2"/>
        <v>#N/A</v>
      </c>
      <c r="Q33" s="67" t="str">
        <f t="shared" si="3"/>
        <v>#N/A</v>
      </c>
      <c r="R33" s="68" t="str">
        <f t="shared" si="4"/>
        <v>#N/A</v>
      </c>
      <c r="S33" s="62" t="str">
        <f t="shared" si="5"/>
        <v>#N/A</v>
      </c>
      <c r="T33" s="62" t="str">
        <f t="shared" si="6"/>
        <v>#N/A</v>
      </c>
      <c r="U33" s="63">
        <f t="shared" si="7"/>
        <v>0</v>
      </c>
      <c r="V33" s="69" t="str">
        <f>ifs($N33="",VLOOKUP($B33&amp;$E33,'FEB - VISIT DATA'!$A$2:$J100,7,FALSE), $N33="SWAB","OUTSA-RW",$N33="SWQU","OUTSA-SaQu", AND($L33="X",$M33="X",$N33="QUEST"),"OUT-UAQPre",$N33="QUEST","OUT-UAQ", $N33="Walk in","ColUATele")</f>
        <v>#N/A</v>
      </c>
      <c r="W33" s="70" t="str">
        <f t="shared" si="8"/>
        <v>#N/A</v>
      </c>
      <c r="X33" s="64" t="str">
        <f t="shared" si="9"/>
        <v/>
      </c>
      <c r="Y33" s="64" t="str">
        <f t="shared" si="10"/>
        <v/>
      </c>
      <c r="Z33" s="66" t="str">
        <f t="shared" si="11"/>
        <v> </v>
      </c>
      <c r="AA33" s="71"/>
    </row>
    <row r="34" ht="15.75" customHeight="1">
      <c r="A34" s="56" t="str">
        <f>IFS($B34=FALSE,"",$B34,VLOOKUP($B34,'PATIENT DATA (072721)'!A:C, 2, 0))</f>
        <v/>
      </c>
      <c r="B34" s="57"/>
      <c r="C34" s="73" t="str">
        <f>IF(COUNTIF('PATIENT DATA (072721)'!A:A, B34)=0, "X","✓")</f>
        <v>X</v>
      </c>
      <c r="D34" s="59" t="str">
        <f>IFS($B34=FALSE,"",$B34,VLOOKUP($B34,'PATIENT DATA (072721)'!A:C, 3, 0))</f>
        <v/>
      </c>
      <c r="E34" s="60"/>
      <c r="F34" s="61" t="str">
        <f>ifs($B34="","",$B34, VLOOKUP($B34&amp;$E34, 'FEB - VISIT DATA'!A:O,3,0))</f>
        <v/>
      </c>
      <c r="G34" s="74"/>
      <c r="H34" s="63"/>
      <c r="I34" s="64" t="str">
        <f>VLOOKUP($B34&amp;$E34,'FEB - VISIT DATA'!A:J, 9, FALSE)</f>
        <v>#N/A</v>
      </c>
      <c r="J34" s="65" t="str">
        <f>VLOOKUP(B34&amp;E34,'FEB - VISIT DATA'!A:O,10,FALSE)</f>
        <v>#N/A</v>
      </c>
      <c r="K34" s="66"/>
      <c r="L34" s="66"/>
      <c r="M34" s="66"/>
      <c r="N34" s="66"/>
      <c r="O34" s="58" t="str">
        <f t="shared" si="1"/>
        <v>X</v>
      </c>
      <c r="P34" s="59" t="str">
        <f t="shared" si="2"/>
        <v>#N/A</v>
      </c>
      <c r="Q34" s="67" t="str">
        <f t="shared" si="3"/>
        <v>#N/A</v>
      </c>
      <c r="R34" s="68" t="str">
        <f t="shared" si="4"/>
        <v>#N/A</v>
      </c>
      <c r="S34" s="62" t="str">
        <f t="shared" si="5"/>
        <v>#N/A</v>
      </c>
      <c r="T34" s="62" t="str">
        <f t="shared" si="6"/>
        <v>#N/A</v>
      </c>
      <c r="U34" s="63">
        <f t="shared" si="7"/>
        <v>0</v>
      </c>
      <c r="V34" s="69" t="str">
        <f>ifs($N34="",VLOOKUP($B34&amp;$E34,'FEB - VISIT DATA'!$A$2:$J100,7,FALSE), $N34="SWAB","OUTSA-RW",$N34="SWQU","OUTSA-SaQu", AND($L34="X",$M34="X",$N34="QUEST"),"OUT-UAQPre",$N34="QUEST","OUT-UAQ", $N34="Walk in","ColUATele")</f>
        <v>#N/A</v>
      </c>
      <c r="W34" s="70" t="str">
        <f t="shared" si="8"/>
        <v>#N/A</v>
      </c>
      <c r="X34" s="64" t="str">
        <f t="shared" si="9"/>
        <v/>
      </c>
      <c r="Y34" s="64" t="str">
        <f t="shared" si="10"/>
        <v/>
      </c>
      <c r="Z34" s="66" t="str">
        <f t="shared" si="11"/>
        <v> </v>
      </c>
      <c r="AA34" s="71"/>
    </row>
    <row r="35" ht="15.75" customHeight="1">
      <c r="A35" s="56" t="str">
        <f>IFS($B35=FALSE,"",$B35,VLOOKUP($B35,'PATIENT DATA (072721)'!A:C, 2, 0))</f>
        <v/>
      </c>
      <c r="B35" s="57"/>
      <c r="C35" s="73" t="str">
        <f>IF(COUNTIF('PATIENT DATA (072721)'!A:A, B35)=0, "X","✓")</f>
        <v>X</v>
      </c>
      <c r="D35" s="59" t="str">
        <f>IFS($B35=FALSE,"",$B35,VLOOKUP($B35,'PATIENT DATA (072721)'!A:C, 3, 0))</f>
        <v/>
      </c>
      <c r="E35" s="60"/>
      <c r="F35" s="61" t="str">
        <f>ifs($B35="","",$B35, VLOOKUP($B35&amp;$E35, 'FEB - VISIT DATA'!A:O,3,0))</f>
        <v/>
      </c>
      <c r="G35" s="74"/>
      <c r="H35" s="63"/>
      <c r="I35" s="64" t="str">
        <f>VLOOKUP($B35&amp;$E35,'FEB - VISIT DATA'!A:J, 9, FALSE)</f>
        <v>#N/A</v>
      </c>
      <c r="J35" s="65" t="str">
        <f>VLOOKUP(B35&amp;E35,'FEB - VISIT DATA'!A:O,10,FALSE)</f>
        <v>#N/A</v>
      </c>
      <c r="K35" s="66"/>
      <c r="L35" s="66"/>
      <c r="M35" s="66"/>
      <c r="N35" s="66"/>
      <c r="O35" s="58" t="str">
        <f t="shared" si="1"/>
        <v>X</v>
      </c>
      <c r="P35" s="59" t="str">
        <f t="shared" si="2"/>
        <v>#N/A</v>
      </c>
      <c r="Q35" s="67" t="str">
        <f t="shared" si="3"/>
        <v>#N/A</v>
      </c>
      <c r="R35" s="68" t="str">
        <f t="shared" si="4"/>
        <v>#N/A</v>
      </c>
      <c r="S35" s="62" t="str">
        <f t="shared" si="5"/>
        <v>#N/A</v>
      </c>
      <c r="T35" s="62" t="str">
        <f t="shared" si="6"/>
        <v>#N/A</v>
      </c>
      <c r="U35" s="63">
        <f t="shared" si="7"/>
        <v>0</v>
      </c>
      <c r="V35" s="69" t="str">
        <f>ifs($N35="",VLOOKUP($B35&amp;$E35,'FEB - VISIT DATA'!$A$2:$J100,7,FALSE), $N35="SWAB","OUTSA-RW",$N35="SWQU","OUTSA-SaQu", AND($L35="X",$M35="X",$N35="QUEST"),"OUT-UAQPre",$N35="QUEST","OUT-UAQ", $N35="Walk in","ColUATele")</f>
        <v>#N/A</v>
      </c>
      <c r="W35" s="70" t="str">
        <f t="shared" si="8"/>
        <v>#N/A</v>
      </c>
      <c r="X35" s="64" t="str">
        <f t="shared" si="9"/>
        <v/>
      </c>
      <c r="Y35" s="64" t="str">
        <f t="shared" si="10"/>
        <v/>
      </c>
      <c r="Z35" s="66" t="str">
        <f t="shared" si="11"/>
        <v> </v>
      </c>
      <c r="AA35" s="71"/>
    </row>
    <row r="36" ht="15.75" customHeight="1">
      <c r="A36" s="56" t="str">
        <f>IFS($B36=FALSE,"",$B36,VLOOKUP($B36,'PATIENT DATA (072721)'!A:C, 2, 0))</f>
        <v/>
      </c>
      <c r="B36" s="57"/>
      <c r="C36" s="73" t="str">
        <f>IF(COUNTIF('PATIENT DATA (072721)'!A:A, B36)=0, "X","✓")</f>
        <v>X</v>
      </c>
      <c r="D36" s="59" t="str">
        <f>IFS($B36=FALSE,"",$B36,VLOOKUP($B36,'PATIENT DATA (072721)'!A:C, 3, 0))</f>
        <v/>
      </c>
      <c r="E36" s="60"/>
      <c r="F36" s="61" t="str">
        <f>ifs($B36="","",$B36, VLOOKUP($B36&amp;$E36, 'FEB - VISIT DATA'!A:O,3,0))</f>
        <v/>
      </c>
      <c r="G36" s="74"/>
      <c r="H36" s="63"/>
      <c r="I36" s="64" t="str">
        <f>VLOOKUP($B36&amp;$E36,'FEB - VISIT DATA'!A:J, 9, FALSE)</f>
        <v>#N/A</v>
      </c>
      <c r="J36" s="65" t="str">
        <f>VLOOKUP(B36&amp;E36,'FEB - VISIT DATA'!A:O,10,FALSE)</f>
        <v>#N/A</v>
      </c>
      <c r="K36" s="66"/>
      <c r="L36" s="66"/>
      <c r="M36" s="66"/>
      <c r="N36" s="66"/>
      <c r="O36" s="58" t="str">
        <f t="shared" si="1"/>
        <v>X</v>
      </c>
      <c r="P36" s="59" t="str">
        <f t="shared" si="2"/>
        <v>#N/A</v>
      </c>
      <c r="Q36" s="67" t="str">
        <f t="shared" si="3"/>
        <v>#N/A</v>
      </c>
      <c r="R36" s="68" t="str">
        <f t="shared" si="4"/>
        <v>#N/A</v>
      </c>
      <c r="S36" s="62" t="str">
        <f t="shared" si="5"/>
        <v>#N/A</v>
      </c>
      <c r="T36" s="62" t="str">
        <f t="shared" si="6"/>
        <v>#N/A</v>
      </c>
      <c r="U36" s="63">
        <f t="shared" si="7"/>
        <v>0</v>
      </c>
      <c r="V36" s="69" t="str">
        <f>ifs($N36="",VLOOKUP($B36&amp;$E36,'FEB - VISIT DATA'!$A$2:$J100,7,FALSE), $N36="SWAB","OUTSA-RW",$N36="SWQU","OUTSA-SaQu", AND($L36="X",$M36="X",$N36="QUEST"),"OUT-UAQPre",$N36="QUEST","OUT-UAQ", $N36="Walk in","ColUATele")</f>
        <v>#N/A</v>
      </c>
      <c r="W36" s="70" t="str">
        <f t="shared" si="8"/>
        <v>#N/A</v>
      </c>
      <c r="X36" s="64" t="str">
        <f t="shared" si="9"/>
        <v/>
      </c>
      <c r="Y36" s="64" t="str">
        <f t="shared" si="10"/>
        <v/>
      </c>
      <c r="Z36" s="66" t="str">
        <f t="shared" si="11"/>
        <v> </v>
      </c>
      <c r="AA36" s="71"/>
    </row>
    <row r="37" ht="15.75" customHeight="1">
      <c r="A37" s="56" t="str">
        <f>IFS($B37=FALSE,"",$B37,VLOOKUP($B37,'PATIENT DATA (072721)'!A:C, 2, 0))</f>
        <v/>
      </c>
      <c r="B37" s="57"/>
      <c r="C37" s="73" t="str">
        <f>IF(COUNTIF('PATIENT DATA (072721)'!A:A, B37)=0, "X","✓")</f>
        <v>X</v>
      </c>
      <c r="D37" s="59" t="str">
        <f>IFS($B37=FALSE,"",$B37,VLOOKUP($B37,'PATIENT DATA (072721)'!A:C, 3, 0))</f>
        <v/>
      </c>
      <c r="E37" s="60"/>
      <c r="F37" s="61" t="str">
        <f>ifs($B37="","",$B37, VLOOKUP($B37&amp;$E37, 'FEB - VISIT DATA'!A:O,3,0))</f>
        <v/>
      </c>
      <c r="G37" s="74"/>
      <c r="H37" s="63"/>
      <c r="I37" s="64" t="str">
        <f>VLOOKUP($B37&amp;$E37,'FEB - VISIT DATA'!A:J, 9, FALSE)</f>
        <v>#N/A</v>
      </c>
      <c r="J37" s="65" t="str">
        <f>VLOOKUP(B37&amp;E37,'FEB - VISIT DATA'!A:O,10,FALSE)</f>
        <v>#N/A</v>
      </c>
      <c r="K37" s="66"/>
      <c r="L37" s="66"/>
      <c r="M37" s="66"/>
      <c r="N37" s="66"/>
      <c r="O37" s="58" t="str">
        <f t="shared" si="1"/>
        <v>X</v>
      </c>
      <c r="P37" s="59" t="str">
        <f t="shared" si="2"/>
        <v>#N/A</v>
      </c>
      <c r="Q37" s="67" t="str">
        <f t="shared" si="3"/>
        <v>#N/A</v>
      </c>
      <c r="R37" s="68" t="str">
        <f t="shared" si="4"/>
        <v>#N/A</v>
      </c>
      <c r="S37" s="62" t="str">
        <f t="shared" si="5"/>
        <v>#N/A</v>
      </c>
      <c r="T37" s="62" t="str">
        <f t="shared" si="6"/>
        <v>#N/A</v>
      </c>
      <c r="U37" s="63">
        <f t="shared" si="7"/>
        <v>0</v>
      </c>
      <c r="V37" s="69" t="str">
        <f>ifs($N37="",VLOOKUP($B37&amp;$E37,'FEB - VISIT DATA'!$A$2:$J100,7,FALSE), $N37="SWAB","OUTSA-RW",$N37="SWQU","OUTSA-SaQu", AND($L37="X",$M37="X",$N37="QUEST"),"OUT-UAQPre",$N37="QUEST","OUT-UAQ", $N37="Walk in","ColUATele")</f>
        <v>#N/A</v>
      </c>
      <c r="W37" s="70" t="str">
        <f t="shared" si="8"/>
        <v>#N/A</v>
      </c>
      <c r="X37" s="64" t="str">
        <f t="shared" si="9"/>
        <v/>
      </c>
      <c r="Y37" s="64" t="str">
        <f t="shared" si="10"/>
        <v/>
      </c>
      <c r="Z37" s="66" t="str">
        <f t="shared" si="11"/>
        <v> </v>
      </c>
      <c r="AA37" s="71"/>
    </row>
    <row r="38" ht="15.75" customHeight="1">
      <c r="A38" s="56" t="str">
        <f>IFS($B38=FALSE,"",$B38,VLOOKUP($B38,'PATIENT DATA (072721)'!A:C, 2, 0))</f>
        <v/>
      </c>
      <c r="B38" s="57"/>
      <c r="C38" s="73" t="str">
        <f>IF(COUNTIF('PATIENT DATA (072721)'!A:A, B38)=0, "X","✓")</f>
        <v>X</v>
      </c>
      <c r="D38" s="59" t="str">
        <f>IFS($B38=FALSE,"",$B38,VLOOKUP($B38,'PATIENT DATA (072721)'!A:C, 3, 0))</f>
        <v/>
      </c>
      <c r="E38" s="60"/>
      <c r="F38" s="61" t="str">
        <f>ifs($B38="","",$B38, VLOOKUP($B38&amp;$E38, 'FEB - VISIT DATA'!A:O,3,0))</f>
        <v/>
      </c>
      <c r="G38" s="74"/>
      <c r="H38" s="63"/>
      <c r="I38" s="64" t="str">
        <f>VLOOKUP($B38&amp;$E38,'FEB - VISIT DATA'!A:J, 9, FALSE)</f>
        <v>#N/A</v>
      </c>
      <c r="J38" s="65" t="str">
        <f>VLOOKUP(B38&amp;E38,'FEB - VISIT DATA'!A:O,10,FALSE)</f>
        <v>#N/A</v>
      </c>
      <c r="K38" s="66"/>
      <c r="L38" s="66"/>
      <c r="M38" s="66"/>
      <c r="N38" s="66"/>
      <c r="O38" s="58" t="str">
        <f t="shared" si="1"/>
        <v>X</v>
      </c>
      <c r="P38" s="59" t="str">
        <f t="shared" si="2"/>
        <v>#N/A</v>
      </c>
      <c r="Q38" s="67" t="str">
        <f t="shared" si="3"/>
        <v>#N/A</v>
      </c>
      <c r="R38" s="68" t="str">
        <f t="shared" si="4"/>
        <v>#N/A</v>
      </c>
      <c r="S38" s="62" t="str">
        <f t="shared" si="5"/>
        <v>#N/A</v>
      </c>
      <c r="T38" s="62" t="str">
        <f t="shared" si="6"/>
        <v>#N/A</v>
      </c>
      <c r="U38" s="63">
        <f t="shared" si="7"/>
        <v>0</v>
      </c>
      <c r="V38" s="69" t="str">
        <f>ifs($N38="",VLOOKUP($B38&amp;$E38,'FEB - VISIT DATA'!$A$2:$J100,7,FALSE), $N38="SWAB","OUTSA-RW",$N38="SWQU","OUTSA-SaQu", AND($L38="X",$M38="X",$N38="QUEST"),"OUT-UAQPre",$N38="QUEST","OUT-UAQ", $N38="Walk in","ColUATele")</f>
        <v>#N/A</v>
      </c>
      <c r="W38" s="70" t="str">
        <f t="shared" si="8"/>
        <v>#N/A</v>
      </c>
      <c r="X38" s="64" t="str">
        <f t="shared" si="9"/>
        <v/>
      </c>
      <c r="Y38" s="64" t="str">
        <f t="shared" si="10"/>
        <v/>
      </c>
      <c r="Z38" s="66" t="str">
        <f t="shared" si="11"/>
        <v> </v>
      </c>
      <c r="AA38" s="71"/>
    </row>
    <row r="39" ht="15.75" customHeight="1">
      <c r="A39" s="56" t="str">
        <f>IFS($B39=FALSE,"",$B39,VLOOKUP($B39,'PATIENT DATA (072721)'!A:C, 2, 0))</f>
        <v/>
      </c>
      <c r="B39" s="57"/>
      <c r="C39" s="73" t="str">
        <f>IF(COUNTIF('PATIENT DATA (072721)'!A:A, B39)=0, "X","✓")</f>
        <v>X</v>
      </c>
      <c r="D39" s="59" t="str">
        <f>IFS($B39=FALSE,"",$B39,VLOOKUP($B39,'PATIENT DATA (072721)'!A:C, 3, 0))</f>
        <v/>
      </c>
      <c r="E39" s="60"/>
      <c r="F39" s="61" t="str">
        <f>ifs($B39="","",$B39, VLOOKUP($B39&amp;$E39, 'FEB - VISIT DATA'!A:O,3,0))</f>
        <v/>
      </c>
      <c r="G39" s="74"/>
      <c r="H39" s="63"/>
      <c r="I39" s="64" t="str">
        <f>VLOOKUP($B39&amp;$E39,'FEB - VISIT DATA'!A:J, 9, FALSE)</f>
        <v>#N/A</v>
      </c>
      <c r="J39" s="65" t="str">
        <f>VLOOKUP(B39&amp;E39,'FEB - VISIT DATA'!A:O,10,FALSE)</f>
        <v>#N/A</v>
      </c>
      <c r="K39" s="66"/>
      <c r="L39" s="66"/>
      <c r="M39" s="66"/>
      <c r="N39" s="66"/>
      <c r="O39" s="58" t="str">
        <f t="shared" si="1"/>
        <v>X</v>
      </c>
      <c r="P39" s="59" t="str">
        <f t="shared" si="2"/>
        <v>#N/A</v>
      </c>
      <c r="Q39" s="67" t="str">
        <f t="shared" si="3"/>
        <v>#N/A</v>
      </c>
      <c r="R39" s="68" t="str">
        <f t="shared" si="4"/>
        <v>#N/A</v>
      </c>
      <c r="S39" s="62" t="str">
        <f t="shared" si="5"/>
        <v>#N/A</v>
      </c>
      <c r="T39" s="62" t="str">
        <f t="shared" si="6"/>
        <v>#N/A</v>
      </c>
      <c r="U39" s="63">
        <f t="shared" si="7"/>
        <v>0</v>
      </c>
      <c r="V39" s="69" t="str">
        <f>ifs($N39="",VLOOKUP($B39&amp;$E39,'FEB - VISIT DATA'!$A$2:$J100,7,FALSE), $N39="SWAB","OUTSA-RW",$N39="SWQU","OUTSA-SaQu", AND($L39="X",$M39="X",$N39="QUEST"),"OUT-UAQPre",$N39="QUEST","OUT-UAQ", $N39="Walk in","ColUATele")</f>
        <v>#N/A</v>
      </c>
      <c r="W39" s="70" t="str">
        <f t="shared" si="8"/>
        <v>#N/A</v>
      </c>
      <c r="X39" s="64" t="str">
        <f t="shared" si="9"/>
        <v/>
      </c>
      <c r="Y39" s="64" t="str">
        <f t="shared" si="10"/>
        <v/>
      </c>
      <c r="Z39" s="66" t="str">
        <f t="shared" si="11"/>
        <v> </v>
      </c>
      <c r="AA39" s="71"/>
    </row>
    <row r="40" ht="15.75" customHeight="1">
      <c r="A40" s="56" t="str">
        <f>IFS($B40=FALSE,"",$B40,VLOOKUP($B40,'PATIENT DATA (072721)'!A:C, 2, 0))</f>
        <v/>
      </c>
      <c r="B40" s="57"/>
      <c r="C40" s="73" t="str">
        <f>IF(COUNTIF('PATIENT DATA (072721)'!A:A, B40)=0, "X","✓")</f>
        <v>X</v>
      </c>
      <c r="D40" s="59" t="str">
        <f>IFS($B40=FALSE,"",$B40,VLOOKUP($B40,'PATIENT DATA (072721)'!A:C, 3, 0))</f>
        <v/>
      </c>
      <c r="E40" s="60"/>
      <c r="F40" s="61" t="str">
        <f>ifs($B40="","",$B40, VLOOKUP($B40&amp;$E40, 'FEB - VISIT DATA'!A:O,3,0))</f>
        <v/>
      </c>
      <c r="G40" s="74"/>
      <c r="H40" s="63"/>
      <c r="I40" s="64" t="str">
        <f>VLOOKUP($B40&amp;$E40,'FEB - VISIT DATA'!A:J, 9, FALSE)</f>
        <v>#N/A</v>
      </c>
      <c r="J40" s="65" t="str">
        <f>VLOOKUP(B40&amp;E40,'FEB - VISIT DATA'!A:O,10,FALSE)</f>
        <v>#N/A</v>
      </c>
      <c r="K40" s="66"/>
      <c r="L40" s="66"/>
      <c r="M40" s="66"/>
      <c r="N40" s="66"/>
      <c r="O40" s="58" t="str">
        <f t="shared" si="1"/>
        <v>X</v>
      </c>
      <c r="P40" s="59" t="str">
        <f t="shared" si="2"/>
        <v>#N/A</v>
      </c>
      <c r="Q40" s="67" t="str">
        <f t="shared" si="3"/>
        <v>#N/A</v>
      </c>
      <c r="R40" s="68" t="str">
        <f t="shared" si="4"/>
        <v>#N/A</v>
      </c>
      <c r="S40" s="62" t="str">
        <f t="shared" si="5"/>
        <v>#N/A</v>
      </c>
      <c r="T40" s="62" t="str">
        <f t="shared" si="6"/>
        <v>#N/A</v>
      </c>
      <c r="U40" s="63">
        <f t="shared" si="7"/>
        <v>0</v>
      </c>
      <c r="V40" s="69" t="str">
        <f>ifs($N40="",VLOOKUP($B40&amp;$E40,'FEB - VISIT DATA'!$A$2:$J100,7,FALSE), $N40="SWAB","OUTSA-RW",$N40="SWQU","OUTSA-SaQu", AND($L40="X",$M40="X",$N40="QUEST"),"OUT-UAQPre",$N40="QUEST","OUT-UAQ", $N40="Walk in","ColUATele")</f>
        <v>#N/A</v>
      </c>
      <c r="W40" s="70" t="str">
        <f t="shared" si="8"/>
        <v>#N/A</v>
      </c>
      <c r="X40" s="64" t="str">
        <f t="shared" si="9"/>
        <v/>
      </c>
      <c r="Y40" s="64" t="str">
        <f t="shared" si="10"/>
        <v/>
      </c>
      <c r="Z40" s="66" t="str">
        <f t="shared" si="11"/>
        <v> </v>
      </c>
      <c r="AA40" s="71"/>
    </row>
    <row r="41" ht="15.75" customHeight="1">
      <c r="A41" s="56" t="str">
        <f>IFS($B41=FALSE,"",$B41,VLOOKUP($B41,'PATIENT DATA (072721)'!A:C, 2, 0))</f>
        <v/>
      </c>
      <c r="B41" s="57"/>
      <c r="C41" s="58" t="str">
        <f>IF(COUNTIF('PATIENT DATA (072721)'!A:A, B41)=0, "X","✓")</f>
        <v>X</v>
      </c>
      <c r="D41" s="59" t="str">
        <f>IFS($B41=FALSE,"",$B41,VLOOKUP($B41,'PATIENT DATA (072721)'!A:C, 3, 0))</f>
        <v/>
      </c>
      <c r="E41" s="60"/>
      <c r="F41" s="61" t="str">
        <f>ifs($B41="","",$B41, VLOOKUP($B41&amp;$E41, 'FEB - VISIT DATA'!A:O,3,0))</f>
        <v/>
      </c>
      <c r="G41" s="62"/>
      <c r="H41" s="63"/>
      <c r="I41" s="64" t="str">
        <f>VLOOKUP($B41&amp;$E41,'FEB - VISIT DATA'!A:J, 9, FALSE)</f>
        <v>#N/A</v>
      </c>
      <c r="J41" s="65" t="str">
        <f>VLOOKUP(B41&amp;E41,'FEB - VISIT DATA'!A:O,10,FALSE)</f>
        <v>#N/A</v>
      </c>
      <c r="K41" s="66"/>
      <c r="L41" s="66"/>
      <c r="M41" s="66"/>
      <c r="N41" s="66"/>
      <c r="O41" s="58" t="str">
        <f t="shared" si="1"/>
        <v>X</v>
      </c>
      <c r="P41" s="59" t="str">
        <f t="shared" si="2"/>
        <v>#N/A</v>
      </c>
      <c r="Q41" s="67" t="str">
        <f t="shared" si="3"/>
        <v>#N/A</v>
      </c>
      <c r="R41" s="68" t="str">
        <f t="shared" si="4"/>
        <v>#N/A</v>
      </c>
      <c r="S41" s="62" t="str">
        <f t="shared" si="5"/>
        <v>#N/A</v>
      </c>
      <c r="T41" s="62" t="str">
        <f t="shared" si="6"/>
        <v>#N/A</v>
      </c>
      <c r="U41" s="63">
        <f t="shared" si="7"/>
        <v>0</v>
      </c>
      <c r="V41" s="69" t="str">
        <f>ifs($N41="",VLOOKUP($B41&amp;$E41,'FEB - VISIT DATA'!$A$2:$J100,7,FALSE), $N41="SWAB","OUTSA-RW",$N41="SWQU","OUTSA-SaQu", AND($L41="X",$M41="X",$N41="QUEST"),"OUT-UAQPre",$N41="QUEST","OUT-UAQ", $N41="Walk in","ColUATele")</f>
        <v>#N/A</v>
      </c>
      <c r="W41" s="70" t="str">
        <f t="shared" si="8"/>
        <v>#N/A</v>
      </c>
      <c r="X41" s="64" t="str">
        <f t="shared" si="9"/>
        <v/>
      </c>
      <c r="Y41" s="64" t="str">
        <f t="shared" si="10"/>
        <v/>
      </c>
      <c r="Z41" s="66" t="str">
        <f t="shared" si="11"/>
        <v> </v>
      </c>
      <c r="AA41" s="71"/>
    </row>
    <row r="42" ht="15.75" customHeight="1">
      <c r="A42" s="56" t="str">
        <f>IFS($B42=FALSE,"",$B42,VLOOKUP($B42,'PATIENT DATA (072721)'!A:C, 2, 0))</f>
        <v/>
      </c>
      <c r="B42" s="57"/>
      <c r="C42" s="58" t="str">
        <f>IF(COUNTIF('PATIENT DATA (072721)'!A:A, B42)=0, "X","✓")</f>
        <v>X</v>
      </c>
      <c r="D42" s="59" t="str">
        <f>IFS($B42=FALSE,"",$B42,VLOOKUP($B42,'PATIENT DATA (072721)'!A:C, 3, 0))</f>
        <v/>
      </c>
      <c r="E42" s="60"/>
      <c r="F42" s="61" t="str">
        <f>ifs($B42="","",$B42, VLOOKUP($B42&amp;$E42, 'FEB - VISIT DATA'!A:O,3,0))</f>
        <v/>
      </c>
      <c r="G42" s="62"/>
      <c r="H42" s="63"/>
      <c r="I42" s="64" t="str">
        <f>VLOOKUP($B42&amp;$E42,'FEB - VISIT DATA'!A:J, 9, FALSE)</f>
        <v>#N/A</v>
      </c>
      <c r="J42" s="65" t="str">
        <f>VLOOKUP(B42&amp;E42,'FEB - VISIT DATA'!A:O,10,FALSE)</f>
        <v>#N/A</v>
      </c>
      <c r="K42" s="66"/>
      <c r="L42" s="66"/>
      <c r="M42" s="66"/>
      <c r="N42" s="66"/>
      <c r="O42" s="58" t="str">
        <f t="shared" si="1"/>
        <v>X</v>
      </c>
      <c r="P42" s="59" t="str">
        <f t="shared" si="2"/>
        <v>#N/A</v>
      </c>
      <c r="Q42" s="67" t="str">
        <f t="shared" si="3"/>
        <v>#N/A</v>
      </c>
      <c r="R42" s="68" t="str">
        <f t="shared" si="4"/>
        <v>#N/A</v>
      </c>
      <c r="S42" s="62" t="str">
        <f t="shared" si="5"/>
        <v>#N/A</v>
      </c>
      <c r="T42" s="62" t="str">
        <f t="shared" si="6"/>
        <v>#N/A</v>
      </c>
      <c r="U42" s="63">
        <f t="shared" si="7"/>
        <v>0</v>
      </c>
      <c r="V42" s="69" t="str">
        <f>ifs($N42="",VLOOKUP($B42&amp;$E42,'FEB - VISIT DATA'!$A$2:$J100,7,FALSE), $N42="SWAB","OUTSA-RW",$N42="SWQU","OUTSA-SaQu", AND($L42="X",$M42="X",$N42="QUEST"),"OUT-UAQPre",$N42="QUEST","OUT-UAQ", $N42="Walk in","ColUATele")</f>
        <v>#N/A</v>
      </c>
      <c r="W42" s="70" t="str">
        <f t="shared" si="8"/>
        <v>#N/A</v>
      </c>
      <c r="X42" s="64" t="str">
        <f t="shared" si="9"/>
        <v/>
      </c>
      <c r="Y42" s="64" t="str">
        <f t="shared" si="10"/>
        <v/>
      </c>
      <c r="Z42" s="66" t="str">
        <f t="shared" si="11"/>
        <v> </v>
      </c>
      <c r="AA42" s="71"/>
    </row>
    <row r="43" ht="15.75" customHeight="1">
      <c r="A43" s="56" t="str">
        <f>IFS($B43=FALSE,"",$B43,VLOOKUP($B43,'PATIENT DATA (072721)'!A:C, 2, 0))</f>
        <v/>
      </c>
      <c r="B43" s="57"/>
      <c r="C43" s="58" t="str">
        <f>IF(COUNTIF('PATIENT DATA (072721)'!A:A, B43)=0, "X","✓")</f>
        <v>X</v>
      </c>
      <c r="D43" s="59" t="str">
        <f>IFS($B43=FALSE,"",$B43,VLOOKUP($B43,'PATIENT DATA (072721)'!A:C, 3, 0))</f>
        <v/>
      </c>
      <c r="E43" s="60"/>
      <c r="F43" s="61" t="str">
        <f>ifs($B43="","",$B43, VLOOKUP($B43&amp;$E43, 'FEB - VISIT DATA'!A:O,3,0))</f>
        <v/>
      </c>
      <c r="G43" s="62"/>
      <c r="H43" s="63"/>
      <c r="I43" s="64" t="str">
        <f>VLOOKUP($B43&amp;$E43,'FEB - VISIT DATA'!A:J, 9, FALSE)</f>
        <v>#N/A</v>
      </c>
      <c r="J43" s="65" t="str">
        <f>VLOOKUP(B43&amp;E43,'FEB - VISIT DATA'!A:O,10,FALSE)</f>
        <v>#N/A</v>
      </c>
      <c r="K43" s="66"/>
      <c r="L43" s="66"/>
      <c r="M43" s="66"/>
      <c r="N43" s="66"/>
      <c r="O43" s="58" t="str">
        <f t="shared" si="1"/>
        <v>X</v>
      </c>
      <c r="P43" s="59" t="str">
        <f t="shared" si="2"/>
        <v>#N/A</v>
      </c>
      <c r="Q43" s="67" t="str">
        <f t="shared" si="3"/>
        <v>#N/A</v>
      </c>
      <c r="R43" s="68" t="str">
        <f t="shared" si="4"/>
        <v>#N/A</v>
      </c>
      <c r="S43" s="62" t="str">
        <f t="shared" si="5"/>
        <v>#N/A</v>
      </c>
      <c r="T43" s="62" t="str">
        <f t="shared" si="6"/>
        <v>#N/A</v>
      </c>
      <c r="U43" s="63">
        <f t="shared" si="7"/>
        <v>0</v>
      </c>
      <c r="V43" s="69" t="str">
        <f>ifs($N43="",VLOOKUP($B43&amp;$E43,'FEB - VISIT DATA'!$A$2:$J100,7,FALSE), $N43="SWAB","OUTSA-RW",$N43="SWQU","OUTSA-SaQu", AND($L43="X",$M43="X",$N43="QUEST"),"OUT-UAQPre",$N43="QUEST","OUT-UAQ", $N43="Walk in","ColUATele")</f>
        <v>#N/A</v>
      </c>
      <c r="W43" s="70" t="str">
        <f t="shared" si="8"/>
        <v>#N/A</v>
      </c>
      <c r="X43" s="64" t="str">
        <f t="shared" si="9"/>
        <v/>
      </c>
      <c r="Y43" s="64" t="str">
        <f t="shared" si="10"/>
        <v/>
      </c>
      <c r="Z43" s="66" t="str">
        <f t="shared" si="11"/>
        <v> </v>
      </c>
      <c r="AA43" s="71"/>
    </row>
    <row r="44" ht="15.75" customHeight="1">
      <c r="A44" s="56" t="str">
        <f>IFS($B44=FALSE,"",$B44,VLOOKUP($B44,'PATIENT DATA (072721)'!A:C, 2, 0))</f>
        <v/>
      </c>
      <c r="B44" s="57"/>
      <c r="C44" s="58" t="str">
        <f>IF(COUNTIF('PATIENT DATA (072721)'!A:A, B44)=0, "X","✓")</f>
        <v>X</v>
      </c>
      <c r="D44" s="59" t="str">
        <f>IFS($B44=FALSE,"",$B44,VLOOKUP($B44,'PATIENT DATA (072721)'!A:C, 3, 0))</f>
        <v/>
      </c>
      <c r="E44" s="60"/>
      <c r="F44" s="61" t="str">
        <f>ifs($B44="","",$B44, VLOOKUP($B44&amp;$E44, 'FEB - VISIT DATA'!A:O,3,0))</f>
        <v/>
      </c>
      <c r="G44" s="62"/>
      <c r="H44" s="63"/>
      <c r="I44" s="64" t="str">
        <f>VLOOKUP($B44&amp;$E44,'FEB - VISIT DATA'!A:J, 9, FALSE)</f>
        <v>#N/A</v>
      </c>
      <c r="J44" s="65" t="str">
        <f>VLOOKUP(B44&amp;E44,'FEB - VISIT DATA'!A:O,10,FALSE)</f>
        <v>#N/A</v>
      </c>
      <c r="K44" s="66"/>
      <c r="L44" s="66"/>
      <c r="M44" s="66"/>
      <c r="N44" s="66"/>
      <c r="O44" s="58" t="str">
        <f t="shared" si="1"/>
        <v>X</v>
      </c>
      <c r="P44" s="59" t="str">
        <f t="shared" si="2"/>
        <v>#N/A</v>
      </c>
      <c r="Q44" s="67" t="str">
        <f t="shared" si="3"/>
        <v>#N/A</v>
      </c>
      <c r="R44" s="68" t="str">
        <f t="shared" si="4"/>
        <v>#N/A</v>
      </c>
      <c r="S44" s="62" t="str">
        <f t="shared" si="5"/>
        <v>#N/A</v>
      </c>
      <c r="T44" s="62" t="str">
        <f t="shared" si="6"/>
        <v>#N/A</v>
      </c>
      <c r="U44" s="63">
        <f t="shared" si="7"/>
        <v>0</v>
      </c>
      <c r="V44" s="69" t="str">
        <f>ifs($N44="",VLOOKUP($B44&amp;$E44,'FEB - VISIT DATA'!$A$2:$J100,7,FALSE), $N44="SWAB","OUTSA-RW",$N44="SWQU","OUTSA-SaQu", AND($L44="X",$M44="X",$N44="QUEST"),"OUT-UAQPre",$N44="QUEST","OUT-UAQ", $N44="Walk in","ColUATele")</f>
        <v>#N/A</v>
      </c>
      <c r="W44" s="70" t="str">
        <f t="shared" si="8"/>
        <v>#N/A</v>
      </c>
      <c r="X44" s="64" t="str">
        <f t="shared" si="9"/>
        <v/>
      </c>
      <c r="Y44" s="64" t="str">
        <f t="shared" si="10"/>
        <v/>
      </c>
      <c r="Z44" s="66" t="str">
        <f t="shared" si="11"/>
        <v> </v>
      </c>
      <c r="AA44" s="71"/>
    </row>
    <row r="45" ht="15.75" customHeight="1">
      <c r="A45" s="56" t="str">
        <f>IFS($B45=FALSE,"",$B45,VLOOKUP($B45,'PATIENT DATA (072721)'!A:C, 2, 0))</f>
        <v/>
      </c>
      <c r="B45" s="57"/>
      <c r="C45" s="58" t="str">
        <f>IF(COUNTIF('PATIENT DATA (072721)'!A:A, B45)=0, "X","✓")</f>
        <v>X</v>
      </c>
      <c r="D45" s="59" t="str">
        <f>IFS($B45=FALSE,"",$B45,VLOOKUP($B45,'PATIENT DATA (072721)'!A:C, 3, 0))</f>
        <v/>
      </c>
      <c r="E45" s="60"/>
      <c r="F45" s="61" t="str">
        <f>ifs($B45="","",$B45, VLOOKUP($B45&amp;$E45, 'FEB - VISIT DATA'!A:O,3,0))</f>
        <v/>
      </c>
      <c r="G45" s="62"/>
      <c r="H45" s="63"/>
      <c r="I45" s="64" t="str">
        <f>VLOOKUP($B45&amp;$E45,'FEB - VISIT DATA'!A:J, 9, FALSE)</f>
        <v>#N/A</v>
      </c>
      <c r="J45" s="65" t="str">
        <f>VLOOKUP(B45&amp;E45,'FEB - VISIT DATA'!A:O,10,FALSE)</f>
        <v>#N/A</v>
      </c>
      <c r="K45" s="66"/>
      <c r="L45" s="66"/>
      <c r="M45" s="66"/>
      <c r="N45" s="66"/>
      <c r="O45" s="58" t="str">
        <f t="shared" si="1"/>
        <v>X</v>
      </c>
      <c r="P45" s="59" t="str">
        <f t="shared" si="2"/>
        <v>#N/A</v>
      </c>
      <c r="Q45" s="67" t="str">
        <f t="shared" si="3"/>
        <v>#N/A</v>
      </c>
      <c r="R45" s="68" t="str">
        <f t="shared" si="4"/>
        <v>#N/A</v>
      </c>
      <c r="S45" s="62" t="str">
        <f t="shared" si="5"/>
        <v>#N/A</v>
      </c>
      <c r="T45" s="62" t="str">
        <f t="shared" si="6"/>
        <v>#N/A</v>
      </c>
      <c r="U45" s="63">
        <f t="shared" si="7"/>
        <v>0</v>
      </c>
      <c r="V45" s="69" t="str">
        <f>ifs($N45="",VLOOKUP($B45&amp;$E45,'FEB - VISIT DATA'!$A$2:$J100,7,FALSE), $N45="SWAB","OUTSA-RW",$N45="SWQU","OUTSA-SaQu", AND($L45="X",$M45="X",$N45="QUEST"),"OUT-UAQPre",$N45="QUEST","OUT-UAQ", $N45="Walk in","ColUATele")</f>
        <v>#N/A</v>
      </c>
      <c r="W45" s="70" t="str">
        <f t="shared" si="8"/>
        <v>#N/A</v>
      </c>
      <c r="X45" s="64" t="str">
        <f t="shared" si="9"/>
        <v/>
      </c>
      <c r="Y45" s="64" t="str">
        <f t="shared" si="10"/>
        <v/>
      </c>
      <c r="Z45" s="66" t="str">
        <f t="shared" si="11"/>
        <v> </v>
      </c>
      <c r="AA45" s="71"/>
    </row>
    <row r="46" ht="15.75" customHeight="1">
      <c r="A46" s="56" t="str">
        <f>IFS($B46=FALSE,"",$B46,VLOOKUP($B46,'PATIENT DATA (072721)'!A:C, 2, 0))</f>
        <v/>
      </c>
      <c r="B46" s="57"/>
      <c r="C46" s="58" t="str">
        <f>IF(COUNTIF('PATIENT DATA (072721)'!A:A, B46)=0, "X","✓")</f>
        <v>X</v>
      </c>
      <c r="D46" s="59" t="str">
        <f>IFS($B46=FALSE,"",$B46,VLOOKUP($B46,'PATIENT DATA (072721)'!A:C, 3, 0))</f>
        <v/>
      </c>
      <c r="E46" s="60"/>
      <c r="F46" s="61" t="str">
        <f>ifs($B46="","",$B46, VLOOKUP($B46&amp;$E46, 'FEB - VISIT DATA'!A:O,3,0))</f>
        <v/>
      </c>
      <c r="G46" s="62"/>
      <c r="H46" s="63"/>
      <c r="I46" s="64" t="str">
        <f>VLOOKUP($B46&amp;$E46,'FEB - VISIT DATA'!A:J, 9, FALSE)</f>
        <v>#N/A</v>
      </c>
      <c r="J46" s="65" t="str">
        <f>VLOOKUP(B46&amp;E46,'FEB - VISIT DATA'!A:O,10,FALSE)</f>
        <v>#N/A</v>
      </c>
      <c r="K46" s="66"/>
      <c r="L46" s="66"/>
      <c r="M46" s="66"/>
      <c r="N46" s="66"/>
      <c r="O46" s="58" t="str">
        <f t="shared" si="1"/>
        <v>X</v>
      </c>
      <c r="P46" s="59" t="str">
        <f t="shared" si="2"/>
        <v>#N/A</v>
      </c>
      <c r="Q46" s="67" t="str">
        <f t="shared" si="3"/>
        <v>#N/A</v>
      </c>
      <c r="R46" s="68" t="str">
        <f t="shared" si="4"/>
        <v>#N/A</v>
      </c>
      <c r="S46" s="62" t="str">
        <f t="shared" si="5"/>
        <v>#N/A</v>
      </c>
      <c r="T46" s="62" t="str">
        <f t="shared" si="6"/>
        <v>#N/A</v>
      </c>
      <c r="U46" s="63">
        <f t="shared" si="7"/>
        <v>0</v>
      </c>
      <c r="V46" s="69" t="str">
        <f>ifs($N46="",VLOOKUP($B46&amp;$E46,'FEB - VISIT DATA'!$A$2:$J100,7,FALSE), $N46="SWAB","OUTSA-RW",$N46="SWQU","OUTSA-SaQu", AND($L46="X",$M46="X",$N46="QUEST"),"OUT-UAQPre",$N46="QUEST","OUT-UAQ", $N46="Walk in","ColUATele")</f>
        <v>#N/A</v>
      </c>
      <c r="W46" s="70" t="str">
        <f t="shared" si="8"/>
        <v>#N/A</v>
      </c>
      <c r="X46" s="64" t="str">
        <f t="shared" si="9"/>
        <v/>
      </c>
      <c r="Y46" s="64" t="str">
        <f t="shared" si="10"/>
        <v/>
      </c>
      <c r="Z46" s="66" t="str">
        <f t="shared" si="11"/>
        <v> </v>
      </c>
      <c r="AA46" s="71"/>
    </row>
    <row r="47" ht="15.75" customHeight="1">
      <c r="A47" s="56" t="str">
        <f>IFS($B47=FALSE,"",$B47,VLOOKUP($B47,'PATIENT DATA (072721)'!A:C, 2, 0))</f>
        <v/>
      </c>
      <c r="B47" s="57"/>
      <c r="C47" s="73" t="str">
        <f>IF(COUNTIF('PATIENT DATA (072721)'!A:A, B47)=0, "X","✓")</f>
        <v>X</v>
      </c>
      <c r="D47" s="59" t="str">
        <f>IFS($B47=FALSE,"",$B47,VLOOKUP($B47,'PATIENT DATA (072721)'!A:C, 3, 0))</f>
        <v/>
      </c>
      <c r="E47" s="60"/>
      <c r="F47" s="61" t="str">
        <f>ifs($B47="","",$B47, VLOOKUP($B47&amp;$E47, 'FEB - VISIT DATA'!A:O,3,0))</f>
        <v/>
      </c>
      <c r="G47" s="62"/>
      <c r="H47" s="63"/>
      <c r="I47" s="64" t="str">
        <f>VLOOKUP($B47&amp;$E47,'FEB - VISIT DATA'!A:J, 9, FALSE)</f>
        <v>#N/A</v>
      </c>
      <c r="J47" s="65" t="str">
        <f>VLOOKUP(B47&amp;E47,'FEB - VISIT DATA'!A:O,10,FALSE)</f>
        <v>#N/A</v>
      </c>
      <c r="K47" s="66"/>
      <c r="L47" s="66"/>
      <c r="M47" s="66"/>
      <c r="N47" s="66"/>
      <c r="O47" s="58" t="str">
        <f t="shared" si="1"/>
        <v>X</v>
      </c>
      <c r="P47" s="59" t="str">
        <f t="shared" si="2"/>
        <v>#N/A</v>
      </c>
      <c r="Q47" s="67" t="str">
        <f t="shared" si="3"/>
        <v>#N/A</v>
      </c>
      <c r="R47" s="68" t="str">
        <f t="shared" si="4"/>
        <v>#N/A</v>
      </c>
      <c r="S47" s="62" t="str">
        <f t="shared" si="5"/>
        <v>#N/A</v>
      </c>
      <c r="T47" s="62" t="str">
        <f t="shared" si="6"/>
        <v>#N/A</v>
      </c>
      <c r="U47" s="63">
        <f t="shared" si="7"/>
        <v>0</v>
      </c>
      <c r="V47" s="69" t="str">
        <f>ifs($N47="",VLOOKUP($B47&amp;$E47,'FEB - VISIT DATA'!$A$2:$J100,7,FALSE), $N47="SWAB","OUTSA-RW",$N47="SWQU","OUTSA-SaQu", AND($L47="X",$M47="X",$N47="QUEST"),"OUT-UAQPre",$N47="QUEST","OUT-UAQ", $N47="Walk in","ColUATele")</f>
        <v>#N/A</v>
      </c>
      <c r="W47" s="70" t="str">
        <f t="shared" si="8"/>
        <v>#N/A</v>
      </c>
      <c r="X47" s="64" t="str">
        <f t="shared" si="9"/>
        <v/>
      </c>
      <c r="Y47" s="64" t="str">
        <f t="shared" si="10"/>
        <v/>
      </c>
      <c r="Z47" s="66" t="str">
        <f t="shared" si="11"/>
        <v> </v>
      </c>
      <c r="AA47" s="71"/>
    </row>
    <row r="48" ht="15.75" customHeight="1">
      <c r="A48" s="56" t="str">
        <f>IFS($B48=FALSE,"",$B48,VLOOKUP($B48,'PATIENT DATA (072721)'!A:C, 2, 0))</f>
        <v/>
      </c>
      <c r="B48" s="57"/>
      <c r="C48" s="73" t="str">
        <f>IF(COUNTIF('PATIENT DATA (072721)'!A:A, B48)=0, "X","✓")</f>
        <v>X</v>
      </c>
      <c r="D48" s="59" t="str">
        <f>IFS($B48=FALSE,"",$B48,VLOOKUP($B48,'PATIENT DATA (072721)'!A:C, 3, 0))</f>
        <v/>
      </c>
      <c r="E48" s="60"/>
      <c r="F48" s="61" t="str">
        <f>ifs($B48="","",$B48, VLOOKUP($B48&amp;$E48, 'FEB - VISIT DATA'!A:O,3,0))</f>
        <v/>
      </c>
      <c r="G48" s="62"/>
      <c r="H48" s="63"/>
      <c r="I48" s="64" t="str">
        <f>VLOOKUP($B48&amp;$E48,'FEB - VISIT DATA'!A:J, 9, FALSE)</f>
        <v>#N/A</v>
      </c>
      <c r="J48" s="65" t="str">
        <f>VLOOKUP(B48&amp;E48,'FEB - VISIT DATA'!A:O,10,FALSE)</f>
        <v>#N/A</v>
      </c>
      <c r="K48" s="66"/>
      <c r="L48" s="66"/>
      <c r="M48" s="66"/>
      <c r="N48" s="66"/>
      <c r="O48" s="58" t="str">
        <f t="shared" si="1"/>
        <v>X</v>
      </c>
      <c r="P48" s="59" t="str">
        <f t="shared" si="2"/>
        <v>#N/A</v>
      </c>
      <c r="Q48" s="67" t="str">
        <f t="shared" si="3"/>
        <v>#N/A</v>
      </c>
      <c r="R48" s="68" t="str">
        <f t="shared" si="4"/>
        <v>#N/A</v>
      </c>
      <c r="S48" s="62" t="str">
        <f t="shared" si="5"/>
        <v>#N/A</v>
      </c>
      <c r="T48" s="62" t="str">
        <f t="shared" si="6"/>
        <v>#N/A</v>
      </c>
      <c r="U48" s="63">
        <f t="shared" si="7"/>
        <v>0</v>
      </c>
      <c r="V48" s="69" t="str">
        <f>ifs($N48="",VLOOKUP($B48&amp;$E48,'FEB - VISIT DATA'!$A$2:$J100,7,FALSE), $N48="SWAB","OUTSA-RW",$N48="SWQU","OUTSA-SaQu", AND($L48="X",$M48="X",$N48="QUEST"),"OUT-UAQPre",$N48="QUEST","OUT-UAQ", $N48="Walk in","ColUATele")</f>
        <v>#N/A</v>
      </c>
      <c r="W48" s="70" t="str">
        <f t="shared" si="8"/>
        <v>#N/A</v>
      </c>
      <c r="X48" s="64" t="str">
        <f t="shared" si="9"/>
        <v/>
      </c>
      <c r="Y48" s="64" t="str">
        <f t="shared" si="10"/>
        <v/>
      </c>
      <c r="Z48" s="66" t="str">
        <f t="shared" si="11"/>
        <v> </v>
      </c>
      <c r="AA48" s="71"/>
    </row>
    <row r="49" ht="15.75" customHeight="1">
      <c r="A49" s="56" t="str">
        <f>IFS($B49=FALSE,"",$B49,VLOOKUP($B49,'PATIENT DATA (072721)'!A:C, 2, 0))</f>
        <v/>
      </c>
      <c r="B49" s="57"/>
      <c r="C49" s="75" t="str">
        <f>IF(COUNTIF('PATIENT DATA (072721)'!A:A, B49)=0, "X","✓")</f>
        <v>X</v>
      </c>
      <c r="D49" s="59" t="str">
        <f>IFS($B49=FALSE,"",$B49,VLOOKUP($B49,'PATIENT DATA (072721)'!A:C, 3, 0))</f>
        <v/>
      </c>
      <c r="E49" s="60"/>
      <c r="F49" s="61"/>
      <c r="G49" s="62"/>
      <c r="H49" s="63"/>
      <c r="I49" s="64" t="str">
        <f>VLOOKUP($B49&amp;$E49,'FEB - VISIT DATA'!A:J, 9, FALSE)</f>
        <v>#N/A</v>
      </c>
      <c r="J49" s="65" t="str">
        <f>VLOOKUP(B49&amp;E49,'FEB - VISIT DATA'!A:O,10,FALSE)</f>
        <v>#N/A</v>
      </c>
      <c r="K49" s="66"/>
      <c r="L49" s="66"/>
      <c r="M49" s="66"/>
      <c r="N49" s="66"/>
      <c r="O49" s="75" t="str">
        <f t="shared" si="1"/>
        <v>X</v>
      </c>
      <c r="P49" s="59" t="str">
        <f t="shared" si="2"/>
        <v>#N/A</v>
      </c>
      <c r="Q49" s="67" t="str">
        <f t="shared" si="3"/>
        <v>#N/A</v>
      </c>
      <c r="R49" s="68" t="str">
        <f t="shared" si="4"/>
        <v>#N/A</v>
      </c>
      <c r="S49" s="62" t="str">
        <f t="shared" si="5"/>
        <v>#N/A</v>
      </c>
      <c r="T49" s="62" t="str">
        <f t="shared" si="6"/>
        <v>#N/A</v>
      </c>
      <c r="U49" s="63">
        <f t="shared" si="7"/>
        <v>0</v>
      </c>
      <c r="V49" s="69" t="str">
        <f>ifs($N49="",VLOOKUP($B49&amp;$E49,'FEB - VISIT DATA'!$A$2:$J100,7,FALSE), $N49="SWAB","OUTSA-RW",$N49="SWQU","OUTSA-SaQu", AND($L49="X",$M49="X",$N49="QUEST"),"OUT-UAQPre",$N49="QUEST","OUT-UAQ", $N49="Walk in","ColUATele")</f>
        <v>#N/A</v>
      </c>
      <c r="W49" s="70" t="str">
        <f t="shared" si="8"/>
        <v>#N/A</v>
      </c>
      <c r="X49" s="64" t="str">
        <f t="shared" si="9"/>
        <v/>
      </c>
      <c r="Y49" s="64" t="str">
        <f t="shared" si="10"/>
        <v/>
      </c>
      <c r="Z49" s="66" t="str">
        <f t="shared" si="11"/>
        <v> </v>
      </c>
      <c r="AA49" s="71"/>
    </row>
    <row r="50" ht="15.75" customHeight="1">
      <c r="A50" s="76" t="str">
        <f>IFS($B50=FALSE,"",$B50,VLOOKUP($B50,'PATIENT DATA (072721)'!A:C, 2, 0))</f>
        <v/>
      </c>
      <c r="B50" s="77"/>
      <c r="C50" s="78" t="str">
        <f>IF(COUNTIF('PATIENT DATA (072721)'!A:A, B50)=0, "X","✓")</f>
        <v>X</v>
      </c>
      <c r="D50" s="79" t="str">
        <f>IFS($B50=FALSE,"",$B50,VLOOKUP($B50,'PATIENT DATA (072721)'!A:C, 3, 0))</f>
        <v/>
      </c>
      <c r="E50" s="80"/>
      <c r="F50" s="81" t="str">
        <f>ifs($B50="","",$B50, VLOOKUP($B50&amp;$E50, 'FEB - VISIT DATA'!A:O,3,0))</f>
        <v/>
      </c>
      <c r="G50" s="82"/>
      <c r="H50" s="83" t="str">
        <f>ifs($B50="","",$B50, VLOOKUP($B50&amp;$E50, 'FEB - VISIT DATA'!$A:$O,13,0))</f>
        <v/>
      </c>
      <c r="I50" s="84" t="str">
        <f>VLOOKUP($B50&amp;$E50,'FEB - VISIT DATA'!A:J, 9, FALSE)</f>
        <v>#N/A</v>
      </c>
      <c r="J50" s="85" t="str">
        <f>VLOOKUP(B50&amp;E50,'FEB - VISIT DATA'!A:O,10,FALSE)</f>
        <v>#N/A</v>
      </c>
      <c r="K50" s="86"/>
      <c r="L50" s="86"/>
      <c r="M50" s="86"/>
      <c r="N50" s="86"/>
      <c r="O50" s="87" t="str">
        <f t="shared" si="1"/>
        <v>X</v>
      </c>
      <c r="P50" s="59" t="str">
        <f t="shared" si="2"/>
        <v>#N/A</v>
      </c>
      <c r="Q50" s="67" t="str">
        <f t="shared" si="3"/>
        <v>#N/A</v>
      </c>
      <c r="R50" s="68" t="str">
        <f t="shared" si="4"/>
        <v>#N/A</v>
      </c>
      <c r="S50" s="62" t="str">
        <f t="shared" si="5"/>
        <v>#N/A</v>
      </c>
      <c r="T50" s="62" t="str">
        <f t="shared" si="6"/>
        <v>#N/A</v>
      </c>
      <c r="U50" s="63">
        <f t="shared" si="7"/>
        <v>0</v>
      </c>
      <c r="V50" s="88" t="str">
        <f>ifs($N50="",VLOOKUP($B50&amp;$E50,'FEB - VISIT DATA'!$A$2:$J100,7,FALSE), $N50="SWAB","OUTSA-RW",$N50="SWQU","OUTSA-SaQu", AND($L50="X",$M50="X",$N50="QUEST"),"OUT-UAQPre",$N50="QUEST","OUT-UAQ", $N50="Walk in","ColUATele")</f>
        <v>#N/A</v>
      </c>
      <c r="W50" s="70" t="str">
        <f t="shared" si="8"/>
        <v>#N/A</v>
      </c>
      <c r="X50" s="64" t="str">
        <f t="shared" si="9"/>
        <v/>
      </c>
      <c r="Y50" s="64" t="str">
        <f t="shared" si="10"/>
        <v/>
      </c>
      <c r="Z50" s="66" t="str">
        <f t="shared" si="11"/>
        <v> </v>
      </c>
      <c r="AA50" s="71"/>
    </row>
    <row r="51" ht="15.75" customHeight="1">
      <c r="A51" s="56" t="str">
        <f>IFS($B51=FALSE,"",$B51,VLOOKUP($B51,'PATIENT DATA (072721)'!A:C, 2, 0))</f>
        <v/>
      </c>
      <c r="B51" s="57"/>
      <c r="C51" s="73" t="str">
        <f>IF(COUNTIF('PATIENT DATA (072721)'!A:A, B51)=0, "X","✓")</f>
        <v>X</v>
      </c>
      <c r="D51" s="59" t="str">
        <f>IFS($B51=FALSE,"",$B51,VLOOKUP($B51,'PATIENT DATA (072721)'!A:C, 3, 0))</f>
        <v/>
      </c>
      <c r="E51" s="60"/>
      <c r="F51" s="61" t="str">
        <f>ifs($B51="","",$B51, VLOOKUP($B51&amp;$E51, 'FEB - VISIT DATA'!A:O,3,0))</f>
        <v/>
      </c>
      <c r="G51" s="74"/>
      <c r="H51" s="63" t="str">
        <f>ifs($B51="","",$B51, VLOOKUP($B51&amp;$E51, 'FEB - VISIT DATA'!$A:$O,13,0))</f>
        <v/>
      </c>
      <c r="I51" s="89" t="str">
        <f>VLOOKUP($B51&amp;$E51,'FEB - VISIT DATA'!A:J, 9, FALSE)</f>
        <v>#N/A</v>
      </c>
      <c r="J51" s="65" t="str">
        <f>VLOOKUP(B51&amp;E51,'FEB - VISIT DATA'!A:O,10,FALSE)</f>
        <v>#N/A</v>
      </c>
      <c r="K51" s="66"/>
      <c r="L51" s="66"/>
      <c r="M51" s="66"/>
      <c r="N51" s="66"/>
      <c r="O51" s="58" t="str">
        <f t="shared" si="1"/>
        <v>X</v>
      </c>
      <c r="P51" s="59" t="str">
        <f t="shared" si="2"/>
        <v>#N/A</v>
      </c>
      <c r="Q51" s="67" t="str">
        <f t="shared" si="3"/>
        <v>#N/A</v>
      </c>
      <c r="R51" s="68" t="str">
        <f t="shared" si="4"/>
        <v>#N/A</v>
      </c>
      <c r="S51" s="62" t="str">
        <f t="shared" si="5"/>
        <v>#N/A</v>
      </c>
      <c r="T51" s="62" t="str">
        <f t="shared" si="6"/>
        <v>#N/A</v>
      </c>
      <c r="U51" s="63">
        <f t="shared" si="7"/>
        <v>0</v>
      </c>
      <c r="V51" s="69" t="str">
        <f>ifs($N51="",VLOOKUP($B51&amp;$E51,'FEB - VISIT DATA'!$A$2:$J100,7,FALSE), $N51="SWAB","OUTSA-RW",$N51="SWQU","OUTSA-SaQu", AND($L51="X",$M51="X",$N51="QUEST"),"OUT-UAQPre",$N51="QUEST","OUT-UAQ", $N51="Walk in","ColUATele")</f>
        <v>#N/A</v>
      </c>
      <c r="W51" s="70" t="str">
        <f t="shared" si="8"/>
        <v>#N/A</v>
      </c>
      <c r="X51" s="64" t="str">
        <f t="shared" si="9"/>
        <v/>
      </c>
      <c r="Y51" s="64" t="str">
        <f t="shared" si="10"/>
        <v/>
      </c>
      <c r="Z51" s="66" t="str">
        <f t="shared" si="11"/>
        <v> </v>
      </c>
      <c r="AA51" s="71"/>
    </row>
    <row r="52" ht="15.75" customHeight="1">
      <c r="A52" s="56" t="str">
        <f>IFS($B52=FALSE,"",$B52,VLOOKUP($B52,'PATIENT DATA (072721)'!A:C, 2, 0))</f>
        <v/>
      </c>
      <c r="B52" s="57"/>
      <c r="C52" s="73" t="str">
        <f>IF(COUNTIF('PATIENT DATA (072721)'!A:A, B52)=0, "X","✓")</f>
        <v>X</v>
      </c>
      <c r="D52" s="59" t="str">
        <f>IFS($B52=FALSE,"",$B52,VLOOKUP($B52,'PATIENT DATA (072721)'!A:C, 3, 0))</f>
        <v/>
      </c>
      <c r="E52" s="60"/>
      <c r="F52" s="61" t="str">
        <f>ifs($B52="","",$B52, VLOOKUP($B52&amp;$E52, 'FEB - VISIT DATA'!A:O,3,0))</f>
        <v/>
      </c>
      <c r="G52" s="74"/>
      <c r="H52" s="63" t="str">
        <f>ifs($B52="","",$B52, VLOOKUP($B52&amp;$E52, 'FEB - VISIT DATA'!$A:$O,13,0))</f>
        <v/>
      </c>
      <c r="I52" s="89" t="str">
        <f>VLOOKUP($B52&amp;$E52,'FEB - VISIT DATA'!A:J, 9, FALSE)</f>
        <v>#N/A</v>
      </c>
      <c r="J52" s="65" t="str">
        <f>VLOOKUP(B52&amp;E52,'FEB - VISIT DATA'!A:O,10,FALSE)</f>
        <v>#N/A</v>
      </c>
      <c r="K52" s="66"/>
      <c r="L52" s="66"/>
      <c r="M52" s="66"/>
      <c r="N52" s="66"/>
      <c r="O52" s="58" t="str">
        <f t="shared" si="1"/>
        <v>X</v>
      </c>
      <c r="P52" s="59" t="str">
        <f t="shared" si="2"/>
        <v>#N/A</v>
      </c>
      <c r="Q52" s="67" t="str">
        <f t="shared" si="3"/>
        <v>#N/A</v>
      </c>
      <c r="R52" s="68" t="str">
        <f t="shared" si="4"/>
        <v>#N/A</v>
      </c>
      <c r="S52" s="62" t="str">
        <f t="shared" si="5"/>
        <v>#N/A</v>
      </c>
      <c r="T52" s="62" t="str">
        <f t="shared" si="6"/>
        <v>#N/A</v>
      </c>
      <c r="U52" s="63">
        <f t="shared" si="7"/>
        <v>0</v>
      </c>
      <c r="V52" s="69" t="str">
        <f>ifs($N52="",VLOOKUP($B52&amp;$E52,'FEB - VISIT DATA'!$A$2:$J100,7,FALSE), $N52="SWAB","OUTSA-RW",$N52="SWQU","OUTSA-SaQu", AND($L52="X",$M52="X",$N52="QUEST"),"OUT-UAQPre",$N52="QUEST","OUT-UAQ", $N52="Walk in","ColUATele")</f>
        <v>#N/A</v>
      </c>
      <c r="W52" s="70" t="str">
        <f t="shared" si="8"/>
        <v>#N/A</v>
      </c>
      <c r="X52" s="64" t="str">
        <f t="shared" si="9"/>
        <v/>
      </c>
      <c r="Y52" s="64" t="str">
        <f t="shared" si="10"/>
        <v/>
      </c>
      <c r="Z52" s="66" t="str">
        <f t="shared" si="11"/>
        <v> </v>
      </c>
      <c r="AA52" s="71"/>
    </row>
    <row r="53" ht="15.75" customHeight="1">
      <c r="A53" s="56" t="str">
        <f>IFS($B53=FALSE,"",$B53,VLOOKUP($B53,'PATIENT DATA (072721)'!A:C, 2, 0))</f>
        <v/>
      </c>
      <c r="B53" s="57"/>
      <c r="C53" s="73" t="str">
        <f>IF(COUNTIF('PATIENT DATA (072721)'!A:A, B53)=0, "X","✓")</f>
        <v>X</v>
      </c>
      <c r="D53" s="59" t="str">
        <f>IFS($B53=FALSE,"",$B53,VLOOKUP($B53,'PATIENT DATA (072721)'!A:C, 3, 0))</f>
        <v/>
      </c>
      <c r="E53" s="60"/>
      <c r="F53" s="61" t="str">
        <f>ifs($B53="","",$B53, VLOOKUP($B53&amp;$E53, 'FEB - VISIT DATA'!A:O,3,0))</f>
        <v/>
      </c>
      <c r="G53" s="74"/>
      <c r="H53" s="63" t="str">
        <f>ifs($B53="","",$B53, VLOOKUP($B53&amp;$E53, 'FEB - VISIT DATA'!$A:$O,13,0))</f>
        <v/>
      </c>
      <c r="I53" s="89" t="str">
        <f>VLOOKUP($B53&amp;$E53,'FEB - VISIT DATA'!A:J, 9, FALSE)</f>
        <v>#N/A</v>
      </c>
      <c r="J53" s="65" t="str">
        <f>VLOOKUP(B53&amp;E53,'FEB - VISIT DATA'!A:O,10,FALSE)</f>
        <v>#N/A</v>
      </c>
      <c r="K53" s="66"/>
      <c r="L53" s="66"/>
      <c r="M53" s="66"/>
      <c r="N53" s="66"/>
      <c r="O53" s="58" t="str">
        <f t="shared" si="1"/>
        <v>X</v>
      </c>
      <c r="P53" s="59" t="str">
        <f t="shared" si="2"/>
        <v>#N/A</v>
      </c>
      <c r="Q53" s="67" t="str">
        <f t="shared" si="3"/>
        <v>#N/A</v>
      </c>
      <c r="R53" s="68" t="str">
        <f t="shared" si="4"/>
        <v>#N/A</v>
      </c>
      <c r="S53" s="62" t="str">
        <f t="shared" si="5"/>
        <v>#N/A</v>
      </c>
      <c r="T53" s="62" t="str">
        <f t="shared" si="6"/>
        <v>#N/A</v>
      </c>
      <c r="U53" s="63">
        <f t="shared" si="7"/>
        <v>0</v>
      </c>
      <c r="V53" s="69" t="str">
        <f>ifs($N53="",VLOOKUP($B53&amp;$E53,'FEB - VISIT DATA'!$A$2:$J100,7,FALSE), $N53="SWAB","OUTSA-RW",$N53="SWQU","OUTSA-SaQu", AND($L53="X",$M53="X",$N53="QUEST"),"OUT-UAQPre",$N53="QUEST","OUT-UAQ", $N53="Walk in","ColUATele")</f>
        <v>#N/A</v>
      </c>
      <c r="W53" s="70" t="str">
        <f t="shared" si="8"/>
        <v>#N/A</v>
      </c>
      <c r="X53" s="64" t="str">
        <f t="shared" si="9"/>
        <v/>
      </c>
      <c r="Y53" s="64" t="str">
        <f t="shared" si="10"/>
        <v/>
      </c>
      <c r="Z53" s="66" t="str">
        <f t="shared" si="11"/>
        <v> </v>
      </c>
      <c r="AA53" s="71"/>
    </row>
    <row r="54" ht="15.75" customHeight="1">
      <c r="A54" s="56" t="str">
        <f>IFS($B54=FALSE,"",$B54,VLOOKUP($B54,'PATIENT DATA (072721)'!A:C, 2, 0))</f>
        <v/>
      </c>
      <c r="B54" s="57"/>
      <c r="C54" s="73" t="str">
        <f>IF(COUNTIF('PATIENT DATA (072721)'!A:A, B54)=0, "X","✓")</f>
        <v>X</v>
      </c>
      <c r="D54" s="59" t="str">
        <f>IFS($B54=FALSE,"",$B54,VLOOKUP($B54,'PATIENT DATA (072721)'!A:C, 3, 0))</f>
        <v/>
      </c>
      <c r="E54" s="60"/>
      <c r="F54" s="61" t="str">
        <f>ifs($B54="","",$B54, VLOOKUP($B54&amp;$E54, 'FEB - VISIT DATA'!A:O,3,0))</f>
        <v/>
      </c>
      <c r="G54" s="74"/>
      <c r="H54" s="63" t="str">
        <f>ifs($B54="","",$B54, VLOOKUP($B54&amp;$E54, 'FEB - VISIT DATA'!$A:$O,13,0))</f>
        <v/>
      </c>
      <c r="I54" s="89" t="str">
        <f>VLOOKUP($B54&amp;$E54,'FEB - VISIT DATA'!A:J, 9, FALSE)</f>
        <v>#N/A</v>
      </c>
      <c r="J54" s="65" t="str">
        <f>VLOOKUP(B54&amp;E54,'FEB - VISIT DATA'!A:O,10,FALSE)</f>
        <v>#N/A</v>
      </c>
      <c r="K54" s="66"/>
      <c r="L54" s="66"/>
      <c r="M54" s="66"/>
      <c r="N54" s="66"/>
      <c r="O54" s="58" t="str">
        <f t="shared" si="1"/>
        <v>X</v>
      </c>
      <c r="P54" s="59" t="str">
        <f t="shared" si="2"/>
        <v>#N/A</v>
      </c>
      <c r="Q54" s="67" t="str">
        <f t="shared" si="3"/>
        <v>#N/A</v>
      </c>
      <c r="R54" s="68" t="str">
        <f t="shared" si="4"/>
        <v>#N/A</v>
      </c>
      <c r="S54" s="62" t="str">
        <f t="shared" si="5"/>
        <v>#N/A</v>
      </c>
      <c r="T54" s="62" t="str">
        <f t="shared" si="6"/>
        <v>#N/A</v>
      </c>
      <c r="U54" s="63">
        <f t="shared" si="7"/>
        <v>0</v>
      </c>
      <c r="V54" s="69" t="str">
        <f>ifs($N54="",VLOOKUP($B54&amp;$E54,'FEB - VISIT DATA'!$A$2:$J100,7,FALSE), $N54="SWAB","OUTSA-RW",$N54="SWQU","OUTSA-SaQu", AND($L54="X",$M54="X",$N54="QUEST"),"OUT-UAQPre",$N54="QUEST","OUT-UAQ", $N54="Walk in","ColUATele")</f>
        <v>#N/A</v>
      </c>
      <c r="W54" s="70" t="str">
        <f t="shared" si="8"/>
        <v>#N/A</v>
      </c>
      <c r="X54" s="64" t="str">
        <f t="shared" si="9"/>
        <v/>
      </c>
      <c r="Y54" s="64" t="str">
        <f t="shared" si="10"/>
        <v/>
      </c>
      <c r="Z54" s="66" t="str">
        <f t="shared" si="11"/>
        <v> </v>
      </c>
      <c r="AA54" s="71"/>
    </row>
    <row r="55" ht="15.75" customHeight="1">
      <c r="A55" s="56" t="str">
        <f>IFS($B55=FALSE,"",$B55,VLOOKUP($B55,'PATIENT DATA (072721)'!A:C, 2, 0))</f>
        <v/>
      </c>
      <c r="B55" s="57"/>
      <c r="C55" s="73" t="str">
        <f>IF(COUNTIF('PATIENT DATA (072721)'!A:A, B55)=0, "X","✓")</f>
        <v>X</v>
      </c>
      <c r="D55" s="59" t="str">
        <f>IFS($B55=FALSE,"",$B55,VLOOKUP($B55,'PATIENT DATA (072721)'!A:C, 3, 0))</f>
        <v/>
      </c>
      <c r="E55" s="60"/>
      <c r="F55" s="61" t="str">
        <f>ifs($B55="","",$B55, VLOOKUP($B55&amp;$E55, 'FEB - VISIT DATA'!A:O,3,0))</f>
        <v/>
      </c>
      <c r="G55" s="74"/>
      <c r="H55" s="63" t="str">
        <f>ifs($B55="","",$B55, VLOOKUP($B55&amp;$E55, 'FEB - VISIT DATA'!$A:$O,13,0))</f>
        <v/>
      </c>
      <c r="I55" s="89" t="str">
        <f>VLOOKUP($B55&amp;$E55,'FEB - VISIT DATA'!A:J, 9, FALSE)</f>
        <v>#N/A</v>
      </c>
      <c r="J55" s="65" t="str">
        <f>VLOOKUP(B55&amp;E55,'FEB - VISIT DATA'!A:O,10,FALSE)</f>
        <v>#N/A</v>
      </c>
      <c r="K55" s="66"/>
      <c r="L55" s="66"/>
      <c r="M55" s="66"/>
      <c r="N55" s="66"/>
      <c r="O55" s="58" t="str">
        <f t="shared" si="1"/>
        <v>X</v>
      </c>
      <c r="P55" s="59" t="str">
        <f t="shared" si="2"/>
        <v>#N/A</v>
      </c>
      <c r="Q55" s="67" t="str">
        <f t="shared" si="3"/>
        <v>#N/A</v>
      </c>
      <c r="R55" s="68" t="str">
        <f t="shared" si="4"/>
        <v>#N/A</v>
      </c>
      <c r="S55" s="62" t="str">
        <f t="shared" si="5"/>
        <v>#N/A</v>
      </c>
      <c r="T55" s="62" t="str">
        <f t="shared" si="6"/>
        <v>#N/A</v>
      </c>
      <c r="U55" s="63">
        <f t="shared" si="7"/>
        <v>0</v>
      </c>
      <c r="V55" s="69" t="str">
        <f>ifs($N55="",VLOOKUP($B55&amp;$E55,'FEB - VISIT DATA'!$A$2:$J100,7,FALSE), $N55="SWAB","OUTSA-RW",$N55="SWQU","OUTSA-SaQu", AND($L55="X",$M55="X",$N55="QUEST"),"OUT-UAQPre",$N55="QUEST","OUT-UAQ", $N55="Walk in","ColUATele")</f>
        <v>#N/A</v>
      </c>
      <c r="W55" s="70" t="str">
        <f t="shared" si="8"/>
        <v>#N/A</v>
      </c>
      <c r="X55" s="64" t="str">
        <f t="shared" si="9"/>
        <v/>
      </c>
      <c r="Y55" s="64" t="str">
        <f t="shared" si="10"/>
        <v/>
      </c>
      <c r="Z55" s="66" t="str">
        <f t="shared" si="11"/>
        <v> </v>
      </c>
      <c r="AA55" s="71"/>
    </row>
    <row r="56" ht="15.75" customHeight="1">
      <c r="A56" s="56" t="str">
        <f>IFS($B56=FALSE,"",$B56,VLOOKUP($B56,'PATIENT DATA (072721)'!A:C, 2, 0))</f>
        <v/>
      </c>
      <c r="B56" s="57"/>
      <c r="C56" s="73" t="str">
        <f>IF(COUNTIF('PATIENT DATA (072721)'!A:A, B56)=0, "X","✓")</f>
        <v>X</v>
      </c>
      <c r="D56" s="59" t="str">
        <f>IFS($B56=FALSE,"",$B56,VLOOKUP($B56,'PATIENT DATA (072721)'!A:C, 3, 0))</f>
        <v/>
      </c>
      <c r="E56" s="60"/>
      <c r="F56" s="61" t="str">
        <f>ifs($B56="","",$B56, VLOOKUP($B56&amp;$E56, 'FEB - VISIT DATA'!A:O,3,0))</f>
        <v/>
      </c>
      <c r="G56" s="74"/>
      <c r="H56" s="63" t="str">
        <f>ifs($B56="","",$B56, VLOOKUP($B56&amp;$E56, 'FEB - VISIT DATA'!$A:$O,13,0))</f>
        <v/>
      </c>
      <c r="I56" s="89" t="str">
        <f>VLOOKUP($B56&amp;$E56,'FEB - VISIT DATA'!A:J, 9, FALSE)</f>
        <v>#N/A</v>
      </c>
      <c r="J56" s="65" t="str">
        <f>VLOOKUP(B56&amp;E56,'FEB - VISIT DATA'!A:O,10,FALSE)</f>
        <v>#N/A</v>
      </c>
      <c r="K56" s="66"/>
      <c r="L56" s="66"/>
      <c r="M56" s="66"/>
      <c r="N56" s="66"/>
      <c r="O56" s="58" t="str">
        <f t="shared" si="1"/>
        <v>X</v>
      </c>
      <c r="P56" s="59" t="str">
        <f t="shared" si="2"/>
        <v>#N/A</v>
      </c>
      <c r="Q56" s="67" t="str">
        <f t="shared" si="3"/>
        <v>#N/A</v>
      </c>
      <c r="R56" s="68" t="str">
        <f t="shared" si="4"/>
        <v>#N/A</v>
      </c>
      <c r="S56" s="62" t="str">
        <f t="shared" si="5"/>
        <v>#N/A</v>
      </c>
      <c r="T56" s="62" t="str">
        <f t="shared" si="6"/>
        <v>#N/A</v>
      </c>
      <c r="U56" s="63">
        <f t="shared" si="7"/>
        <v>0</v>
      </c>
      <c r="V56" s="69" t="str">
        <f>ifs($N56="",VLOOKUP($B56&amp;$E56,'FEB - VISIT DATA'!$A$2:$J100,7,FALSE), $N56="SWAB","OUTSA-RW",$N56="SWQU","OUTSA-SaQu", AND($L56="X",$M56="X",$N56="QUEST"),"OUT-UAQPre",$N56="QUEST","OUT-UAQ", $N56="Walk in","ColUATele")</f>
        <v>#N/A</v>
      </c>
      <c r="W56" s="70" t="str">
        <f t="shared" si="8"/>
        <v>#N/A</v>
      </c>
      <c r="X56" s="64" t="str">
        <f t="shared" si="9"/>
        <v/>
      </c>
      <c r="Y56" s="64" t="str">
        <f t="shared" si="10"/>
        <v/>
      </c>
      <c r="Z56" s="66" t="str">
        <f t="shared" si="11"/>
        <v> </v>
      </c>
      <c r="AA56" s="71"/>
    </row>
    <row r="57" ht="15.75" customHeight="1">
      <c r="A57" s="56" t="str">
        <f>IFS($B57=FALSE,"",$B57,VLOOKUP($B57,'PATIENT DATA (072721)'!A:C, 2, 0))</f>
        <v/>
      </c>
      <c r="B57" s="57"/>
      <c r="C57" s="73" t="str">
        <f>IF(COUNTIF('PATIENT DATA (072721)'!A:A, B57)=0, "X","✓")</f>
        <v>X</v>
      </c>
      <c r="D57" s="59" t="str">
        <f>IFS($B57=FALSE,"",$B57,VLOOKUP($B57,'PATIENT DATA (072721)'!A:C, 3, 0))</f>
        <v/>
      </c>
      <c r="E57" s="60"/>
      <c r="F57" s="61" t="str">
        <f>ifs($B57="","",$B57, VLOOKUP($B57&amp;$E57, 'FEB - VISIT DATA'!A:O,3,0))</f>
        <v/>
      </c>
      <c r="G57" s="74"/>
      <c r="H57" s="63" t="str">
        <f>ifs($B57="","",$B57, VLOOKUP($B57&amp;$E57, 'FEB - VISIT DATA'!$A:$O,13,0))</f>
        <v/>
      </c>
      <c r="I57" s="89" t="str">
        <f>VLOOKUP($B57&amp;$E57,'FEB - VISIT DATA'!A:J, 9, FALSE)</f>
        <v>#N/A</v>
      </c>
      <c r="J57" s="65" t="str">
        <f>VLOOKUP(B57&amp;E57,'FEB - VISIT DATA'!A:O,10,FALSE)</f>
        <v>#N/A</v>
      </c>
      <c r="K57" s="66"/>
      <c r="L57" s="66"/>
      <c r="M57" s="66"/>
      <c r="N57" s="66"/>
      <c r="O57" s="58" t="str">
        <f t="shared" si="1"/>
        <v>X</v>
      </c>
      <c r="P57" s="59" t="str">
        <f t="shared" si="2"/>
        <v>#N/A</v>
      </c>
      <c r="Q57" s="67" t="str">
        <f t="shared" si="3"/>
        <v>#N/A</v>
      </c>
      <c r="R57" s="68" t="str">
        <f t="shared" si="4"/>
        <v>#N/A</v>
      </c>
      <c r="S57" s="62" t="str">
        <f t="shared" si="5"/>
        <v>#N/A</v>
      </c>
      <c r="T57" s="62" t="str">
        <f t="shared" si="6"/>
        <v>#N/A</v>
      </c>
      <c r="U57" s="63">
        <f t="shared" si="7"/>
        <v>0</v>
      </c>
      <c r="V57" s="69" t="str">
        <f>ifs($N57="",VLOOKUP($B57&amp;$E57,'FEB - VISIT DATA'!$A$2:$J100,7,FALSE), $N57="SWAB","OUTSA-RW",$N57="SWQU","OUTSA-SaQu", AND($L57="X",$M57="X",$N57="QUEST"),"OUT-UAQPre",$N57="QUEST","OUT-UAQ", $N57="Walk in","ColUATele")</f>
        <v>#N/A</v>
      </c>
      <c r="W57" s="70" t="str">
        <f t="shared" si="8"/>
        <v>#N/A</v>
      </c>
      <c r="X57" s="64" t="str">
        <f t="shared" si="9"/>
        <v/>
      </c>
      <c r="Y57" s="64" t="str">
        <f t="shared" si="10"/>
        <v/>
      </c>
      <c r="Z57" s="66" t="str">
        <f t="shared" si="11"/>
        <v> </v>
      </c>
      <c r="AA57" s="71"/>
    </row>
    <row r="58" ht="15.75" customHeight="1">
      <c r="A58" s="56" t="str">
        <f>IFS($B58=FALSE,"",$B58,VLOOKUP($B58,'PATIENT DATA (072721)'!A:C, 2, 0))</f>
        <v/>
      </c>
      <c r="B58" s="57"/>
      <c r="C58" s="73" t="str">
        <f>IF(COUNTIF('PATIENT DATA (072721)'!A:A, B58)=0, "X","✓")</f>
        <v>X</v>
      </c>
      <c r="D58" s="59" t="str">
        <f>IFS($B58=FALSE,"",$B58,VLOOKUP($B58,'PATIENT DATA (072721)'!A:C, 3, 0))</f>
        <v/>
      </c>
      <c r="E58" s="60"/>
      <c r="F58" s="61" t="str">
        <f>ifs($B58="","",$B58, VLOOKUP($B58&amp;$E58, 'FEB - VISIT DATA'!A:O,3,0))</f>
        <v/>
      </c>
      <c r="G58" s="74"/>
      <c r="H58" s="63" t="str">
        <f>ifs($B58="","",$B58, VLOOKUP($B58&amp;$E58, 'FEB - VISIT DATA'!$A:$O,13,0))</f>
        <v/>
      </c>
      <c r="I58" s="89" t="str">
        <f>VLOOKUP($B58&amp;$E58,'FEB - VISIT DATA'!A:J, 9, FALSE)</f>
        <v>#N/A</v>
      </c>
      <c r="J58" s="65" t="str">
        <f>VLOOKUP(B58&amp;E58,'FEB - VISIT DATA'!A:O,10,FALSE)</f>
        <v>#N/A</v>
      </c>
      <c r="K58" s="66"/>
      <c r="L58" s="66"/>
      <c r="M58" s="66"/>
      <c r="N58" s="66"/>
      <c r="O58" s="58" t="str">
        <f t="shared" si="1"/>
        <v>X</v>
      </c>
      <c r="P58" s="59" t="str">
        <f t="shared" si="2"/>
        <v>#N/A</v>
      </c>
      <c r="Q58" s="67" t="str">
        <f t="shared" si="3"/>
        <v>#N/A</v>
      </c>
      <c r="R58" s="68" t="str">
        <f t="shared" si="4"/>
        <v>#N/A</v>
      </c>
      <c r="S58" s="62" t="str">
        <f t="shared" si="5"/>
        <v>#N/A</v>
      </c>
      <c r="T58" s="62" t="str">
        <f t="shared" si="6"/>
        <v>#N/A</v>
      </c>
      <c r="U58" s="63">
        <f t="shared" si="7"/>
        <v>0</v>
      </c>
      <c r="V58" s="69" t="str">
        <f>ifs($N58="",VLOOKUP($B58&amp;$E58,'FEB - VISIT DATA'!$A$2:$J100,7,FALSE), $N58="SWAB","OUTSA-RW",$N58="SWQU","OUTSA-SaQu", AND($L58="X",$M58="X",$N58="QUEST"),"OUT-UAQPre",$N58="QUEST","OUT-UAQ", $N58="Walk in","ColUATele")</f>
        <v>#N/A</v>
      </c>
      <c r="W58" s="70" t="str">
        <f t="shared" si="8"/>
        <v>#N/A</v>
      </c>
      <c r="X58" s="64" t="str">
        <f t="shared" si="9"/>
        <v/>
      </c>
      <c r="Y58" s="64" t="str">
        <f t="shared" si="10"/>
        <v/>
      </c>
      <c r="Z58" s="66" t="str">
        <f t="shared" si="11"/>
        <v> </v>
      </c>
      <c r="AA58" s="71"/>
    </row>
    <row r="59" ht="15.75" customHeight="1">
      <c r="A59" s="56" t="str">
        <f>IFS($B59=FALSE,"",$B59,VLOOKUP($B59,'PATIENT DATA (072721)'!A:C, 2, 0))</f>
        <v/>
      </c>
      <c r="B59" s="57"/>
      <c r="C59" s="73" t="str">
        <f>IF(COUNTIF('PATIENT DATA (072721)'!A:A, B59)=0, "X","✓")</f>
        <v>X</v>
      </c>
      <c r="D59" s="59" t="str">
        <f>IFS($B59=FALSE,"",$B59,VLOOKUP($B59,'PATIENT DATA (072721)'!A:C, 3, 0))</f>
        <v/>
      </c>
      <c r="E59" s="60"/>
      <c r="F59" s="61" t="str">
        <f>ifs($B59="","",$B59, VLOOKUP($B59&amp;$E59, 'FEB - VISIT DATA'!A:O,3,0))</f>
        <v/>
      </c>
      <c r="G59" s="74"/>
      <c r="H59" s="63" t="str">
        <f>ifs($B59="","",$B59, VLOOKUP($B59&amp;$E59, 'FEB - VISIT DATA'!$A:$O,13,0))</f>
        <v/>
      </c>
      <c r="I59" s="89" t="str">
        <f>VLOOKUP($B59&amp;$E59,'FEB - VISIT DATA'!A:J, 9, FALSE)</f>
        <v>#N/A</v>
      </c>
      <c r="J59" s="65" t="str">
        <f>VLOOKUP(B59&amp;E59,'FEB - VISIT DATA'!A:O,10,FALSE)</f>
        <v>#N/A</v>
      </c>
      <c r="K59" s="66"/>
      <c r="L59" s="66"/>
      <c r="M59" s="66"/>
      <c r="N59" s="66"/>
      <c r="O59" s="58" t="str">
        <f t="shared" si="1"/>
        <v>X</v>
      </c>
      <c r="P59" s="59" t="str">
        <f t="shared" si="2"/>
        <v>#N/A</v>
      </c>
      <c r="Q59" s="67" t="str">
        <f t="shared" si="3"/>
        <v>#N/A</v>
      </c>
      <c r="R59" s="68" t="str">
        <f t="shared" si="4"/>
        <v>#N/A</v>
      </c>
      <c r="S59" s="62" t="str">
        <f t="shared" si="5"/>
        <v>#N/A</v>
      </c>
      <c r="T59" s="62" t="str">
        <f t="shared" si="6"/>
        <v>#N/A</v>
      </c>
      <c r="U59" s="63">
        <f t="shared" si="7"/>
        <v>0</v>
      </c>
      <c r="V59" s="69" t="str">
        <f>ifs($N59="",VLOOKUP($B59&amp;$E59,'FEB - VISIT DATA'!$A$2:$J100,7,FALSE), $N59="SWAB","OUTSA-RW",$N59="SWQU","OUTSA-SaQu", AND($L59="X",$M59="X",$N59="QUEST"),"OUT-UAQPre",$N59="QUEST","OUT-UAQ", $N59="Walk in","ColUATele")</f>
        <v>#N/A</v>
      </c>
      <c r="W59" s="70" t="str">
        <f t="shared" si="8"/>
        <v>#N/A</v>
      </c>
      <c r="X59" s="64" t="str">
        <f t="shared" si="9"/>
        <v/>
      </c>
      <c r="Y59" s="64" t="str">
        <f t="shared" si="10"/>
        <v/>
      </c>
      <c r="Z59" s="66" t="str">
        <f t="shared" si="11"/>
        <v> </v>
      </c>
      <c r="AA59" s="71"/>
    </row>
    <row r="60" ht="15.75" customHeight="1">
      <c r="A60" s="56" t="str">
        <f>IFS($B60=FALSE,"",$B60,VLOOKUP($B60,'PATIENT DATA (072721)'!A:C, 2, 0))</f>
        <v/>
      </c>
      <c r="B60" s="57"/>
      <c r="C60" s="73" t="str">
        <f>IF(COUNTIF('PATIENT DATA (072721)'!A:A, B60)=0, "X","✓")</f>
        <v>X</v>
      </c>
      <c r="D60" s="59" t="str">
        <f>IFS($B60=FALSE,"",$B60,VLOOKUP($B60,'PATIENT DATA (072721)'!A:C, 3, 0))</f>
        <v/>
      </c>
      <c r="E60" s="60"/>
      <c r="F60" s="61" t="str">
        <f>ifs($B60="","",$B60, VLOOKUP($B60&amp;$E60, 'FEB - VISIT DATA'!A:O,3,0))</f>
        <v/>
      </c>
      <c r="G60" s="74"/>
      <c r="H60" s="63" t="str">
        <f>ifs($B60="","",$B60, VLOOKUP($B60&amp;$E60, 'FEB - VISIT DATA'!$A:$O,13,0))</f>
        <v/>
      </c>
      <c r="I60" s="89" t="str">
        <f>VLOOKUP($B60&amp;$E60,'FEB - VISIT DATA'!A:J, 9, FALSE)</f>
        <v>#N/A</v>
      </c>
      <c r="J60" s="65" t="str">
        <f>VLOOKUP(B60&amp;E60,'FEB - VISIT DATA'!A:O,10,FALSE)</f>
        <v>#N/A</v>
      </c>
      <c r="K60" s="66"/>
      <c r="L60" s="66"/>
      <c r="M60" s="66"/>
      <c r="N60" s="66"/>
      <c r="O60" s="58" t="str">
        <f t="shared" si="1"/>
        <v>X</v>
      </c>
      <c r="P60" s="59" t="str">
        <f t="shared" si="2"/>
        <v>#N/A</v>
      </c>
      <c r="Q60" s="67" t="str">
        <f t="shared" si="3"/>
        <v>#N/A</v>
      </c>
      <c r="R60" s="68" t="str">
        <f t="shared" si="4"/>
        <v>#N/A</v>
      </c>
      <c r="S60" s="62" t="str">
        <f t="shared" si="5"/>
        <v>#N/A</v>
      </c>
      <c r="T60" s="62" t="str">
        <f t="shared" si="6"/>
        <v>#N/A</v>
      </c>
      <c r="U60" s="63">
        <f t="shared" si="7"/>
        <v>0</v>
      </c>
      <c r="V60" s="69" t="str">
        <f>ifs($N60="",VLOOKUP($B60&amp;$E60,'FEB - VISIT DATA'!$A$2:$J100,7,FALSE), $N60="SWAB","OUTSA-RW",$N60="SWQU","OUTSA-SaQu", AND($L60="X",$M60="X",$N60="QUEST"),"OUT-UAQPre",$N60="QUEST","OUT-UAQ", $N60="Walk in","ColUATele")</f>
        <v>#N/A</v>
      </c>
      <c r="W60" s="70" t="str">
        <f t="shared" si="8"/>
        <v>#N/A</v>
      </c>
      <c r="X60" s="64" t="str">
        <f t="shared" si="9"/>
        <v/>
      </c>
      <c r="Y60" s="64" t="str">
        <f t="shared" si="10"/>
        <v/>
      </c>
      <c r="Z60" s="66" t="str">
        <f t="shared" si="11"/>
        <v> </v>
      </c>
      <c r="AA60" s="71"/>
    </row>
    <row r="61" ht="15.75" customHeight="1">
      <c r="A61" s="56" t="str">
        <f>IFS($B61=FALSE,"",$B61,VLOOKUP($B61,'PATIENT DATA (072721)'!A:C, 2, 0))</f>
        <v/>
      </c>
      <c r="B61" s="57"/>
      <c r="C61" s="73" t="str">
        <f>IF(COUNTIF('PATIENT DATA (072721)'!A:A, B61)=0, "X","✓")</f>
        <v>X</v>
      </c>
      <c r="D61" s="59" t="str">
        <f>IFS($B61=FALSE,"",$B61,VLOOKUP($B61,'PATIENT DATA (072721)'!A:C, 3, 0))</f>
        <v/>
      </c>
      <c r="E61" s="60"/>
      <c r="F61" s="61" t="str">
        <f>ifs($B61="","",$B61, VLOOKUP($B61&amp;$E61, 'FEB - VISIT DATA'!A:O,3,0))</f>
        <v/>
      </c>
      <c r="G61" s="74"/>
      <c r="H61" s="63" t="str">
        <f>ifs($B61="","",$B61, VLOOKUP($B61&amp;$E61, 'FEB - VISIT DATA'!$A:$O,13,0))</f>
        <v/>
      </c>
      <c r="I61" s="89" t="str">
        <f>VLOOKUP($B61&amp;$E61,'FEB - VISIT DATA'!A:J, 9, FALSE)</f>
        <v>#N/A</v>
      </c>
      <c r="J61" s="65" t="str">
        <f>VLOOKUP(B61&amp;E61,'FEB - VISIT DATA'!A:O,10,FALSE)</f>
        <v>#N/A</v>
      </c>
      <c r="K61" s="66"/>
      <c r="L61" s="66"/>
      <c r="M61" s="66"/>
      <c r="N61" s="66"/>
      <c r="O61" s="58" t="str">
        <f t="shared" si="1"/>
        <v>X</v>
      </c>
      <c r="P61" s="59" t="str">
        <f t="shared" si="2"/>
        <v>#N/A</v>
      </c>
      <c r="Q61" s="67" t="str">
        <f t="shared" si="3"/>
        <v>#N/A</v>
      </c>
      <c r="R61" s="68" t="str">
        <f t="shared" si="4"/>
        <v>#N/A</v>
      </c>
      <c r="S61" s="62" t="str">
        <f t="shared" si="5"/>
        <v>#N/A</v>
      </c>
      <c r="T61" s="62" t="str">
        <f t="shared" si="6"/>
        <v>#N/A</v>
      </c>
      <c r="U61" s="63">
        <f t="shared" si="7"/>
        <v>0</v>
      </c>
      <c r="V61" s="69" t="str">
        <f>ifs($N61="",VLOOKUP($B61&amp;$E61,'FEB - VISIT DATA'!$A$2:$J100,7,FALSE), $N61="SWAB","OUTSA-RW",$N61="SWQU","OUTSA-SaQu", AND($L61="X",$M61="X",$N61="QUEST"),"OUT-UAQPre",$N61="QUEST","OUT-UAQ", $N61="Walk in","ColUATele")</f>
        <v>#N/A</v>
      </c>
      <c r="W61" s="70" t="str">
        <f t="shared" si="8"/>
        <v>#N/A</v>
      </c>
      <c r="X61" s="64" t="str">
        <f t="shared" si="9"/>
        <v/>
      </c>
      <c r="Y61" s="64" t="str">
        <f t="shared" si="10"/>
        <v/>
      </c>
      <c r="Z61" s="66" t="str">
        <f t="shared" si="11"/>
        <v> </v>
      </c>
      <c r="AA61" s="71"/>
    </row>
    <row r="62" ht="15.75" customHeight="1">
      <c r="A62" s="56" t="str">
        <f>IFS($B62=FALSE,"",$B62,VLOOKUP($B62,'PATIENT DATA (072721)'!A:C, 2, 0))</f>
        <v/>
      </c>
      <c r="B62" s="57"/>
      <c r="C62" s="73" t="str">
        <f>IF(COUNTIF('PATIENT DATA (072721)'!A:A, B62)=0, "X","✓")</f>
        <v>X</v>
      </c>
      <c r="D62" s="59" t="str">
        <f>IFS($B62=FALSE,"",$B62,VLOOKUP($B62,'PATIENT DATA (072721)'!A:C, 3, 0))</f>
        <v/>
      </c>
      <c r="E62" s="60"/>
      <c r="F62" s="61" t="str">
        <f>ifs($B62="","",$B62, VLOOKUP($B62&amp;$E62, 'FEB - VISIT DATA'!A:O,3,0))</f>
        <v/>
      </c>
      <c r="G62" s="74"/>
      <c r="H62" s="63" t="str">
        <f>ifs($B62="","",$B62, VLOOKUP($B62&amp;$E62, 'FEB - VISIT DATA'!$A:$O,13,0))</f>
        <v/>
      </c>
      <c r="I62" s="89" t="str">
        <f>VLOOKUP($B62&amp;$E62,'FEB - VISIT DATA'!A:J, 9, FALSE)</f>
        <v>#N/A</v>
      </c>
      <c r="J62" s="65" t="str">
        <f>VLOOKUP(B62&amp;E62,'FEB - VISIT DATA'!A:O,10,FALSE)</f>
        <v>#N/A</v>
      </c>
      <c r="K62" s="66"/>
      <c r="L62" s="66"/>
      <c r="M62" s="66"/>
      <c r="N62" s="66"/>
      <c r="O62" s="58" t="str">
        <f t="shared" si="1"/>
        <v>X</v>
      </c>
      <c r="P62" s="59" t="str">
        <f t="shared" si="2"/>
        <v>#N/A</v>
      </c>
      <c r="Q62" s="67" t="str">
        <f t="shared" si="3"/>
        <v>#N/A</v>
      </c>
      <c r="R62" s="68" t="str">
        <f t="shared" si="4"/>
        <v>#N/A</v>
      </c>
      <c r="S62" s="62" t="str">
        <f t="shared" si="5"/>
        <v>#N/A</v>
      </c>
      <c r="T62" s="62" t="str">
        <f t="shared" si="6"/>
        <v>#N/A</v>
      </c>
      <c r="U62" s="63">
        <f t="shared" si="7"/>
        <v>0</v>
      </c>
      <c r="V62" s="69" t="str">
        <f>ifs($N62="",VLOOKUP($B62&amp;$E62,'FEB - VISIT DATA'!$A$2:$J100,7,FALSE), $N62="SWAB","OUTSA-RW",$N62="SWQU","OUTSA-SaQu", AND($L62="X",$M62="X",$N62="QUEST"),"OUT-UAQPre",$N62="QUEST","OUT-UAQ", $N62="Walk in","ColUATele")</f>
        <v>#N/A</v>
      </c>
      <c r="W62" s="70" t="str">
        <f t="shared" si="8"/>
        <v>#N/A</v>
      </c>
      <c r="X62" s="64" t="str">
        <f t="shared" si="9"/>
        <v/>
      </c>
      <c r="Y62" s="64" t="str">
        <f t="shared" si="10"/>
        <v/>
      </c>
      <c r="Z62" s="66" t="str">
        <f t="shared" si="11"/>
        <v> </v>
      </c>
      <c r="AA62" s="71"/>
    </row>
    <row r="63" ht="15.75" customHeight="1">
      <c r="A63" s="56" t="str">
        <f>IFS($B63=FALSE,"",$B63,VLOOKUP($B63,'PATIENT DATA (072721)'!A:C, 2, 0))</f>
        <v/>
      </c>
      <c r="B63" s="57"/>
      <c r="C63" s="73" t="str">
        <f>IF(COUNTIF('PATIENT DATA (072721)'!A:A, B63)=0, "X","✓")</f>
        <v>X</v>
      </c>
      <c r="D63" s="59" t="str">
        <f>IFS($B63=FALSE,"",$B63,VLOOKUP($B63,'PATIENT DATA (072721)'!A:C, 3, 0))</f>
        <v/>
      </c>
      <c r="E63" s="60"/>
      <c r="F63" s="61" t="str">
        <f>ifs($B63="","",$B63, VLOOKUP($B63&amp;$E63, 'FEB - VISIT DATA'!A:O,3,0))</f>
        <v/>
      </c>
      <c r="G63" s="74"/>
      <c r="H63" s="63" t="str">
        <f>ifs($B63="","",$B63, VLOOKUP($B63&amp;$E63, 'FEB - VISIT DATA'!$A:$O,13,0))</f>
        <v/>
      </c>
      <c r="I63" s="89" t="str">
        <f>VLOOKUP($B63&amp;$E63,'FEB - VISIT DATA'!A:J, 9, FALSE)</f>
        <v>#N/A</v>
      </c>
      <c r="J63" s="65" t="str">
        <f>VLOOKUP(B63&amp;E63,'FEB - VISIT DATA'!A:O,10,FALSE)</f>
        <v>#N/A</v>
      </c>
      <c r="K63" s="66"/>
      <c r="L63" s="66"/>
      <c r="M63" s="66"/>
      <c r="N63" s="66"/>
      <c r="O63" s="58" t="str">
        <f t="shared" si="1"/>
        <v>X</v>
      </c>
      <c r="P63" s="59" t="str">
        <f t="shared" si="2"/>
        <v>#N/A</v>
      </c>
      <c r="Q63" s="67" t="str">
        <f t="shared" si="3"/>
        <v>#N/A</v>
      </c>
      <c r="R63" s="68" t="str">
        <f t="shared" si="4"/>
        <v>#N/A</v>
      </c>
      <c r="S63" s="62" t="str">
        <f t="shared" si="5"/>
        <v>#N/A</v>
      </c>
      <c r="T63" s="62" t="str">
        <f t="shared" si="6"/>
        <v>#N/A</v>
      </c>
      <c r="U63" s="63">
        <f t="shared" si="7"/>
        <v>0</v>
      </c>
      <c r="V63" s="69" t="str">
        <f>ifs($N63="",VLOOKUP($B63&amp;$E63,'FEB - VISIT DATA'!$A$2:$J100,7,FALSE), $N63="SWAB","OUTSA-RW",$N63="SWQU","OUTSA-SaQu", AND($L63="X",$M63="X",$N63="QUEST"),"OUT-UAQPre",$N63="QUEST","OUT-UAQ", $N63="Walk in","ColUATele")</f>
        <v>#N/A</v>
      </c>
      <c r="W63" s="70" t="str">
        <f t="shared" si="8"/>
        <v>#N/A</v>
      </c>
      <c r="X63" s="64" t="str">
        <f t="shared" si="9"/>
        <v/>
      </c>
      <c r="Y63" s="64" t="str">
        <f t="shared" si="10"/>
        <v/>
      </c>
      <c r="Z63" s="66" t="str">
        <f t="shared" si="11"/>
        <v> </v>
      </c>
      <c r="AA63" s="71"/>
    </row>
    <row r="64" ht="15.75" customHeight="1">
      <c r="A64" s="56" t="str">
        <f>IFS($B64=FALSE,"",$B64,VLOOKUP($B64,'PATIENT DATA (072721)'!A:C, 2, 0))</f>
        <v/>
      </c>
      <c r="B64" s="57"/>
      <c r="C64" s="73" t="str">
        <f>IF(COUNTIF('PATIENT DATA (072721)'!A:A, B64)=0, "X","✓")</f>
        <v>X</v>
      </c>
      <c r="D64" s="59" t="str">
        <f>IFS($B64=FALSE,"",$B64,VLOOKUP($B64,'PATIENT DATA (072721)'!A:C, 3, 0))</f>
        <v/>
      </c>
      <c r="E64" s="60"/>
      <c r="F64" s="61" t="str">
        <f>ifs($B64="","",$B64, VLOOKUP($B64&amp;$E64, 'FEB - VISIT DATA'!A:O,3,0))</f>
        <v/>
      </c>
      <c r="G64" s="74"/>
      <c r="H64" s="63" t="str">
        <f>ifs($B64="","",$B64, VLOOKUP($B64&amp;$E64, 'FEB - VISIT DATA'!$A:$O,13,0))</f>
        <v/>
      </c>
      <c r="I64" s="89" t="str">
        <f>VLOOKUP($B64&amp;$E64,'FEB - VISIT DATA'!A:J, 9, FALSE)</f>
        <v>#N/A</v>
      </c>
      <c r="J64" s="65" t="str">
        <f>VLOOKUP(B64&amp;E64,'FEB - VISIT DATA'!A:O,10,FALSE)</f>
        <v>#N/A</v>
      </c>
      <c r="K64" s="66"/>
      <c r="L64" s="66"/>
      <c r="M64" s="66"/>
      <c r="N64" s="66"/>
      <c r="O64" s="58" t="str">
        <f t="shared" si="1"/>
        <v>X</v>
      </c>
      <c r="P64" s="59" t="str">
        <f t="shared" si="2"/>
        <v>#N/A</v>
      </c>
      <c r="Q64" s="67" t="str">
        <f t="shared" si="3"/>
        <v>#N/A</v>
      </c>
      <c r="R64" s="68" t="str">
        <f t="shared" si="4"/>
        <v>#N/A</v>
      </c>
      <c r="S64" s="62" t="str">
        <f t="shared" si="5"/>
        <v>#N/A</v>
      </c>
      <c r="T64" s="62" t="str">
        <f t="shared" si="6"/>
        <v>#N/A</v>
      </c>
      <c r="U64" s="63">
        <f t="shared" si="7"/>
        <v>0</v>
      </c>
      <c r="V64" s="69" t="str">
        <f>ifs($N64="",VLOOKUP($B64&amp;$E64,'FEB - VISIT DATA'!$A$2:$J100,7,FALSE), $N64="SWAB","OUTSA-RW",$N64="SWQU","OUTSA-SaQu", AND($L64="X",$M64="X",$N64="QUEST"),"OUT-UAQPre",$N64="QUEST","OUT-UAQ", $N64="Walk in","ColUATele")</f>
        <v>#N/A</v>
      </c>
      <c r="W64" s="70" t="str">
        <f t="shared" si="8"/>
        <v>#N/A</v>
      </c>
      <c r="X64" s="64" t="str">
        <f t="shared" si="9"/>
        <v/>
      </c>
      <c r="Y64" s="64" t="str">
        <f t="shared" si="10"/>
        <v/>
      </c>
      <c r="Z64" s="66" t="str">
        <f t="shared" si="11"/>
        <v> </v>
      </c>
      <c r="AA64" s="71"/>
    </row>
    <row r="65" ht="15.75" customHeight="1">
      <c r="A65" s="56" t="str">
        <f>IFS($B65=FALSE,"",$B65,VLOOKUP($B65,'PATIENT DATA (072721)'!A:C, 2, 0))</f>
        <v/>
      </c>
      <c r="B65" s="57"/>
      <c r="C65" s="73" t="str">
        <f>IF(COUNTIF('PATIENT DATA (072721)'!A:A, B65)=0, "X","✓")</f>
        <v>X</v>
      </c>
      <c r="D65" s="59" t="str">
        <f>IFS($B65=FALSE,"",$B65,VLOOKUP($B65,'PATIENT DATA (072721)'!A:C, 3, 0))</f>
        <v/>
      </c>
      <c r="E65" s="60"/>
      <c r="F65" s="61" t="str">
        <f>ifs($B65="","",$B65, VLOOKUP($B65&amp;$E65, 'FEB - VISIT DATA'!A:O,3,0))</f>
        <v/>
      </c>
      <c r="G65" s="74"/>
      <c r="H65" s="63" t="str">
        <f>ifs($B65="","",$B65, VLOOKUP($B65&amp;$E65, 'FEB - VISIT DATA'!$A:$O,13,0))</f>
        <v/>
      </c>
      <c r="I65" s="89" t="str">
        <f>VLOOKUP($B65&amp;$E65,'FEB - VISIT DATA'!A:J, 9, FALSE)</f>
        <v>#N/A</v>
      </c>
      <c r="J65" s="65" t="str">
        <f>VLOOKUP(B65&amp;E65,'FEB - VISIT DATA'!A:O,10,FALSE)</f>
        <v>#N/A</v>
      </c>
      <c r="K65" s="66"/>
      <c r="L65" s="66"/>
      <c r="M65" s="66"/>
      <c r="N65" s="66"/>
      <c r="O65" s="58" t="str">
        <f t="shared" si="1"/>
        <v>X</v>
      </c>
      <c r="P65" s="59" t="str">
        <f t="shared" si="2"/>
        <v>#N/A</v>
      </c>
      <c r="Q65" s="67" t="str">
        <f t="shared" si="3"/>
        <v>#N/A</v>
      </c>
      <c r="R65" s="68" t="str">
        <f t="shared" si="4"/>
        <v>#N/A</v>
      </c>
      <c r="S65" s="62" t="str">
        <f t="shared" si="5"/>
        <v>#N/A</v>
      </c>
      <c r="T65" s="62" t="str">
        <f t="shared" si="6"/>
        <v>#N/A</v>
      </c>
      <c r="U65" s="63">
        <f t="shared" si="7"/>
        <v>0</v>
      </c>
      <c r="V65" s="69" t="str">
        <f>ifs($N65="",VLOOKUP($B65&amp;$E65,'FEB - VISIT DATA'!$A$2:$J100,7,FALSE), $N65="SWAB","OUTSA-RW",$N65="SWQU","OUTSA-SaQu", AND($L65="X",$M65="X",$N65="QUEST"),"OUT-UAQPre",$N65="QUEST","OUT-UAQ", $N65="Walk in","ColUATele")</f>
        <v>#N/A</v>
      </c>
      <c r="W65" s="70" t="str">
        <f t="shared" si="8"/>
        <v>#N/A</v>
      </c>
      <c r="X65" s="64" t="str">
        <f t="shared" si="9"/>
        <v/>
      </c>
      <c r="Y65" s="64" t="str">
        <f t="shared" si="10"/>
        <v/>
      </c>
      <c r="Z65" s="66" t="str">
        <f t="shared" si="11"/>
        <v> </v>
      </c>
      <c r="AA65" s="71"/>
    </row>
    <row r="66" ht="15.75" customHeight="1">
      <c r="A66" s="56" t="str">
        <f>IFS($B66=FALSE,"",$B66,VLOOKUP($B66,'PATIENT DATA (072721)'!A:C, 2, 0))</f>
        <v/>
      </c>
      <c r="B66" s="57"/>
      <c r="C66" s="73" t="str">
        <f>IF(COUNTIF('PATIENT DATA (072721)'!A:A, B66)=0, "X","✓")</f>
        <v>X</v>
      </c>
      <c r="D66" s="59" t="str">
        <f>IFS($B66=FALSE,"",$B66,VLOOKUP($B66,'PATIENT DATA (072721)'!A:C, 3, 0))</f>
        <v/>
      </c>
      <c r="E66" s="60"/>
      <c r="F66" s="61" t="str">
        <f>ifs($B66="","",$B66, VLOOKUP($B66&amp;$E66, 'FEB - VISIT DATA'!A:O,3,0))</f>
        <v/>
      </c>
      <c r="G66" s="74"/>
      <c r="H66" s="63" t="str">
        <f>ifs($B66="","",$B66, VLOOKUP($B66&amp;$E66, 'FEB - VISIT DATA'!$A:$O,13,0))</f>
        <v/>
      </c>
      <c r="I66" s="89" t="str">
        <f>VLOOKUP($B66&amp;$E66,'FEB - VISIT DATA'!A:J, 9, FALSE)</f>
        <v>#N/A</v>
      </c>
      <c r="J66" s="65" t="str">
        <f>VLOOKUP(B66&amp;E66,'FEB - VISIT DATA'!A:O,10,FALSE)</f>
        <v>#N/A</v>
      </c>
      <c r="K66" s="66"/>
      <c r="L66" s="66"/>
      <c r="M66" s="66"/>
      <c r="N66" s="66"/>
      <c r="O66" s="58" t="str">
        <f t="shared" si="1"/>
        <v>X</v>
      </c>
      <c r="P66" s="59" t="str">
        <f t="shared" si="2"/>
        <v>#N/A</v>
      </c>
      <c r="Q66" s="67" t="str">
        <f t="shared" si="3"/>
        <v>#N/A</v>
      </c>
      <c r="R66" s="68" t="str">
        <f t="shared" si="4"/>
        <v>#N/A</v>
      </c>
      <c r="S66" s="62" t="str">
        <f t="shared" si="5"/>
        <v>#N/A</v>
      </c>
      <c r="T66" s="62" t="str">
        <f t="shared" si="6"/>
        <v>#N/A</v>
      </c>
      <c r="U66" s="63">
        <f t="shared" si="7"/>
        <v>0</v>
      </c>
      <c r="V66" s="69" t="str">
        <f>ifs($N66="",VLOOKUP($B66&amp;$E66,'FEB - VISIT DATA'!$A$2:$J100,7,FALSE), $N66="SWAB","OUTSA-RW",$N66="SWQU","OUTSA-SaQu", AND($L66="X",$M66="X",$N66="QUEST"),"OUT-UAQPre",$N66="QUEST","OUT-UAQ", $N66="Walk in","ColUATele")</f>
        <v>#N/A</v>
      </c>
      <c r="W66" s="70" t="str">
        <f t="shared" si="8"/>
        <v>#N/A</v>
      </c>
      <c r="X66" s="64" t="str">
        <f t="shared" si="9"/>
        <v/>
      </c>
      <c r="Y66" s="64" t="str">
        <f t="shared" si="10"/>
        <v/>
      </c>
      <c r="Z66" s="66" t="str">
        <f t="shared" si="11"/>
        <v> </v>
      </c>
      <c r="AA66" s="71"/>
    </row>
    <row r="67" ht="15.75" customHeight="1">
      <c r="A67" s="56" t="str">
        <f>IFS($B67=FALSE,"",$B67,VLOOKUP($B67,'PATIENT DATA (072721)'!A:C, 2, 0))</f>
        <v/>
      </c>
      <c r="B67" s="57"/>
      <c r="C67" s="73" t="str">
        <f>IF(COUNTIF('PATIENT DATA (072721)'!A:A, B67)=0, "X","✓")</f>
        <v>X</v>
      </c>
      <c r="D67" s="59" t="str">
        <f>IFS($B67=FALSE,"",$B67,VLOOKUP($B67,'PATIENT DATA (072721)'!A:C, 3, 0))</f>
        <v/>
      </c>
      <c r="E67" s="60"/>
      <c r="F67" s="61" t="str">
        <f>ifs($B67="","",$B67, VLOOKUP($B67&amp;$E67, 'FEB - VISIT DATA'!A:O,3,0))</f>
        <v/>
      </c>
      <c r="G67" s="74"/>
      <c r="H67" s="63" t="str">
        <f>ifs($B67="","",$B67, VLOOKUP($B67&amp;$E67, 'FEB - VISIT DATA'!$A:$O,13,0))</f>
        <v/>
      </c>
      <c r="I67" s="89" t="str">
        <f>VLOOKUP($B67&amp;$E67,'FEB - VISIT DATA'!A:J, 9, FALSE)</f>
        <v>#N/A</v>
      </c>
      <c r="J67" s="65" t="str">
        <f>VLOOKUP(B67&amp;E67,'FEB - VISIT DATA'!A:O,10,FALSE)</f>
        <v>#N/A</v>
      </c>
      <c r="K67" s="66"/>
      <c r="L67" s="66"/>
      <c r="M67" s="66"/>
      <c r="N67" s="66"/>
      <c r="O67" s="58" t="str">
        <f t="shared" si="1"/>
        <v>X</v>
      </c>
      <c r="P67" s="59" t="str">
        <f t="shared" si="2"/>
        <v>#N/A</v>
      </c>
      <c r="Q67" s="67" t="str">
        <f t="shared" si="3"/>
        <v>#N/A</v>
      </c>
      <c r="R67" s="68" t="str">
        <f t="shared" si="4"/>
        <v>#N/A</v>
      </c>
      <c r="S67" s="62" t="str">
        <f t="shared" si="5"/>
        <v>#N/A</v>
      </c>
      <c r="T67" s="62" t="str">
        <f t="shared" si="6"/>
        <v>#N/A</v>
      </c>
      <c r="U67" s="63">
        <f t="shared" si="7"/>
        <v>0</v>
      </c>
      <c r="V67" s="69" t="str">
        <f>ifs($N67="",VLOOKUP($B67&amp;$E67,'FEB - VISIT DATA'!$A$2:$J100,7,FALSE), $N67="SWAB","OUTSA-RW",$N67="SWQU","OUTSA-SaQu", AND($L67="X",$M67="X",$N67="QUEST"),"OUT-UAQPre",$N67="QUEST","OUT-UAQ", $N67="Walk in","ColUATele")</f>
        <v>#N/A</v>
      </c>
      <c r="W67" s="70" t="str">
        <f t="shared" si="8"/>
        <v>#N/A</v>
      </c>
      <c r="X67" s="64" t="str">
        <f t="shared" si="9"/>
        <v/>
      </c>
      <c r="Y67" s="64" t="str">
        <f t="shared" si="10"/>
        <v/>
      </c>
      <c r="Z67" s="66" t="str">
        <f t="shared" si="11"/>
        <v> </v>
      </c>
      <c r="AA67" s="71"/>
    </row>
    <row r="68" ht="15.75" customHeight="1">
      <c r="A68" s="56" t="str">
        <f>IFS($B68=FALSE,"",$B68,VLOOKUP($B68,'PATIENT DATA (072721)'!A:C, 2, 0))</f>
        <v/>
      </c>
      <c r="B68" s="57"/>
      <c r="C68" s="73" t="str">
        <f>IF(COUNTIF('PATIENT DATA (072721)'!A:A, B68)=0, "X","✓")</f>
        <v>X</v>
      </c>
      <c r="D68" s="59" t="str">
        <f>IFS($B68=FALSE,"",$B68,VLOOKUP($B68,'PATIENT DATA (072721)'!A:C, 3, 0))</f>
        <v/>
      </c>
      <c r="E68" s="60"/>
      <c r="F68" s="61" t="str">
        <f>ifs($B68="","",$B68, VLOOKUP($B68&amp;$E68, 'FEB - VISIT DATA'!A:O,3,0))</f>
        <v/>
      </c>
      <c r="G68" s="74"/>
      <c r="H68" s="63" t="str">
        <f>ifs($B68="","",$B68, VLOOKUP($B68&amp;$E68, 'FEB - VISIT DATA'!$A:$O,13,0))</f>
        <v/>
      </c>
      <c r="I68" s="89" t="str">
        <f>VLOOKUP($B68&amp;$E68,'FEB - VISIT DATA'!A:J, 9, FALSE)</f>
        <v>#N/A</v>
      </c>
      <c r="J68" s="65" t="str">
        <f>VLOOKUP(B68&amp;E68,'FEB - VISIT DATA'!A:O,10,FALSE)</f>
        <v>#N/A</v>
      </c>
      <c r="K68" s="66"/>
      <c r="L68" s="66"/>
      <c r="M68" s="66"/>
      <c r="N68" s="66"/>
      <c r="O68" s="58" t="str">
        <f t="shared" si="1"/>
        <v>X</v>
      </c>
      <c r="P68" s="59" t="str">
        <f t="shared" si="2"/>
        <v>#N/A</v>
      </c>
      <c r="Q68" s="67" t="str">
        <f t="shared" si="3"/>
        <v>#N/A</v>
      </c>
      <c r="R68" s="68" t="str">
        <f t="shared" si="4"/>
        <v>#N/A</v>
      </c>
      <c r="S68" s="62" t="str">
        <f t="shared" si="5"/>
        <v>#N/A</v>
      </c>
      <c r="T68" s="62" t="str">
        <f t="shared" si="6"/>
        <v>#N/A</v>
      </c>
      <c r="U68" s="63">
        <f t="shared" si="7"/>
        <v>0</v>
      </c>
      <c r="V68" s="69" t="str">
        <f>ifs($N68="",VLOOKUP($B68&amp;$E68,'FEB - VISIT DATA'!$A$2:$J100,7,FALSE), $N68="SWAB","OUTSA-RW",$N68="SWQU","OUTSA-SaQu", AND($L68="X",$M68="X",$N68="QUEST"),"OUT-UAQPre",$N68="QUEST","OUT-UAQ", $N68="Walk in","ColUATele")</f>
        <v>#N/A</v>
      </c>
      <c r="W68" s="70" t="str">
        <f t="shared" si="8"/>
        <v>#N/A</v>
      </c>
      <c r="X68" s="64" t="str">
        <f t="shared" si="9"/>
        <v/>
      </c>
      <c r="Y68" s="64" t="str">
        <f t="shared" si="10"/>
        <v/>
      </c>
      <c r="Z68" s="66" t="str">
        <f t="shared" si="11"/>
        <v> </v>
      </c>
      <c r="AA68" s="71"/>
    </row>
    <row r="69" ht="15.75" customHeight="1">
      <c r="A69" s="56" t="str">
        <f>IFS($B69=FALSE,"",$B69,VLOOKUP($B69,'PATIENT DATA (072721)'!A:C, 2, 0))</f>
        <v/>
      </c>
      <c r="B69" s="57"/>
      <c r="C69" s="73" t="str">
        <f>IF(COUNTIF('PATIENT DATA (072721)'!A:A, B69)=0, "X","✓")</f>
        <v>X</v>
      </c>
      <c r="D69" s="59" t="str">
        <f>IFS($B69=FALSE,"",$B69,VLOOKUP($B69,'PATIENT DATA (072721)'!A:C, 3, 0))</f>
        <v/>
      </c>
      <c r="E69" s="60"/>
      <c r="F69" s="61" t="str">
        <f>ifs($B69="","",$B69, VLOOKUP($B69&amp;$E69, 'FEB - VISIT DATA'!A:O,3,0))</f>
        <v/>
      </c>
      <c r="G69" s="74"/>
      <c r="H69" s="63" t="str">
        <f>ifs($B69="","",$B69, VLOOKUP($B69&amp;$E69, 'FEB - VISIT DATA'!$A:$O,13,0))</f>
        <v/>
      </c>
      <c r="I69" s="89" t="str">
        <f>VLOOKUP($B69&amp;$E69,'FEB - VISIT DATA'!A:J, 9, FALSE)</f>
        <v>#N/A</v>
      </c>
      <c r="J69" s="65" t="str">
        <f>VLOOKUP(B69&amp;E69,'FEB - VISIT DATA'!A:O,10,FALSE)</f>
        <v>#N/A</v>
      </c>
      <c r="K69" s="66"/>
      <c r="L69" s="66"/>
      <c r="M69" s="66"/>
      <c r="N69" s="66"/>
      <c r="O69" s="58" t="str">
        <f t="shared" si="1"/>
        <v>X</v>
      </c>
      <c r="P69" s="59" t="str">
        <f t="shared" si="2"/>
        <v>#N/A</v>
      </c>
      <c r="Q69" s="67" t="str">
        <f t="shared" si="3"/>
        <v>#N/A</v>
      </c>
      <c r="R69" s="68" t="str">
        <f t="shared" si="4"/>
        <v>#N/A</v>
      </c>
      <c r="S69" s="62" t="str">
        <f t="shared" si="5"/>
        <v>#N/A</v>
      </c>
      <c r="T69" s="62" t="str">
        <f t="shared" si="6"/>
        <v>#N/A</v>
      </c>
      <c r="U69" s="63">
        <f t="shared" si="7"/>
        <v>0</v>
      </c>
      <c r="V69" s="69" t="str">
        <f>ifs($N69="",VLOOKUP($B69&amp;$E69,'FEB - VISIT DATA'!$A$2:$J100,7,FALSE), $N69="SWAB","OUTSA-RW",$N69="SWQU","OUTSA-SaQu", AND($L69="X",$M69="X",$N69="QUEST"),"OUT-UAQPre",$N69="QUEST","OUT-UAQ", $N69="Walk in","ColUATele")</f>
        <v>#N/A</v>
      </c>
      <c r="W69" s="70" t="str">
        <f t="shared" si="8"/>
        <v>#N/A</v>
      </c>
      <c r="X69" s="64" t="str">
        <f t="shared" si="9"/>
        <v/>
      </c>
      <c r="Y69" s="64" t="str">
        <f t="shared" si="10"/>
        <v/>
      </c>
      <c r="Z69" s="66" t="str">
        <f t="shared" si="11"/>
        <v> </v>
      </c>
      <c r="AA69" s="71"/>
    </row>
    <row r="70" ht="15.75" customHeight="1">
      <c r="A70" s="56" t="str">
        <f>IFS($B70=FALSE,"",$B70,VLOOKUP($B70,'PATIENT DATA (072721)'!A:C, 2, 0))</f>
        <v/>
      </c>
      <c r="B70" s="57"/>
      <c r="C70" s="73" t="str">
        <f>IF(COUNTIF('PATIENT DATA (072721)'!A:A, B70)=0, "X","✓")</f>
        <v>X</v>
      </c>
      <c r="D70" s="59" t="str">
        <f>IFS($B70=FALSE,"",$B70,VLOOKUP($B70,'PATIENT DATA (072721)'!A:C, 3, 0))</f>
        <v/>
      </c>
      <c r="E70" s="60"/>
      <c r="F70" s="61" t="str">
        <f>ifs($B70="","",$B70, VLOOKUP($B70&amp;$E70, 'FEB - VISIT DATA'!A:O,3,0))</f>
        <v/>
      </c>
      <c r="G70" s="74"/>
      <c r="H70" s="63" t="str">
        <f>ifs($B70="","",$B70, VLOOKUP($B70&amp;$E70, 'FEB - VISIT DATA'!$A:$O,13,0))</f>
        <v/>
      </c>
      <c r="I70" s="89" t="str">
        <f>VLOOKUP($B70&amp;$E70,'FEB - VISIT DATA'!A:J, 9, FALSE)</f>
        <v>#N/A</v>
      </c>
      <c r="J70" s="65" t="str">
        <f>VLOOKUP(B70&amp;E70,'FEB - VISIT DATA'!A:O,10,FALSE)</f>
        <v>#N/A</v>
      </c>
      <c r="K70" s="66"/>
      <c r="L70" s="66"/>
      <c r="M70" s="66"/>
      <c r="N70" s="66"/>
      <c r="O70" s="58" t="str">
        <f t="shared" si="1"/>
        <v>X</v>
      </c>
      <c r="P70" s="59" t="str">
        <f t="shared" si="2"/>
        <v>#N/A</v>
      </c>
      <c r="Q70" s="67" t="str">
        <f t="shared" si="3"/>
        <v>#N/A</v>
      </c>
      <c r="R70" s="68" t="str">
        <f t="shared" si="4"/>
        <v>#N/A</v>
      </c>
      <c r="S70" s="62" t="str">
        <f t="shared" si="5"/>
        <v>#N/A</v>
      </c>
      <c r="T70" s="62" t="str">
        <f t="shared" si="6"/>
        <v>#N/A</v>
      </c>
      <c r="U70" s="63">
        <f t="shared" si="7"/>
        <v>0</v>
      </c>
      <c r="V70" s="69" t="str">
        <f>ifs($N70="",VLOOKUP($B70&amp;$E70,'FEB - VISIT DATA'!$A$2:$J100,7,FALSE), $N70="SWAB","OUTSA-RW",$N70="SWQU","OUTSA-SaQu", AND($L70="X",$M70="X",$N70="QUEST"),"OUT-UAQPre",$N70="QUEST","OUT-UAQ", $N70="Walk in","ColUATele")</f>
        <v>#N/A</v>
      </c>
      <c r="W70" s="70" t="str">
        <f t="shared" si="8"/>
        <v>#N/A</v>
      </c>
      <c r="X70" s="64" t="str">
        <f t="shared" si="9"/>
        <v/>
      </c>
      <c r="Y70" s="64" t="str">
        <f t="shared" si="10"/>
        <v/>
      </c>
      <c r="Z70" s="66" t="str">
        <f t="shared" si="11"/>
        <v> </v>
      </c>
      <c r="AA70" s="71"/>
    </row>
    <row r="71" ht="15.75" customHeight="1">
      <c r="A71" s="56" t="str">
        <f>IFS($B71=FALSE,"",$B71,VLOOKUP($B71,'PATIENT DATA (072721)'!A:C, 2, 0))</f>
        <v/>
      </c>
      <c r="B71" s="57"/>
      <c r="C71" s="73" t="str">
        <f>IF(COUNTIF('PATIENT DATA (072721)'!A:A, B71)=0, "X","✓")</f>
        <v>X</v>
      </c>
      <c r="D71" s="59" t="str">
        <f>IFS($B71=FALSE,"",$B71,VLOOKUP($B71,'PATIENT DATA (072721)'!A:C, 3, 0))</f>
        <v/>
      </c>
      <c r="E71" s="60"/>
      <c r="F71" s="61" t="str">
        <f>ifs($B71="","",$B71, VLOOKUP($B71&amp;$E71, 'FEB - VISIT DATA'!A:O,3,0))</f>
        <v/>
      </c>
      <c r="G71" s="74"/>
      <c r="H71" s="63" t="str">
        <f>ifs($B71="","",$B71, VLOOKUP($B71&amp;$E71, 'FEB - VISIT DATA'!$A:$O,13,0))</f>
        <v/>
      </c>
      <c r="I71" s="89" t="str">
        <f>VLOOKUP($B71&amp;$E71,'FEB - VISIT DATA'!A:J, 9, FALSE)</f>
        <v>#N/A</v>
      </c>
      <c r="J71" s="65" t="str">
        <f>VLOOKUP(B71&amp;E71,'FEB - VISIT DATA'!A:O,10,FALSE)</f>
        <v>#N/A</v>
      </c>
      <c r="K71" s="66"/>
      <c r="L71" s="66"/>
      <c r="M71" s="66"/>
      <c r="N71" s="66"/>
      <c r="O71" s="58" t="str">
        <f t="shared" si="1"/>
        <v>X</v>
      </c>
      <c r="P71" s="59" t="str">
        <f t="shared" si="2"/>
        <v>#N/A</v>
      </c>
      <c r="Q71" s="67" t="str">
        <f t="shared" si="3"/>
        <v>#N/A</v>
      </c>
      <c r="R71" s="68" t="str">
        <f t="shared" si="4"/>
        <v>#N/A</v>
      </c>
      <c r="S71" s="62" t="str">
        <f t="shared" si="5"/>
        <v>#N/A</v>
      </c>
      <c r="T71" s="62" t="str">
        <f t="shared" si="6"/>
        <v>#N/A</v>
      </c>
      <c r="U71" s="63">
        <f t="shared" si="7"/>
        <v>0</v>
      </c>
      <c r="V71" s="69" t="str">
        <f>ifs($N71="",VLOOKUP($B71&amp;$E71,'FEB - VISIT DATA'!$A$2:$J100,7,FALSE), $N71="SWAB","OUTSA-RW",$N71="SWQU","OUTSA-SaQu", AND($L71="X",$M71="X",$N71="QUEST"),"OUT-UAQPre",$N71="QUEST","OUT-UAQ", $N71="Walk in","ColUATele")</f>
        <v>#N/A</v>
      </c>
      <c r="W71" s="70" t="str">
        <f t="shared" si="8"/>
        <v>#N/A</v>
      </c>
      <c r="X71" s="64" t="str">
        <f t="shared" si="9"/>
        <v/>
      </c>
      <c r="Y71" s="64" t="str">
        <f t="shared" si="10"/>
        <v/>
      </c>
      <c r="Z71" s="66" t="str">
        <f t="shared" si="11"/>
        <v> </v>
      </c>
      <c r="AA71" s="71"/>
    </row>
    <row r="72" ht="15.75" customHeight="1">
      <c r="A72" s="56" t="str">
        <f>IFS($B72=FALSE,"",$B72,VLOOKUP($B72,'PATIENT DATA (072721)'!A:C, 2, 0))</f>
        <v/>
      </c>
      <c r="B72" s="57"/>
      <c r="C72" s="73" t="str">
        <f>IF(COUNTIF('PATIENT DATA (072721)'!A:A, B72)=0, "X","✓")</f>
        <v>X</v>
      </c>
      <c r="D72" s="59" t="str">
        <f>IFS($B72=FALSE,"",$B72,VLOOKUP($B72,'PATIENT DATA (072721)'!A:C, 3, 0))</f>
        <v/>
      </c>
      <c r="E72" s="60"/>
      <c r="F72" s="61" t="str">
        <f>ifs($B72="","",$B72, VLOOKUP($B72&amp;$E72, 'FEB - VISIT DATA'!A:O,3,0))</f>
        <v/>
      </c>
      <c r="G72" s="74"/>
      <c r="H72" s="63" t="str">
        <f>ifs($B72="","",$B72, VLOOKUP($B72&amp;$E72, 'FEB - VISIT DATA'!$A:$O,13,0))</f>
        <v/>
      </c>
      <c r="I72" s="89" t="str">
        <f>VLOOKUP($B72&amp;$E72,'FEB - VISIT DATA'!A:J, 9, FALSE)</f>
        <v>#N/A</v>
      </c>
      <c r="J72" s="65" t="str">
        <f>VLOOKUP(B72&amp;E72,'FEB - VISIT DATA'!A:O,10,FALSE)</f>
        <v>#N/A</v>
      </c>
      <c r="K72" s="66"/>
      <c r="L72" s="66"/>
      <c r="M72" s="66"/>
      <c r="N72" s="66"/>
      <c r="O72" s="58" t="str">
        <f t="shared" si="1"/>
        <v>X</v>
      </c>
      <c r="P72" s="59" t="str">
        <f t="shared" si="2"/>
        <v>#N/A</v>
      </c>
      <c r="Q72" s="67" t="str">
        <f t="shared" si="3"/>
        <v>#N/A</v>
      </c>
      <c r="R72" s="68" t="str">
        <f t="shared" si="4"/>
        <v>#N/A</v>
      </c>
      <c r="S72" s="62" t="str">
        <f t="shared" si="5"/>
        <v>#N/A</v>
      </c>
      <c r="T72" s="62" t="str">
        <f t="shared" si="6"/>
        <v>#N/A</v>
      </c>
      <c r="U72" s="63">
        <f t="shared" si="7"/>
        <v>0</v>
      </c>
      <c r="V72" s="69" t="str">
        <f>ifs($N72="",VLOOKUP($B72&amp;$E72,'FEB - VISIT DATA'!$A$2:$J100,7,FALSE), $N72="SWAB","OUTSA-RW",$N72="SWQU","OUTSA-SaQu", AND($L72="X",$M72="X",$N72="QUEST"),"OUT-UAQPre",$N72="QUEST","OUT-UAQ", $N72="Walk in","ColUATele")</f>
        <v>#N/A</v>
      </c>
      <c r="W72" s="70" t="str">
        <f t="shared" si="8"/>
        <v>#N/A</v>
      </c>
      <c r="X72" s="64" t="str">
        <f t="shared" si="9"/>
        <v/>
      </c>
      <c r="Y72" s="64" t="str">
        <f t="shared" si="10"/>
        <v/>
      </c>
      <c r="Z72" s="66" t="str">
        <f t="shared" si="11"/>
        <v> </v>
      </c>
      <c r="AA72" s="71"/>
    </row>
    <row r="73" ht="15.75" customHeight="1">
      <c r="A73" s="56" t="str">
        <f>IFS($B73=FALSE,"",$B73,VLOOKUP($B73,'PATIENT DATA (072721)'!A:C, 2, 0))</f>
        <v/>
      </c>
      <c r="B73" s="57"/>
      <c r="C73" s="73" t="str">
        <f>IF(COUNTIF('PATIENT DATA (072721)'!A:A, B73)=0, "X","✓")</f>
        <v>X</v>
      </c>
      <c r="D73" s="59" t="str">
        <f>IFS($B73=FALSE,"",$B73,VLOOKUP($B73,'PATIENT DATA (072721)'!A:C, 3, 0))</f>
        <v/>
      </c>
      <c r="E73" s="60"/>
      <c r="F73" s="61" t="str">
        <f>ifs($B73="","",$B73, VLOOKUP($B73&amp;$E73, 'FEB - VISIT DATA'!A:O,3,0))</f>
        <v/>
      </c>
      <c r="G73" s="74"/>
      <c r="H73" s="63" t="str">
        <f>ifs($B73="","",$B73, VLOOKUP($B73&amp;$E73, 'FEB - VISIT DATA'!$A:$O,13,0))</f>
        <v/>
      </c>
      <c r="I73" s="89" t="str">
        <f>VLOOKUP($B73&amp;$E73,'FEB - VISIT DATA'!A:J, 9, FALSE)</f>
        <v>#N/A</v>
      </c>
      <c r="J73" s="65" t="str">
        <f>VLOOKUP(B73&amp;E73,'FEB - VISIT DATA'!A:O,10,FALSE)</f>
        <v>#N/A</v>
      </c>
      <c r="K73" s="66"/>
      <c r="L73" s="66"/>
      <c r="M73" s="66"/>
      <c r="N73" s="66"/>
      <c r="O73" s="58" t="str">
        <f t="shared" si="1"/>
        <v>X</v>
      </c>
      <c r="P73" s="59" t="str">
        <f t="shared" si="2"/>
        <v>#N/A</v>
      </c>
      <c r="Q73" s="67" t="str">
        <f t="shared" si="3"/>
        <v>#N/A</v>
      </c>
      <c r="R73" s="68" t="str">
        <f t="shared" si="4"/>
        <v>#N/A</v>
      </c>
      <c r="S73" s="62" t="str">
        <f t="shared" si="5"/>
        <v>#N/A</v>
      </c>
      <c r="T73" s="62" t="str">
        <f t="shared" si="6"/>
        <v>#N/A</v>
      </c>
      <c r="U73" s="63">
        <f t="shared" si="7"/>
        <v>0</v>
      </c>
      <c r="V73" s="69" t="str">
        <f>ifs($N73="",VLOOKUP($B73&amp;$E73,'FEB - VISIT DATA'!$A$2:$J100,7,FALSE), $N73="SWAB","OUTSA-RW",$N73="SWQU","OUTSA-SaQu", AND($L73="X",$M73="X",$N73="QUEST"),"OUT-UAQPre",$N73="QUEST","OUT-UAQ", $N73="Walk in","ColUATele")</f>
        <v>#N/A</v>
      </c>
      <c r="W73" s="70" t="str">
        <f t="shared" si="8"/>
        <v>#N/A</v>
      </c>
      <c r="X73" s="64" t="str">
        <f t="shared" si="9"/>
        <v/>
      </c>
      <c r="Y73" s="64" t="str">
        <f t="shared" si="10"/>
        <v/>
      </c>
      <c r="Z73" s="66" t="str">
        <f t="shared" si="11"/>
        <v> </v>
      </c>
      <c r="AA73" s="71"/>
    </row>
    <row r="74" ht="15.75" customHeight="1">
      <c r="A74" s="56" t="str">
        <f>IFS($B74=FALSE,"",$B74,VLOOKUP($B74,'PATIENT DATA (072721)'!A:C, 2, 0))</f>
        <v/>
      </c>
      <c r="B74" s="57"/>
      <c r="C74" s="73" t="str">
        <f>IF(COUNTIF('PATIENT DATA (072721)'!A:A, B74)=0, "X","✓")</f>
        <v>X</v>
      </c>
      <c r="D74" s="59" t="str">
        <f>IFS($B74=FALSE,"",$B74,VLOOKUP($B74,'PATIENT DATA (072721)'!A:C, 3, 0))</f>
        <v/>
      </c>
      <c r="E74" s="60"/>
      <c r="F74" s="61" t="str">
        <f>ifs($B74="","",$B74, VLOOKUP($B74&amp;$E74, 'FEB - VISIT DATA'!A:O,3,0))</f>
        <v/>
      </c>
      <c r="G74" s="74"/>
      <c r="H74" s="63" t="str">
        <f>ifs($B74="","",$B74, VLOOKUP($B74&amp;$E74, 'FEB - VISIT DATA'!$A:$O,13,0))</f>
        <v/>
      </c>
      <c r="I74" s="89" t="str">
        <f>VLOOKUP($B74&amp;$E74,'FEB - VISIT DATA'!A:J, 9, FALSE)</f>
        <v>#N/A</v>
      </c>
      <c r="J74" s="65" t="str">
        <f>VLOOKUP(B74&amp;E74,'FEB - VISIT DATA'!A:O,10,FALSE)</f>
        <v>#N/A</v>
      </c>
      <c r="K74" s="66"/>
      <c r="L74" s="66"/>
      <c r="M74" s="66"/>
      <c r="N74" s="66"/>
      <c r="O74" s="58" t="str">
        <f t="shared" si="1"/>
        <v>X</v>
      </c>
      <c r="P74" s="59" t="str">
        <f t="shared" si="2"/>
        <v>#N/A</v>
      </c>
      <c r="Q74" s="67" t="str">
        <f t="shared" si="3"/>
        <v>#N/A</v>
      </c>
      <c r="R74" s="68" t="str">
        <f t="shared" si="4"/>
        <v>#N/A</v>
      </c>
      <c r="S74" s="62" t="str">
        <f t="shared" si="5"/>
        <v>#N/A</v>
      </c>
      <c r="T74" s="62" t="str">
        <f t="shared" si="6"/>
        <v>#N/A</v>
      </c>
      <c r="U74" s="63">
        <f t="shared" si="7"/>
        <v>0</v>
      </c>
      <c r="V74" s="69" t="str">
        <f>ifs($N74="",VLOOKUP($B74&amp;$E74,'FEB - VISIT DATA'!$A$2:$J100,7,FALSE), $N74="SWAB","OUTSA-RW",$N74="SWQU","OUTSA-SaQu", AND($L74="X",$M74="X",$N74="QUEST"),"OUT-UAQPre",$N74="QUEST","OUT-UAQ", $N74="Walk in","ColUATele")</f>
        <v>#N/A</v>
      </c>
      <c r="W74" s="70" t="str">
        <f t="shared" si="8"/>
        <v>#N/A</v>
      </c>
      <c r="X74" s="64" t="str">
        <f t="shared" si="9"/>
        <v/>
      </c>
      <c r="Y74" s="64" t="str">
        <f t="shared" si="10"/>
        <v/>
      </c>
      <c r="Z74" s="66" t="str">
        <f t="shared" si="11"/>
        <v> </v>
      </c>
      <c r="AA74" s="71"/>
    </row>
    <row r="75" ht="15.75" customHeight="1">
      <c r="A75" s="56" t="str">
        <f>IFS($B75=FALSE,"",$B75,VLOOKUP($B75,'PATIENT DATA (072721)'!A:C, 2, 0))</f>
        <v/>
      </c>
      <c r="B75" s="57"/>
      <c r="C75" s="73" t="str">
        <f>IF(COUNTIF('PATIENT DATA (072721)'!A:A, B75)=0, "X","✓")</f>
        <v>X</v>
      </c>
      <c r="D75" s="59" t="str">
        <f>IFS($B75=FALSE,"",$B75,VLOOKUP($B75,'PATIENT DATA (072721)'!A:C, 3, 0))</f>
        <v/>
      </c>
      <c r="E75" s="60"/>
      <c r="F75" s="61" t="str">
        <f>ifs($B75="","",$B75, VLOOKUP($B75&amp;$E75, 'FEB - VISIT DATA'!A:O,3,0))</f>
        <v/>
      </c>
      <c r="G75" s="74"/>
      <c r="H75" s="63" t="str">
        <f>ifs($B75="","",$B75, VLOOKUP($B75&amp;$E75, 'FEB - VISIT DATA'!$A:$O,13,0))</f>
        <v/>
      </c>
      <c r="I75" s="89" t="str">
        <f>VLOOKUP($B75&amp;$E75,'FEB - VISIT DATA'!A:J, 9, FALSE)</f>
        <v>#N/A</v>
      </c>
      <c r="J75" s="65" t="str">
        <f>VLOOKUP(B75&amp;E75,'FEB - VISIT DATA'!A:O,10,FALSE)</f>
        <v>#N/A</v>
      </c>
      <c r="K75" s="66"/>
      <c r="L75" s="66"/>
      <c r="M75" s="66"/>
      <c r="N75" s="66"/>
      <c r="O75" s="58" t="str">
        <f t="shared" si="1"/>
        <v>X</v>
      </c>
      <c r="P75" s="59" t="str">
        <f t="shared" si="2"/>
        <v>#N/A</v>
      </c>
      <c r="Q75" s="67" t="str">
        <f t="shared" si="3"/>
        <v>#N/A</v>
      </c>
      <c r="R75" s="68" t="str">
        <f t="shared" si="4"/>
        <v>#N/A</v>
      </c>
      <c r="S75" s="62" t="str">
        <f t="shared" si="5"/>
        <v>#N/A</v>
      </c>
      <c r="T75" s="62" t="str">
        <f t="shared" si="6"/>
        <v>#N/A</v>
      </c>
      <c r="U75" s="63">
        <f t="shared" si="7"/>
        <v>0</v>
      </c>
      <c r="V75" s="69" t="str">
        <f>ifs($N75="",VLOOKUP($B75&amp;$E75,'FEB - VISIT DATA'!$A$2:$J100,7,FALSE), $N75="SWAB","OUTSA-RW",$N75="SWQU","OUTSA-SaQu", AND($L75="X",$M75="X",$N75="QUEST"),"OUT-UAQPre",$N75="QUEST","OUT-UAQ", $N75="Walk in","ColUATele")</f>
        <v>#N/A</v>
      </c>
      <c r="W75" s="70" t="str">
        <f t="shared" si="8"/>
        <v>#N/A</v>
      </c>
      <c r="X75" s="64" t="str">
        <f t="shared" si="9"/>
        <v/>
      </c>
      <c r="Y75" s="64" t="str">
        <f t="shared" si="10"/>
        <v/>
      </c>
      <c r="Z75" s="66" t="str">
        <f t="shared" si="11"/>
        <v> </v>
      </c>
      <c r="AA75" s="71"/>
    </row>
    <row r="76" ht="15.75" customHeight="1">
      <c r="A76" s="56" t="str">
        <f>IFS($B76=FALSE,"",$B76,VLOOKUP($B76,'PATIENT DATA (072721)'!A:C, 2, 0))</f>
        <v/>
      </c>
      <c r="B76" s="57"/>
      <c r="C76" s="73" t="str">
        <f>IF(COUNTIF('PATIENT DATA (072721)'!A:A, B76)=0, "X","✓")</f>
        <v>X</v>
      </c>
      <c r="D76" s="59" t="str">
        <f>IFS($B76=FALSE,"",$B76,VLOOKUP($B76,'PATIENT DATA (072721)'!A:C, 3, 0))</f>
        <v/>
      </c>
      <c r="E76" s="60"/>
      <c r="F76" s="61" t="str">
        <f>ifs($B76="","",$B76, VLOOKUP($B76&amp;$E76, 'FEB - VISIT DATA'!A:O,3,0))</f>
        <v/>
      </c>
      <c r="G76" s="74"/>
      <c r="H76" s="63" t="str">
        <f>ifs($B76="","",$B76, VLOOKUP($B76&amp;$E76, 'FEB - VISIT DATA'!$A:$O,13,0))</f>
        <v/>
      </c>
      <c r="I76" s="89" t="str">
        <f>VLOOKUP($B76&amp;$E76,'FEB - VISIT DATA'!A:J, 9, FALSE)</f>
        <v>#N/A</v>
      </c>
      <c r="J76" s="65" t="str">
        <f>VLOOKUP(B76&amp;E76,'FEB - VISIT DATA'!A:O,10,FALSE)</f>
        <v>#N/A</v>
      </c>
      <c r="K76" s="66"/>
      <c r="L76" s="66"/>
      <c r="M76" s="66"/>
      <c r="N76" s="66"/>
      <c r="O76" s="58" t="str">
        <f t="shared" si="1"/>
        <v>X</v>
      </c>
      <c r="P76" s="59" t="str">
        <f t="shared" si="2"/>
        <v>#N/A</v>
      </c>
      <c r="Q76" s="67" t="str">
        <f t="shared" si="3"/>
        <v>#N/A</v>
      </c>
      <c r="R76" s="68" t="str">
        <f t="shared" si="4"/>
        <v>#N/A</v>
      </c>
      <c r="S76" s="62" t="str">
        <f t="shared" si="5"/>
        <v>#N/A</v>
      </c>
      <c r="T76" s="62" t="str">
        <f t="shared" si="6"/>
        <v>#N/A</v>
      </c>
      <c r="U76" s="63">
        <f t="shared" si="7"/>
        <v>0</v>
      </c>
      <c r="V76" s="69" t="str">
        <f>ifs($N76="",VLOOKUP($B76&amp;$E76,'FEB - VISIT DATA'!$A$2:$J100,7,FALSE), $N76="SWAB","OUTSA-RW",$N76="SWQU","OUTSA-SaQu", AND($L76="X",$M76="X",$N76="QUEST"),"OUT-UAQPre",$N76="QUEST","OUT-UAQ", $N76="Walk in","ColUATele")</f>
        <v>#N/A</v>
      </c>
      <c r="W76" s="70" t="str">
        <f t="shared" si="8"/>
        <v>#N/A</v>
      </c>
      <c r="X76" s="64" t="str">
        <f t="shared" si="9"/>
        <v/>
      </c>
      <c r="Y76" s="64" t="str">
        <f t="shared" si="10"/>
        <v/>
      </c>
      <c r="Z76" s="66" t="str">
        <f t="shared" si="11"/>
        <v> </v>
      </c>
      <c r="AA76" s="71"/>
    </row>
    <row r="77" ht="15.75" customHeight="1">
      <c r="A77" s="56" t="str">
        <f>IFS($B77=FALSE,"",$B77,VLOOKUP($B77,'PATIENT DATA (072721)'!A:C, 2, 0))</f>
        <v/>
      </c>
      <c r="B77" s="57"/>
      <c r="C77" s="73" t="str">
        <f>IF(COUNTIF('PATIENT DATA (072721)'!A:A, B77)=0, "X","✓")</f>
        <v>X</v>
      </c>
      <c r="D77" s="59" t="str">
        <f>IFS($B77=FALSE,"",$B77,VLOOKUP($B77,'PATIENT DATA (072721)'!A:C, 3, 0))</f>
        <v/>
      </c>
      <c r="E77" s="60"/>
      <c r="F77" s="61" t="str">
        <f>ifs($B77="","",$B77, VLOOKUP($B77&amp;$E77, 'FEB - VISIT DATA'!A:O,3,0))</f>
        <v/>
      </c>
      <c r="G77" s="74"/>
      <c r="H77" s="63" t="str">
        <f>ifs($B77="","",$B77, VLOOKUP($B77&amp;$E77, 'FEB - VISIT DATA'!$A:$O,13,0))</f>
        <v/>
      </c>
      <c r="I77" s="89" t="str">
        <f>VLOOKUP($B77&amp;$E77,'FEB - VISIT DATA'!A:J, 9, FALSE)</f>
        <v>#N/A</v>
      </c>
      <c r="J77" s="65" t="str">
        <f>VLOOKUP(B77&amp;E77,'FEB - VISIT DATA'!A:O,10,FALSE)</f>
        <v>#N/A</v>
      </c>
      <c r="K77" s="66"/>
      <c r="L77" s="66"/>
      <c r="M77" s="66"/>
      <c r="N77" s="66"/>
      <c r="O77" s="58" t="str">
        <f t="shared" si="1"/>
        <v>X</v>
      </c>
      <c r="P77" s="59" t="str">
        <f t="shared" si="2"/>
        <v>#N/A</v>
      </c>
      <c r="Q77" s="67" t="str">
        <f t="shared" si="3"/>
        <v>#N/A</v>
      </c>
      <c r="R77" s="68" t="str">
        <f t="shared" si="4"/>
        <v>#N/A</v>
      </c>
      <c r="S77" s="62" t="str">
        <f t="shared" si="5"/>
        <v>#N/A</v>
      </c>
      <c r="T77" s="62" t="str">
        <f t="shared" si="6"/>
        <v>#N/A</v>
      </c>
      <c r="U77" s="63">
        <f t="shared" si="7"/>
        <v>0</v>
      </c>
      <c r="V77" s="69" t="str">
        <f>ifs($N77="",VLOOKUP($B77&amp;$E77,'FEB - VISIT DATA'!$A$2:$J100,7,FALSE), $N77="SWAB","OUTSA-RW",$N77="SWQU","OUTSA-SaQu", AND($L77="X",$M77="X",$N77="QUEST"),"OUT-UAQPre",$N77="QUEST","OUT-UAQ", $N77="Walk in","ColUATele")</f>
        <v>#N/A</v>
      </c>
      <c r="W77" s="70" t="str">
        <f t="shared" si="8"/>
        <v>#N/A</v>
      </c>
      <c r="X77" s="64" t="str">
        <f t="shared" si="9"/>
        <v/>
      </c>
      <c r="Y77" s="64" t="str">
        <f t="shared" si="10"/>
        <v/>
      </c>
      <c r="Z77" s="66" t="str">
        <f t="shared" si="11"/>
        <v> </v>
      </c>
      <c r="AA77" s="71"/>
    </row>
    <row r="78" ht="15.75" customHeight="1">
      <c r="A78" s="56" t="str">
        <f>IFS($B78=FALSE,"",$B78,VLOOKUP($B78,'PATIENT DATA (072721)'!A:C, 2, 0))</f>
        <v/>
      </c>
      <c r="B78" s="57"/>
      <c r="C78" s="73" t="str">
        <f>IF(COUNTIF('PATIENT DATA (072721)'!A:A, B78)=0, "X","✓")</f>
        <v>X</v>
      </c>
      <c r="D78" s="59" t="str">
        <f>IFS($B78=FALSE,"",$B78,VLOOKUP($B78,'PATIENT DATA (072721)'!A:C, 3, 0))</f>
        <v/>
      </c>
      <c r="E78" s="60"/>
      <c r="F78" s="61" t="str">
        <f>ifs($B78="","",$B78, VLOOKUP($B78&amp;$E78, 'FEB - VISIT DATA'!A:O,3,0))</f>
        <v/>
      </c>
      <c r="G78" s="74"/>
      <c r="H78" s="63" t="str">
        <f>ifs($B78="","",$B78, VLOOKUP($B78&amp;$E78, 'FEB - VISIT DATA'!$A:$O,13,0))</f>
        <v/>
      </c>
      <c r="I78" s="89" t="str">
        <f>VLOOKUP($B78&amp;$E78,'FEB - VISIT DATA'!A:J, 9, FALSE)</f>
        <v>#N/A</v>
      </c>
      <c r="J78" s="65" t="str">
        <f>VLOOKUP(B78&amp;E78,'FEB - VISIT DATA'!A:O,10,FALSE)</f>
        <v>#N/A</v>
      </c>
      <c r="K78" s="66"/>
      <c r="L78" s="66"/>
      <c r="M78" s="66"/>
      <c r="N78" s="66"/>
      <c r="O78" s="58" t="str">
        <f t="shared" si="1"/>
        <v>X</v>
      </c>
      <c r="P78" s="59" t="str">
        <f t="shared" si="2"/>
        <v>#N/A</v>
      </c>
      <c r="Q78" s="67" t="str">
        <f t="shared" si="3"/>
        <v>#N/A</v>
      </c>
      <c r="R78" s="68" t="str">
        <f t="shared" si="4"/>
        <v>#N/A</v>
      </c>
      <c r="S78" s="62" t="str">
        <f t="shared" si="5"/>
        <v>#N/A</v>
      </c>
      <c r="T78" s="62" t="str">
        <f t="shared" si="6"/>
        <v>#N/A</v>
      </c>
      <c r="U78" s="63">
        <f t="shared" si="7"/>
        <v>0</v>
      </c>
      <c r="V78" s="69" t="str">
        <f>ifs($N78="",VLOOKUP($B78&amp;$E78,'FEB - VISIT DATA'!$A$2:$J100,7,FALSE), $N78="SWAB","OUTSA-RW",$N78="SWQU","OUTSA-SaQu", AND($L78="X",$M78="X",$N78="QUEST"),"OUT-UAQPre",$N78="QUEST","OUT-UAQ", $N78="Walk in","ColUATele")</f>
        <v>#N/A</v>
      </c>
      <c r="W78" s="70" t="str">
        <f t="shared" si="8"/>
        <v>#N/A</v>
      </c>
      <c r="X78" s="64" t="str">
        <f t="shared" si="9"/>
        <v/>
      </c>
      <c r="Y78" s="64" t="str">
        <f t="shared" si="10"/>
        <v/>
      </c>
      <c r="Z78" s="66" t="str">
        <f t="shared" si="11"/>
        <v> </v>
      </c>
      <c r="AA78" s="71"/>
    </row>
    <row r="79" ht="15.75" customHeight="1">
      <c r="A79" s="56" t="str">
        <f>IFS($B79=FALSE,"",$B79,VLOOKUP($B79,'PATIENT DATA (072721)'!A:C, 2, 0))</f>
        <v/>
      </c>
      <c r="B79" s="57"/>
      <c r="C79" s="73" t="str">
        <f>IF(COUNTIF('PATIENT DATA (072721)'!A:A, B79)=0, "X","✓")</f>
        <v>X</v>
      </c>
      <c r="D79" s="59" t="str">
        <f>IFS($B79=FALSE,"",$B79,VLOOKUP($B79,'PATIENT DATA (072721)'!A:C, 3, 0))</f>
        <v/>
      </c>
      <c r="E79" s="60"/>
      <c r="F79" s="61" t="str">
        <f>ifs($B79="","",$B79, VLOOKUP($B79&amp;$E79, 'FEB - VISIT DATA'!A:O,3,0))</f>
        <v/>
      </c>
      <c r="G79" s="74"/>
      <c r="H79" s="63" t="str">
        <f>ifs($B79="","",$B79, VLOOKUP($B79&amp;$E79, 'FEB - VISIT DATA'!$A:$O,13,0))</f>
        <v/>
      </c>
      <c r="I79" s="89" t="str">
        <f>VLOOKUP($B79&amp;$E79,'FEB - VISIT DATA'!A:J, 9, FALSE)</f>
        <v>#N/A</v>
      </c>
      <c r="J79" s="65" t="str">
        <f>VLOOKUP(B79&amp;E79,'FEB - VISIT DATA'!A:O,10,FALSE)</f>
        <v>#N/A</v>
      </c>
      <c r="K79" s="66"/>
      <c r="L79" s="66"/>
      <c r="M79" s="66"/>
      <c r="N79" s="66"/>
      <c r="O79" s="58" t="str">
        <f t="shared" si="1"/>
        <v>X</v>
      </c>
      <c r="P79" s="59" t="str">
        <f t="shared" si="2"/>
        <v>#N/A</v>
      </c>
      <c r="Q79" s="67" t="str">
        <f t="shared" si="3"/>
        <v>#N/A</v>
      </c>
      <c r="R79" s="68" t="str">
        <f t="shared" si="4"/>
        <v>#N/A</v>
      </c>
      <c r="S79" s="62" t="str">
        <f t="shared" si="5"/>
        <v>#N/A</v>
      </c>
      <c r="T79" s="62" t="str">
        <f t="shared" si="6"/>
        <v>#N/A</v>
      </c>
      <c r="U79" s="63">
        <f t="shared" si="7"/>
        <v>0</v>
      </c>
      <c r="V79" s="69" t="str">
        <f>ifs($N79="",VLOOKUP($B79&amp;$E79,'FEB - VISIT DATA'!$A$2:$J100,7,FALSE), $N79="SWAB","OUTSA-RW",$N79="SWQU","OUTSA-SaQu", AND($L79="X",$M79="X",$N79="QUEST"),"OUT-UAQPre",$N79="QUEST","OUT-UAQ", $N79="Walk in","ColUATele")</f>
        <v>#N/A</v>
      </c>
      <c r="W79" s="70" t="str">
        <f t="shared" si="8"/>
        <v>#N/A</v>
      </c>
      <c r="X79" s="64" t="str">
        <f t="shared" si="9"/>
        <v/>
      </c>
      <c r="Y79" s="64" t="str">
        <f t="shared" si="10"/>
        <v/>
      </c>
      <c r="Z79" s="66" t="str">
        <f t="shared" si="11"/>
        <v> </v>
      </c>
      <c r="AA79" s="71"/>
    </row>
    <row r="80" ht="15.75" customHeight="1">
      <c r="A80" s="56" t="str">
        <f>IFS($B80=FALSE,"",$B80,VLOOKUP($B80,'PATIENT DATA (072721)'!A:C, 2, 0))</f>
        <v/>
      </c>
      <c r="B80" s="57"/>
      <c r="C80" s="73" t="str">
        <f>IF(COUNTIF('PATIENT DATA (072721)'!A:A, B80)=0, "X","✓")</f>
        <v>X</v>
      </c>
      <c r="D80" s="59" t="str">
        <f>IFS($B80=FALSE,"",$B80,VLOOKUP($B80,'PATIENT DATA (072721)'!A:C, 3, 0))</f>
        <v/>
      </c>
      <c r="E80" s="60"/>
      <c r="F80" s="61" t="str">
        <f>ifs($B80="","",$B80, VLOOKUP($B80&amp;$E80, 'FEB - VISIT DATA'!A:O,3,0))</f>
        <v/>
      </c>
      <c r="G80" s="74"/>
      <c r="H80" s="63" t="str">
        <f>ifs($B80="","",$B80, VLOOKUP($B80&amp;$E80, 'FEB - VISIT DATA'!$A:$O,13,0))</f>
        <v/>
      </c>
      <c r="I80" s="89" t="str">
        <f>VLOOKUP($B80&amp;$E80,'FEB - VISIT DATA'!A:J, 9, FALSE)</f>
        <v>#N/A</v>
      </c>
      <c r="J80" s="65" t="str">
        <f>VLOOKUP(B80&amp;E80,'FEB - VISIT DATA'!A:O,10,FALSE)</f>
        <v>#N/A</v>
      </c>
      <c r="K80" s="66"/>
      <c r="L80" s="66"/>
      <c r="M80" s="66"/>
      <c r="N80" s="66"/>
      <c r="O80" s="58" t="str">
        <f t="shared" si="1"/>
        <v>X</v>
      </c>
      <c r="P80" s="59" t="str">
        <f t="shared" si="2"/>
        <v>#N/A</v>
      </c>
      <c r="Q80" s="67" t="str">
        <f t="shared" si="3"/>
        <v>#N/A</v>
      </c>
      <c r="R80" s="68" t="str">
        <f t="shared" si="4"/>
        <v>#N/A</v>
      </c>
      <c r="S80" s="62" t="str">
        <f t="shared" si="5"/>
        <v>#N/A</v>
      </c>
      <c r="T80" s="62" t="str">
        <f t="shared" si="6"/>
        <v>#N/A</v>
      </c>
      <c r="U80" s="63">
        <f t="shared" si="7"/>
        <v>0</v>
      </c>
      <c r="V80" s="69" t="str">
        <f>ifs($N80="",VLOOKUP($B80&amp;$E80,'FEB - VISIT DATA'!$A$2:$J100,7,FALSE), $N80="SWAB","OUTSA-RW",$N80="SWQU","OUTSA-SaQu", AND($L80="X",$M80="X",$N80="QUEST"),"OUT-UAQPre",$N80="QUEST","OUT-UAQ", $N80="Walk in","ColUATele")</f>
        <v>#N/A</v>
      </c>
      <c r="W80" s="70" t="str">
        <f t="shared" si="8"/>
        <v>#N/A</v>
      </c>
      <c r="X80" s="64" t="str">
        <f t="shared" si="9"/>
        <v/>
      </c>
      <c r="Y80" s="64" t="str">
        <f t="shared" si="10"/>
        <v/>
      </c>
      <c r="Z80" s="66" t="str">
        <f t="shared" si="11"/>
        <v> </v>
      </c>
      <c r="AA80" s="71"/>
    </row>
    <row r="81" ht="15.75" customHeight="1">
      <c r="A81" s="56" t="str">
        <f>IFS($B81=FALSE,"",$B81,VLOOKUP($B81,'PATIENT DATA (072721)'!A:C, 2, 0))</f>
        <v/>
      </c>
      <c r="B81" s="57"/>
      <c r="C81" s="73" t="str">
        <f>IF(COUNTIF('PATIENT DATA (072721)'!A:A, B81)=0, "X","✓")</f>
        <v>X</v>
      </c>
      <c r="D81" s="59" t="str">
        <f>IFS($B81=FALSE,"",$B81,VLOOKUP($B81,'PATIENT DATA (072721)'!A:C, 3, 0))</f>
        <v/>
      </c>
      <c r="E81" s="60"/>
      <c r="F81" s="61" t="str">
        <f>ifs($B81="","",$B81, VLOOKUP($B81&amp;$E81, 'FEB - VISIT DATA'!A:O,3,0))</f>
        <v/>
      </c>
      <c r="G81" s="74"/>
      <c r="H81" s="63" t="str">
        <f>ifs($B81="","",$B81, VLOOKUP($B81&amp;$E81, 'FEB - VISIT DATA'!$A:$O,13,0))</f>
        <v/>
      </c>
      <c r="I81" s="89" t="str">
        <f>VLOOKUP($B81&amp;$E81,'FEB - VISIT DATA'!A:J, 9, FALSE)</f>
        <v>#N/A</v>
      </c>
      <c r="J81" s="65" t="str">
        <f>VLOOKUP(B81&amp;E81,'FEB - VISIT DATA'!A:O,10,FALSE)</f>
        <v>#N/A</v>
      </c>
      <c r="K81" s="66"/>
      <c r="L81" s="66"/>
      <c r="M81" s="66"/>
      <c r="N81" s="66"/>
      <c r="O81" s="58" t="str">
        <f t="shared" si="1"/>
        <v>X</v>
      </c>
      <c r="P81" s="59" t="str">
        <f t="shared" si="2"/>
        <v>#N/A</v>
      </c>
      <c r="Q81" s="67" t="str">
        <f t="shared" si="3"/>
        <v>#N/A</v>
      </c>
      <c r="R81" s="68" t="str">
        <f t="shared" si="4"/>
        <v>#N/A</v>
      </c>
      <c r="S81" s="62" t="str">
        <f t="shared" si="5"/>
        <v>#N/A</v>
      </c>
      <c r="T81" s="62" t="str">
        <f t="shared" si="6"/>
        <v>#N/A</v>
      </c>
      <c r="U81" s="63">
        <f t="shared" si="7"/>
        <v>0</v>
      </c>
      <c r="V81" s="69" t="str">
        <f>ifs($N81="",VLOOKUP($B81&amp;$E81,'FEB - VISIT DATA'!$A$2:$J100,7,FALSE), $N81="SWAB","OUTSA-RW",$N81="SWQU","OUTSA-SaQu", AND($L81="X",$M81="X",$N81="QUEST"),"OUT-UAQPre",$N81="QUEST","OUT-UAQ", $N81="Walk in","ColUATele")</f>
        <v>#N/A</v>
      </c>
      <c r="W81" s="70" t="str">
        <f t="shared" si="8"/>
        <v>#N/A</v>
      </c>
      <c r="X81" s="64" t="str">
        <f t="shared" si="9"/>
        <v/>
      </c>
      <c r="Y81" s="64" t="str">
        <f t="shared" si="10"/>
        <v/>
      </c>
      <c r="Z81" s="66" t="str">
        <f t="shared" si="11"/>
        <v> </v>
      </c>
      <c r="AA81" s="71"/>
    </row>
    <row r="82" ht="15.75" customHeight="1">
      <c r="A82" s="56" t="str">
        <f>IFS($B82=FALSE,"",$B82,VLOOKUP($B82,'PATIENT DATA (072721)'!A:C, 2, 0))</f>
        <v/>
      </c>
      <c r="B82" s="57"/>
      <c r="C82" s="73" t="str">
        <f>IF(COUNTIF('PATIENT DATA (072721)'!A:A, B82)=0, "X","✓")</f>
        <v>X</v>
      </c>
      <c r="D82" s="59" t="str">
        <f>IFS($B82=FALSE,"",$B82,VLOOKUP($B82,'PATIENT DATA (072721)'!A:C, 3, 0))</f>
        <v/>
      </c>
      <c r="E82" s="60"/>
      <c r="F82" s="61" t="str">
        <f>ifs($B82="","",$B82, VLOOKUP($B82&amp;$E82, 'FEB - VISIT DATA'!A:O,3,0))</f>
        <v/>
      </c>
      <c r="G82" s="74"/>
      <c r="H82" s="63" t="str">
        <f>ifs($B82="","",$B82, VLOOKUP($B82&amp;$E82, 'FEB - VISIT DATA'!$A:$O,13,0))</f>
        <v/>
      </c>
      <c r="I82" s="89" t="str">
        <f>VLOOKUP($B82&amp;$E82,'FEB - VISIT DATA'!A:J, 9, FALSE)</f>
        <v>#N/A</v>
      </c>
      <c r="J82" s="65" t="str">
        <f>VLOOKUP(B82&amp;E82,'FEB - VISIT DATA'!A:O,10,FALSE)</f>
        <v>#N/A</v>
      </c>
      <c r="K82" s="66"/>
      <c r="L82" s="66"/>
      <c r="M82" s="66"/>
      <c r="N82" s="66"/>
      <c r="O82" s="58" t="str">
        <f t="shared" si="1"/>
        <v>X</v>
      </c>
      <c r="P82" s="59" t="str">
        <f t="shared" si="2"/>
        <v>#N/A</v>
      </c>
      <c r="Q82" s="67" t="str">
        <f t="shared" si="3"/>
        <v>#N/A</v>
      </c>
      <c r="R82" s="68" t="str">
        <f t="shared" si="4"/>
        <v>#N/A</v>
      </c>
      <c r="S82" s="62" t="str">
        <f t="shared" si="5"/>
        <v>#N/A</v>
      </c>
      <c r="T82" s="62" t="str">
        <f t="shared" si="6"/>
        <v>#N/A</v>
      </c>
      <c r="U82" s="63">
        <f t="shared" si="7"/>
        <v>0</v>
      </c>
      <c r="V82" s="69" t="str">
        <f>ifs($N82="",VLOOKUP($B82&amp;$E82,'FEB - VISIT DATA'!$A$2:$J100,7,FALSE), $N82="SWAB","OUTSA-RW",$N82="SWQU","OUTSA-SaQu", AND($L82="X",$M82="X",$N82="QUEST"),"OUT-UAQPre",$N82="QUEST","OUT-UAQ", $N82="Walk in","ColUATele")</f>
        <v>#N/A</v>
      </c>
      <c r="W82" s="70" t="str">
        <f t="shared" si="8"/>
        <v>#N/A</v>
      </c>
      <c r="X82" s="64" t="str">
        <f t="shared" si="9"/>
        <v/>
      </c>
      <c r="Y82" s="64" t="str">
        <f t="shared" si="10"/>
        <v/>
      </c>
      <c r="Z82" s="66" t="str">
        <f t="shared" si="11"/>
        <v> </v>
      </c>
      <c r="AA82" s="71"/>
    </row>
    <row r="83" ht="15.75" customHeight="1">
      <c r="A83" s="56" t="str">
        <f>IFS($B83=FALSE,"",$B83,VLOOKUP($B83,'PATIENT DATA (072721)'!A:C, 2, 0))</f>
        <v/>
      </c>
      <c r="B83" s="57"/>
      <c r="C83" s="73" t="str">
        <f>IF(COUNTIF('PATIENT DATA (072721)'!A:A, B83)=0, "X","✓")</f>
        <v>X</v>
      </c>
      <c r="D83" s="59" t="str">
        <f>IFS($B83=FALSE,"",$B83,VLOOKUP($B83,'PATIENT DATA (072721)'!A:C, 3, 0))</f>
        <v/>
      </c>
      <c r="E83" s="60"/>
      <c r="F83" s="61" t="str">
        <f>ifs($B83="","",$B83, VLOOKUP($B83&amp;$E83, 'FEB - VISIT DATA'!A:O,3,0))</f>
        <v/>
      </c>
      <c r="G83" s="74"/>
      <c r="H83" s="63" t="str">
        <f>ifs($B83="","",$B83, VLOOKUP($B83&amp;$E83, 'FEB - VISIT DATA'!$A:$O,13,0))</f>
        <v/>
      </c>
      <c r="I83" s="89" t="str">
        <f>VLOOKUP($B83&amp;$E83,'FEB - VISIT DATA'!A:J, 9, FALSE)</f>
        <v>#N/A</v>
      </c>
      <c r="J83" s="65" t="str">
        <f>VLOOKUP(B83&amp;E83,'FEB - VISIT DATA'!A:O,10,FALSE)</f>
        <v>#N/A</v>
      </c>
      <c r="K83" s="66"/>
      <c r="L83" s="66"/>
      <c r="M83" s="66"/>
      <c r="N83" s="66"/>
      <c r="O83" s="58" t="str">
        <f t="shared" si="1"/>
        <v>X</v>
      </c>
      <c r="P83" s="59" t="str">
        <f t="shared" si="2"/>
        <v>#N/A</v>
      </c>
      <c r="Q83" s="67" t="str">
        <f t="shared" si="3"/>
        <v>#N/A</v>
      </c>
      <c r="R83" s="68" t="str">
        <f t="shared" si="4"/>
        <v>#N/A</v>
      </c>
      <c r="S83" s="62" t="str">
        <f t="shared" si="5"/>
        <v>#N/A</v>
      </c>
      <c r="T83" s="62" t="str">
        <f t="shared" si="6"/>
        <v>#N/A</v>
      </c>
      <c r="U83" s="63">
        <f t="shared" si="7"/>
        <v>0</v>
      </c>
      <c r="V83" s="69" t="str">
        <f>ifs($N83="",VLOOKUP($B83&amp;$E83,'FEB - VISIT DATA'!$A$2:$J100,7,FALSE), $N83="SWAB","OUTSA-RW",$N83="SWQU","OUTSA-SaQu", AND($L83="X",$M83="X",$N83="QUEST"),"OUT-UAQPre",$N83="QUEST","OUT-UAQ", $N83="Walk in","ColUATele")</f>
        <v>#N/A</v>
      </c>
      <c r="W83" s="70" t="str">
        <f t="shared" si="8"/>
        <v>#N/A</v>
      </c>
      <c r="X83" s="64" t="str">
        <f t="shared" si="9"/>
        <v/>
      </c>
      <c r="Y83" s="64" t="str">
        <f t="shared" si="10"/>
        <v/>
      </c>
      <c r="Z83" s="66" t="str">
        <f t="shared" si="11"/>
        <v> </v>
      </c>
      <c r="AA83" s="71"/>
    </row>
    <row r="84" ht="15.75" customHeight="1">
      <c r="A84" s="56" t="str">
        <f>IFS($B84=FALSE,"",$B84,VLOOKUP($B84,'PATIENT DATA (072721)'!A:C, 2, 0))</f>
        <v/>
      </c>
      <c r="B84" s="57"/>
      <c r="C84" s="73" t="str">
        <f>IF(COUNTIF('PATIENT DATA (072721)'!A:A, B84)=0, "X","✓")</f>
        <v>X</v>
      </c>
      <c r="D84" s="59" t="str">
        <f>IFS($B84=FALSE,"",$B84,VLOOKUP($B84,'PATIENT DATA (072721)'!A:C, 3, 0))</f>
        <v/>
      </c>
      <c r="E84" s="60"/>
      <c r="F84" s="61" t="str">
        <f>ifs($B84="","",$B84, VLOOKUP($B84&amp;$E84, 'FEB - VISIT DATA'!A:O,3,0))</f>
        <v/>
      </c>
      <c r="G84" s="74"/>
      <c r="H84" s="63" t="str">
        <f>ifs($B84="","",$B84, VLOOKUP($B84&amp;$E84, 'FEB - VISIT DATA'!$A:$O,13,0))</f>
        <v/>
      </c>
      <c r="I84" s="89" t="str">
        <f>VLOOKUP($B84&amp;$E84,'FEB - VISIT DATA'!A:J, 9, FALSE)</f>
        <v>#N/A</v>
      </c>
      <c r="J84" s="65" t="str">
        <f>VLOOKUP(B84&amp;E84,'FEB - VISIT DATA'!A:O,10,FALSE)</f>
        <v>#N/A</v>
      </c>
      <c r="K84" s="66"/>
      <c r="L84" s="66"/>
      <c r="M84" s="66"/>
      <c r="N84" s="66"/>
      <c r="O84" s="58" t="str">
        <f t="shared" si="1"/>
        <v>X</v>
      </c>
      <c r="P84" s="59" t="str">
        <f t="shared" si="2"/>
        <v>#N/A</v>
      </c>
      <c r="Q84" s="67" t="str">
        <f t="shared" si="3"/>
        <v>#N/A</v>
      </c>
      <c r="R84" s="68" t="str">
        <f t="shared" si="4"/>
        <v>#N/A</v>
      </c>
      <c r="S84" s="62" t="str">
        <f t="shared" si="5"/>
        <v>#N/A</v>
      </c>
      <c r="T84" s="62" t="str">
        <f t="shared" si="6"/>
        <v>#N/A</v>
      </c>
      <c r="U84" s="63">
        <f t="shared" si="7"/>
        <v>0</v>
      </c>
      <c r="V84" s="69" t="str">
        <f>ifs($N84="",VLOOKUP($B84&amp;$E84,'FEB - VISIT DATA'!$A$2:$J100,7,FALSE), $N84="SWAB","OUTSA-RW",$N84="SWQU","OUTSA-SaQu", AND($L84="X",$M84="X",$N84="QUEST"),"OUT-UAQPre",$N84="QUEST","OUT-UAQ", $N84="Walk in","ColUATele")</f>
        <v>#N/A</v>
      </c>
      <c r="W84" s="70" t="str">
        <f t="shared" si="8"/>
        <v>#N/A</v>
      </c>
      <c r="X84" s="64" t="str">
        <f t="shared" si="9"/>
        <v/>
      </c>
      <c r="Y84" s="64" t="str">
        <f t="shared" si="10"/>
        <v/>
      </c>
      <c r="Z84" s="66" t="str">
        <f t="shared" si="11"/>
        <v> </v>
      </c>
      <c r="AA84" s="71"/>
    </row>
    <row r="85" ht="15.75" customHeight="1">
      <c r="A85" s="56" t="str">
        <f>IFS($B85=FALSE,"",$B85,VLOOKUP($B85,'PATIENT DATA (072721)'!A:C, 2, 0))</f>
        <v/>
      </c>
      <c r="B85" s="57"/>
      <c r="C85" s="73" t="str">
        <f>IF(COUNTIF('PATIENT DATA (072721)'!A:A, B85)=0, "X","✓")</f>
        <v>X</v>
      </c>
      <c r="D85" s="59" t="str">
        <f>IFS($B85=FALSE,"",$B85,VLOOKUP($B85,'PATIENT DATA (072721)'!A:C, 3, 0))</f>
        <v/>
      </c>
      <c r="E85" s="60"/>
      <c r="F85" s="61" t="str">
        <f>ifs($B85="","",$B85, VLOOKUP($B85&amp;$E85, 'FEB - VISIT DATA'!A:O,3,0))</f>
        <v/>
      </c>
      <c r="G85" s="74"/>
      <c r="H85" s="63" t="str">
        <f>ifs($B85="","",$B85, VLOOKUP($B85&amp;$E85, 'FEB - VISIT DATA'!$A:$O,13,0))</f>
        <v/>
      </c>
      <c r="I85" s="89" t="str">
        <f>VLOOKUP($B85&amp;$E85,'FEB - VISIT DATA'!A:J, 9, FALSE)</f>
        <v>#N/A</v>
      </c>
      <c r="J85" s="65" t="str">
        <f>VLOOKUP(B85&amp;E85,'FEB - VISIT DATA'!A:O,10,FALSE)</f>
        <v>#N/A</v>
      </c>
      <c r="K85" s="66"/>
      <c r="L85" s="66"/>
      <c r="M85" s="66"/>
      <c r="N85" s="66"/>
      <c r="O85" s="58" t="str">
        <f t="shared" si="1"/>
        <v>X</v>
      </c>
      <c r="P85" s="59" t="str">
        <f t="shared" si="2"/>
        <v>#N/A</v>
      </c>
      <c r="Q85" s="67" t="str">
        <f t="shared" si="3"/>
        <v>#N/A</v>
      </c>
      <c r="R85" s="68" t="str">
        <f t="shared" si="4"/>
        <v>#N/A</v>
      </c>
      <c r="S85" s="62" t="str">
        <f t="shared" si="5"/>
        <v>#N/A</v>
      </c>
      <c r="T85" s="62" t="str">
        <f t="shared" si="6"/>
        <v>#N/A</v>
      </c>
      <c r="U85" s="63">
        <f t="shared" si="7"/>
        <v>0</v>
      </c>
      <c r="V85" s="69" t="str">
        <f>ifs($N85="",VLOOKUP($B85&amp;$E85,'FEB - VISIT DATA'!$A$2:$J100,7,FALSE), $N85="SWAB","OUTSA-RW",$N85="SWQU","OUTSA-SaQu", AND($L85="X",$M85="X",$N85="QUEST"),"OUT-UAQPre",$N85="QUEST","OUT-UAQ", $N85="Walk in","ColUATele")</f>
        <v>#N/A</v>
      </c>
      <c r="W85" s="70" t="str">
        <f t="shared" si="8"/>
        <v>#N/A</v>
      </c>
      <c r="X85" s="64" t="str">
        <f t="shared" si="9"/>
        <v/>
      </c>
      <c r="Y85" s="64" t="str">
        <f t="shared" si="10"/>
        <v/>
      </c>
      <c r="Z85" s="66" t="str">
        <f t="shared" si="11"/>
        <v> </v>
      </c>
      <c r="AA85" s="71"/>
    </row>
    <row r="86" ht="15.75" customHeight="1">
      <c r="A86" s="56" t="str">
        <f>IFS($B86=FALSE,"",$B86,VLOOKUP($B86,'PATIENT DATA (072721)'!A:C, 2, 0))</f>
        <v/>
      </c>
      <c r="B86" s="57"/>
      <c r="C86" s="73" t="str">
        <f>IF(COUNTIF('PATIENT DATA (072721)'!A:A, B86)=0, "X","✓")</f>
        <v>X</v>
      </c>
      <c r="D86" s="59" t="str">
        <f>IFS($B86=FALSE,"",$B86,VLOOKUP($B86,'PATIENT DATA (072721)'!A:C, 3, 0))</f>
        <v/>
      </c>
      <c r="E86" s="60"/>
      <c r="F86" s="61" t="str">
        <f>ifs($B86="","",$B86, VLOOKUP($B86&amp;$E86, 'FEB - VISIT DATA'!A:O,3,0))</f>
        <v/>
      </c>
      <c r="G86" s="74"/>
      <c r="H86" s="63" t="str">
        <f>ifs($B86="","",$B86, VLOOKUP($B86&amp;$E86, 'FEB - VISIT DATA'!$A:$O,13,0))</f>
        <v/>
      </c>
      <c r="I86" s="89" t="str">
        <f>VLOOKUP($B86&amp;$E86,'FEB - VISIT DATA'!A:J, 9, FALSE)</f>
        <v>#N/A</v>
      </c>
      <c r="J86" s="65" t="str">
        <f>VLOOKUP(B86&amp;E86,'FEB - VISIT DATA'!A:O,10,FALSE)</f>
        <v>#N/A</v>
      </c>
      <c r="K86" s="66"/>
      <c r="L86" s="66"/>
      <c r="M86" s="66"/>
      <c r="N86" s="66"/>
      <c r="O86" s="58" t="str">
        <f t="shared" si="1"/>
        <v>X</v>
      </c>
      <c r="P86" s="59" t="str">
        <f t="shared" si="2"/>
        <v>#N/A</v>
      </c>
      <c r="Q86" s="67" t="str">
        <f t="shared" si="3"/>
        <v>#N/A</v>
      </c>
      <c r="R86" s="68" t="str">
        <f t="shared" si="4"/>
        <v>#N/A</v>
      </c>
      <c r="S86" s="62" t="str">
        <f t="shared" si="5"/>
        <v>#N/A</v>
      </c>
      <c r="T86" s="62" t="str">
        <f t="shared" si="6"/>
        <v>#N/A</v>
      </c>
      <c r="U86" s="63">
        <f t="shared" si="7"/>
        <v>0</v>
      </c>
      <c r="V86" s="69" t="str">
        <f>ifs($N86="",VLOOKUP($B86&amp;$E86,'FEB - VISIT DATA'!$A$2:$J100,7,FALSE), $N86="SWAB","OUTSA-RW",$N86="SWQU","OUTSA-SaQu", AND($L86="X",$M86="X",$N86="QUEST"),"OUT-UAQPre",$N86="QUEST","OUT-UAQ", $N86="Walk in","ColUATele")</f>
        <v>#N/A</v>
      </c>
      <c r="W86" s="70" t="str">
        <f t="shared" si="8"/>
        <v>#N/A</v>
      </c>
      <c r="X86" s="64" t="str">
        <f t="shared" si="9"/>
        <v/>
      </c>
      <c r="Y86" s="64" t="str">
        <f t="shared" si="10"/>
        <v/>
      </c>
      <c r="Z86" s="66" t="str">
        <f t="shared" si="11"/>
        <v> </v>
      </c>
      <c r="AA86" s="71"/>
    </row>
    <row r="87" ht="15.75" customHeight="1">
      <c r="A87" s="56" t="str">
        <f>IFS($B87=FALSE,"",$B87,VLOOKUP($B87,'PATIENT DATA (072721)'!A:C, 2, 0))</f>
        <v/>
      </c>
      <c r="B87" s="57"/>
      <c r="C87" s="73" t="str">
        <f>IF(COUNTIF('PATIENT DATA (072721)'!A:A, B87)=0, "X","✓")</f>
        <v>X</v>
      </c>
      <c r="D87" s="59" t="str">
        <f>IFS($B87=FALSE,"",$B87,VLOOKUP($B87,'PATIENT DATA (072721)'!A:C, 3, 0))</f>
        <v/>
      </c>
      <c r="E87" s="60"/>
      <c r="F87" s="61" t="str">
        <f>ifs($B87="","",$B87, VLOOKUP($B87&amp;$E87, 'FEB - VISIT DATA'!A:O,3,0))</f>
        <v/>
      </c>
      <c r="G87" s="74"/>
      <c r="H87" s="63" t="str">
        <f>ifs($B87="","",$B87, VLOOKUP($B87&amp;$E87, 'FEB - VISIT DATA'!$A:$O,13,0))</f>
        <v/>
      </c>
      <c r="I87" s="89" t="str">
        <f>VLOOKUP($B87&amp;$E87,'FEB - VISIT DATA'!A:J, 9, FALSE)</f>
        <v>#N/A</v>
      </c>
      <c r="J87" s="65" t="str">
        <f>VLOOKUP(B87&amp;E87,'FEB - VISIT DATA'!A:O,10,FALSE)</f>
        <v>#N/A</v>
      </c>
      <c r="K87" s="66"/>
      <c r="L87" s="66"/>
      <c r="M87" s="66"/>
      <c r="N87" s="66"/>
      <c r="O87" s="58" t="str">
        <f t="shared" si="1"/>
        <v>X</v>
      </c>
      <c r="P87" s="59" t="str">
        <f t="shared" si="2"/>
        <v>#N/A</v>
      </c>
      <c r="Q87" s="67" t="str">
        <f t="shared" si="3"/>
        <v>#N/A</v>
      </c>
      <c r="R87" s="68" t="str">
        <f t="shared" si="4"/>
        <v>#N/A</v>
      </c>
      <c r="S87" s="62" t="str">
        <f t="shared" si="5"/>
        <v>#N/A</v>
      </c>
      <c r="T87" s="62" t="str">
        <f t="shared" si="6"/>
        <v>#N/A</v>
      </c>
      <c r="U87" s="63">
        <f t="shared" si="7"/>
        <v>0</v>
      </c>
      <c r="V87" s="69" t="str">
        <f>ifs($N87="",VLOOKUP($B87&amp;$E87,'FEB - VISIT DATA'!$A$2:$J100,7,FALSE), $N87="SWAB","OUTSA-RW",$N87="SWQU","OUTSA-SaQu", AND($L87="X",$M87="X",$N87="QUEST"),"OUT-UAQPre",$N87="QUEST","OUT-UAQ", $N87="Walk in","ColUATele")</f>
        <v>#N/A</v>
      </c>
      <c r="W87" s="70" t="str">
        <f t="shared" si="8"/>
        <v>#N/A</v>
      </c>
      <c r="X87" s="64" t="str">
        <f t="shared" si="9"/>
        <v/>
      </c>
      <c r="Y87" s="64" t="str">
        <f t="shared" si="10"/>
        <v/>
      </c>
      <c r="Z87" s="66" t="str">
        <f t="shared" si="11"/>
        <v> </v>
      </c>
      <c r="AA87" s="71"/>
    </row>
    <row r="88" ht="15.75" customHeight="1">
      <c r="A88" s="56" t="str">
        <f>IFS($B88=FALSE,"",$B88,VLOOKUP($B88,'PATIENT DATA (072721)'!A:C, 2, 0))</f>
        <v/>
      </c>
      <c r="B88" s="57"/>
      <c r="C88" s="73" t="str">
        <f>IF(COUNTIF('PATIENT DATA (072721)'!A:A, B88)=0, "X","✓")</f>
        <v>X</v>
      </c>
      <c r="D88" s="59" t="str">
        <f>IFS($B88=FALSE,"",$B88,VLOOKUP($B88,'PATIENT DATA (072721)'!A:C, 3, 0))</f>
        <v/>
      </c>
      <c r="E88" s="60"/>
      <c r="F88" s="61" t="str">
        <f>ifs($B88="","",$B88, VLOOKUP($B88&amp;$E88, 'FEB - VISIT DATA'!A:O,3,0))</f>
        <v/>
      </c>
      <c r="G88" s="74"/>
      <c r="H88" s="63" t="str">
        <f>ifs($B88="","",$B88, VLOOKUP($B88&amp;$E88, 'FEB - VISIT DATA'!$A:$O,13,0))</f>
        <v/>
      </c>
      <c r="I88" s="89" t="str">
        <f>VLOOKUP($B88&amp;$E88,'FEB - VISIT DATA'!A:J, 9, FALSE)</f>
        <v>#N/A</v>
      </c>
      <c r="J88" s="65" t="str">
        <f>VLOOKUP(B88&amp;E88,'FEB - VISIT DATA'!A:O,10,FALSE)</f>
        <v>#N/A</v>
      </c>
      <c r="K88" s="66"/>
      <c r="L88" s="66"/>
      <c r="M88" s="66"/>
      <c r="N88" s="66"/>
      <c r="O88" s="58" t="str">
        <f t="shared" si="1"/>
        <v>X</v>
      </c>
      <c r="P88" s="59" t="str">
        <f t="shared" si="2"/>
        <v>#N/A</v>
      </c>
      <c r="Q88" s="67" t="str">
        <f t="shared" si="3"/>
        <v>#N/A</v>
      </c>
      <c r="R88" s="68" t="str">
        <f t="shared" si="4"/>
        <v>#N/A</v>
      </c>
      <c r="S88" s="62" t="str">
        <f t="shared" si="5"/>
        <v>#N/A</v>
      </c>
      <c r="T88" s="62" t="str">
        <f t="shared" si="6"/>
        <v>#N/A</v>
      </c>
      <c r="U88" s="63">
        <f t="shared" si="7"/>
        <v>0</v>
      </c>
      <c r="V88" s="69" t="str">
        <f>ifs($N88="",VLOOKUP($B88&amp;$E88,'FEB - VISIT DATA'!$A$2:$J100,7,FALSE), $N88="SWAB","OUTSA-RW",$N88="SWQU","OUTSA-SaQu", AND($L88="X",$M88="X",$N88="QUEST"),"OUT-UAQPre",$N88="QUEST","OUT-UAQ", $N88="Walk in","ColUATele")</f>
        <v>#N/A</v>
      </c>
      <c r="W88" s="70" t="str">
        <f t="shared" si="8"/>
        <v>#N/A</v>
      </c>
      <c r="X88" s="64" t="str">
        <f t="shared" si="9"/>
        <v/>
      </c>
      <c r="Y88" s="64" t="str">
        <f t="shared" si="10"/>
        <v/>
      </c>
      <c r="Z88" s="66" t="str">
        <f t="shared" si="11"/>
        <v> </v>
      </c>
      <c r="AA88" s="71"/>
    </row>
    <row r="89" ht="15.75" customHeight="1">
      <c r="A89" s="56" t="str">
        <f>IFS($B89=FALSE,"",$B89,VLOOKUP($B89,'PATIENT DATA (072721)'!A:C, 2, 0))</f>
        <v/>
      </c>
      <c r="B89" s="57"/>
      <c r="C89" s="73" t="str">
        <f>IF(COUNTIF('PATIENT DATA (072721)'!A:A, B89)=0, "X","✓")</f>
        <v>X</v>
      </c>
      <c r="D89" s="59" t="str">
        <f>IFS($B89=FALSE,"",$B89,VLOOKUP($B89,'PATIENT DATA (072721)'!A:C, 3, 0))</f>
        <v/>
      </c>
      <c r="E89" s="60"/>
      <c r="F89" s="61" t="str">
        <f>ifs($B89="","",$B89, VLOOKUP($B89&amp;$E89, 'FEB - VISIT DATA'!A:O,3,0))</f>
        <v/>
      </c>
      <c r="G89" s="74"/>
      <c r="H89" s="63" t="str">
        <f>ifs($B89="","",$B89, VLOOKUP($B89&amp;$E89, 'FEB - VISIT DATA'!$A:$O,13,0))</f>
        <v/>
      </c>
      <c r="I89" s="89" t="str">
        <f>VLOOKUP($B89&amp;$E89,'FEB - VISIT DATA'!A:J, 9, FALSE)</f>
        <v>#N/A</v>
      </c>
      <c r="J89" s="65" t="str">
        <f>VLOOKUP(B89&amp;E89,'FEB - VISIT DATA'!A:O,10,FALSE)</f>
        <v>#N/A</v>
      </c>
      <c r="K89" s="66"/>
      <c r="L89" s="66"/>
      <c r="M89" s="66"/>
      <c r="N89" s="66"/>
      <c r="O89" s="58" t="str">
        <f t="shared" si="1"/>
        <v>X</v>
      </c>
      <c r="P89" s="59" t="str">
        <f t="shared" si="2"/>
        <v>#N/A</v>
      </c>
      <c r="Q89" s="67" t="str">
        <f t="shared" si="3"/>
        <v>#N/A</v>
      </c>
      <c r="R89" s="68" t="str">
        <f t="shared" si="4"/>
        <v>#N/A</v>
      </c>
      <c r="S89" s="62" t="str">
        <f t="shared" si="5"/>
        <v>#N/A</v>
      </c>
      <c r="T89" s="62" t="str">
        <f t="shared" si="6"/>
        <v>#N/A</v>
      </c>
      <c r="U89" s="63">
        <f t="shared" si="7"/>
        <v>0</v>
      </c>
      <c r="V89" s="69" t="str">
        <f>ifs($N89="",VLOOKUP($B89&amp;$E89,'FEB - VISIT DATA'!$A$2:$J100,7,FALSE), $N89="SWAB","OUTSA-RW",$N89="SWQU","OUTSA-SaQu", AND($L89="X",$M89="X",$N89="QUEST"),"OUT-UAQPre",$N89="QUEST","OUT-UAQ", $N89="Walk in","ColUATele")</f>
        <v>#N/A</v>
      </c>
      <c r="W89" s="70" t="str">
        <f t="shared" si="8"/>
        <v>#N/A</v>
      </c>
      <c r="X89" s="64" t="str">
        <f t="shared" si="9"/>
        <v/>
      </c>
      <c r="Y89" s="64" t="str">
        <f t="shared" si="10"/>
        <v/>
      </c>
      <c r="Z89" s="66" t="str">
        <f t="shared" si="11"/>
        <v> </v>
      </c>
      <c r="AA89" s="71"/>
    </row>
    <row r="90" ht="15.75" customHeight="1">
      <c r="A90" s="56" t="str">
        <f>IFS($B90=FALSE,"",$B90,VLOOKUP($B90,'PATIENT DATA (072721)'!A:C, 2, 0))</f>
        <v/>
      </c>
      <c r="B90" s="57"/>
      <c r="C90" s="73" t="str">
        <f>IF(COUNTIF('PATIENT DATA (072721)'!A:A, B90)=0, "X","✓")</f>
        <v>X</v>
      </c>
      <c r="D90" s="59" t="str">
        <f>IFS($B90=FALSE,"",$B90,VLOOKUP($B90,'PATIENT DATA (072721)'!A:C, 3, 0))</f>
        <v/>
      </c>
      <c r="E90" s="60"/>
      <c r="F90" s="61" t="str">
        <f>ifs($B90="","",$B90, VLOOKUP($B90&amp;$E90, 'FEB - VISIT DATA'!A:O,3,0))</f>
        <v/>
      </c>
      <c r="G90" s="74"/>
      <c r="H90" s="63" t="str">
        <f>ifs($B90="","",$B90, VLOOKUP($B90&amp;$E90, 'FEB - VISIT DATA'!$A:$O,13,0))</f>
        <v/>
      </c>
      <c r="I90" s="89" t="str">
        <f>VLOOKUP($B90&amp;$E90,'FEB - VISIT DATA'!A:J, 9, FALSE)</f>
        <v>#N/A</v>
      </c>
      <c r="J90" s="65" t="str">
        <f>VLOOKUP(B90&amp;E90,'FEB - VISIT DATA'!A:O,10,FALSE)</f>
        <v>#N/A</v>
      </c>
      <c r="K90" s="66"/>
      <c r="L90" s="66"/>
      <c r="M90" s="66"/>
      <c r="N90" s="66"/>
      <c r="O90" s="58" t="str">
        <f t="shared" si="1"/>
        <v>X</v>
      </c>
      <c r="P90" s="59" t="str">
        <f t="shared" si="2"/>
        <v>#N/A</v>
      </c>
      <c r="Q90" s="67" t="str">
        <f t="shared" si="3"/>
        <v>#N/A</v>
      </c>
      <c r="R90" s="68" t="str">
        <f t="shared" si="4"/>
        <v>#N/A</v>
      </c>
      <c r="S90" s="62" t="str">
        <f t="shared" si="5"/>
        <v>#N/A</v>
      </c>
      <c r="T90" s="62" t="str">
        <f t="shared" si="6"/>
        <v>#N/A</v>
      </c>
      <c r="U90" s="63">
        <f t="shared" si="7"/>
        <v>0</v>
      </c>
      <c r="V90" s="69" t="str">
        <f>ifs($N90="",VLOOKUP($B90&amp;$E90,'FEB - VISIT DATA'!$A$2:$J100,7,FALSE), $N90="SWAB","OUTSA-RW",$N90="SWQU","OUTSA-SaQu", AND($L90="X",$M90="X",$N90="QUEST"),"OUT-UAQPre",$N90="QUEST","OUT-UAQ", $N90="Walk in","ColUATele")</f>
        <v>#N/A</v>
      </c>
      <c r="W90" s="70" t="str">
        <f t="shared" si="8"/>
        <v>#N/A</v>
      </c>
      <c r="X90" s="64" t="str">
        <f t="shared" si="9"/>
        <v/>
      </c>
      <c r="Y90" s="64" t="str">
        <f t="shared" si="10"/>
        <v/>
      </c>
      <c r="Z90" s="66" t="str">
        <f t="shared" si="11"/>
        <v> </v>
      </c>
      <c r="AA90" s="71"/>
    </row>
    <row r="91" ht="15.75" customHeight="1">
      <c r="A91" s="56" t="str">
        <f>IFS($B91=FALSE,"",$B91,VLOOKUP($B91,'PATIENT DATA (072721)'!A:C, 2, 0))</f>
        <v/>
      </c>
      <c r="B91" s="57"/>
      <c r="C91" s="73" t="str">
        <f>IF(COUNTIF('PATIENT DATA (072721)'!A:A, B91)=0, "X","✓")</f>
        <v>X</v>
      </c>
      <c r="D91" s="59" t="str">
        <f>IFS($B91=FALSE,"",$B91,VLOOKUP($B91,'PATIENT DATA (072721)'!A:C, 3, 0))</f>
        <v/>
      </c>
      <c r="E91" s="60"/>
      <c r="F91" s="61" t="str">
        <f>ifs($B91="","",$B91, VLOOKUP($B91&amp;$E91, 'FEB - VISIT DATA'!A:O,3,0))</f>
        <v/>
      </c>
      <c r="G91" s="74"/>
      <c r="H91" s="63" t="str">
        <f>ifs($B91="","",$B91, VLOOKUP($B91&amp;$E91, 'FEB - VISIT DATA'!$A:$O,13,0))</f>
        <v/>
      </c>
      <c r="I91" s="89" t="str">
        <f>VLOOKUP($B91&amp;$E91,'FEB - VISIT DATA'!A:J, 9, FALSE)</f>
        <v>#N/A</v>
      </c>
      <c r="J91" s="65" t="str">
        <f>VLOOKUP(B91&amp;E91,'FEB - VISIT DATA'!A:O,10,FALSE)</f>
        <v>#N/A</v>
      </c>
      <c r="K91" s="66"/>
      <c r="L91" s="66"/>
      <c r="M91" s="66"/>
      <c r="N91" s="66"/>
      <c r="O91" s="58" t="str">
        <f t="shared" si="1"/>
        <v>X</v>
      </c>
      <c r="P91" s="59" t="str">
        <f t="shared" si="2"/>
        <v>#N/A</v>
      </c>
      <c r="Q91" s="67" t="str">
        <f t="shared" si="3"/>
        <v>#N/A</v>
      </c>
      <c r="R91" s="68" t="str">
        <f t="shared" si="4"/>
        <v>#N/A</v>
      </c>
      <c r="S91" s="62" t="str">
        <f t="shared" si="5"/>
        <v>#N/A</v>
      </c>
      <c r="T91" s="62" t="str">
        <f t="shared" si="6"/>
        <v>#N/A</v>
      </c>
      <c r="U91" s="63">
        <f t="shared" si="7"/>
        <v>0</v>
      </c>
      <c r="V91" s="69" t="str">
        <f>ifs($N91="",VLOOKUP($B91&amp;$E91,'FEB - VISIT DATA'!$A$2:$J100,7,FALSE), $N91="SWAB","OUTSA-RW",$N91="SWQU","OUTSA-SaQu", AND($L91="X",$M91="X",$N91="QUEST"),"OUT-UAQPre",$N91="QUEST","OUT-UAQ", $N91="Walk in","ColUATele")</f>
        <v>#N/A</v>
      </c>
      <c r="W91" s="70" t="str">
        <f t="shared" si="8"/>
        <v>#N/A</v>
      </c>
      <c r="X91" s="64" t="str">
        <f t="shared" si="9"/>
        <v/>
      </c>
      <c r="Y91" s="64" t="str">
        <f t="shared" si="10"/>
        <v/>
      </c>
      <c r="Z91" s="66" t="str">
        <f t="shared" si="11"/>
        <v> </v>
      </c>
      <c r="AA91" s="71"/>
    </row>
    <row r="92" ht="15.75" customHeight="1">
      <c r="A92" s="56" t="str">
        <f>IFS($B92=FALSE,"",$B92,VLOOKUP($B92,'PATIENT DATA (072721)'!A:C, 2, 0))</f>
        <v/>
      </c>
      <c r="B92" s="57"/>
      <c r="C92" s="73" t="str">
        <f>IF(COUNTIF('PATIENT DATA (072721)'!A:A, B92)=0, "X","✓")</f>
        <v>X</v>
      </c>
      <c r="D92" s="59" t="str">
        <f>IFS($B92=FALSE,"",$B92,VLOOKUP($B92,'PATIENT DATA (072721)'!A:C, 3, 0))</f>
        <v/>
      </c>
      <c r="E92" s="60"/>
      <c r="F92" s="61" t="str">
        <f>ifs($B92="","",$B92, VLOOKUP($B92&amp;$E92, 'FEB - VISIT DATA'!A:O,3,0))</f>
        <v/>
      </c>
      <c r="G92" s="74"/>
      <c r="H92" s="63" t="str">
        <f>ifs($B92="","",$B92, VLOOKUP($B92&amp;$E92, 'FEB - VISIT DATA'!$A:$O,13,0))</f>
        <v/>
      </c>
      <c r="I92" s="89" t="str">
        <f>VLOOKUP($B92&amp;$E92,'FEB - VISIT DATA'!A:J, 9, FALSE)</f>
        <v>#N/A</v>
      </c>
      <c r="J92" s="65" t="str">
        <f>VLOOKUP(B92&amp;E92,'FEB - VISIT DATA'!A:O,10,FALSE)</f>
        <v>#N/A</v>
      </c>
      <c r="K92" s="66"/>
      <c r="L92" s="66"/>
      <c r="M92" s="66"/>
      <c r="N92" s="66"/>
      <c r="O92" s="58" t="str">
        <f t="shared" si="1"/>
        <v>X</v>
      </c>
      <c r="P92" s="59" t="str">
        <f t="shared" si="2"/>
        <v>#N/A</v>
      </c>
      <c r="Q92" s="67" t="str">
        <f t="shared" si="3"/>
        <v>#N/A</v>
      </c>
      <c r="R92" s="68" t="str">
        <f t="shared" si="4"/>
        <v>#N/A</v>
      </c>
      <c r="S92" s="62" t="str">
        <f t="shared" si="5"/>
        <v>#N/A</v>
      </c>
      <c r="T92" s="62" t="str">
        <f t="shared" si="6"/>
        <v>#N/A</v>
      </c>
      <c r="U92" s="63">
        <f t="shared" si="7"/>
        <v>0</v>
      </c>
      <c r="V92" s="69" t="str">
        <f>ifs($N92="",VLOOKUP($B92&amp;$E92,'FEB - VISIT DATA'!$A$2:$J100,7,FALSE), $N92="SWAB","OUTSA-RW",$N92="SWQU","OUTSA-SaQu", AND($L92="X",$M92="X",$N92="QUEST"),"OUT-UAQPre",$N92="QUEST","OUT-UAQ", $N92="Walk in","ColUATele")</f>
        <v>#N/A</v>
      </c>
      <c r="W92" s="70" t="str">
        <f t="shared" si="8"/>
        <v>#N/A</v>
      </c>
      <c r="X92" s="64" t="str">
        <f t="shared" si="9"/>
        <v/>
      </c>
      <c r="Y92" s="64" t="str">
        <f t="shared" si="10"/>
        <v/>
      </c>
      <c r="Z92" s="66" t="str">
        <f t="shared" si="11"/>
        <v> </v>
      </c>
      <c r="AA92" s="71"/>
    </row>
    <row r="93" ht="15.75" customHeight="1">
      <c r="A93" s="56" t="str">
        <f>IFS($B93=FALSE,"",$B93,VLOOKUP($B93,'PATIENT DATA (072721)'!A:C, 2, 0))</f>
        <v/>
      </c>
      <c r="B93" s="57"/>
      <c r="C93" s="73" t="str">
        <f>IF(COUNTIF('PATIENT DATA (072721)'!A:A, B93)=0, "X","✓")</f>
        <v>X</v>
      </c>
      <c r="D93" s="59" t="str">
        <f>IFS($B93=FALSE,"",$B93,VLOOKUP($B93,'PATIENT DATA (072721)'!A:C, 3, 0))</f>
        <v/>
      </c>
      <c r="E93" s="60"/>
      <c r="F93" s="61" t="str">
        <f>ifs($B93="","",$B93, VLOOKUP($B93&amp;$E93, 'FEB - VISIT DATA'!A:O,3,0))</f>
        <v/>
      </c>
      <c r="G93" s="74"/>
      <c r="H93" s="63" t="str">
        <f>ifs($B93="","",$B93, VLOOKUP($B93&amp;$E93, 'FEB - VISIT DATA'!$A:$O,13,0))</f>
        <v/>
      </c>
      <c r="I93" s="89" t="str">
        <f>VLOOKUP($B93&amp;$E93,'FEB - VISIT DATA'!A:J, 9, FALSE)</f>
        <v>#N/A</v>
      </c>
      <c r="J93" s="65" t="str">
        <f>VLOOKUP(B93&amp;E93,'FEB - VISIT DATA'!A:O,10,FALSE)</f>
        <v>#N/A</v>
      </c>
      <c r="K93" s="66"/>
      <c r="L93" s="66"/>
      <c r="M93" s="66"/>
      <c r="N93" s="66"/>
      <c r="O93" s="58" t="str">
        <f t="shared" si="1"/>
        <v>X</v>
      </c>
      <c r="P93" s="59" t="str">
        <f t="shared" si="2"/>
        <v>#N/A</v>
      </c>
      <c r="Q93" s="67" t="str">
        <f t="shared" si="3"/>
        <v>#N/A</v>
      </c>
      <c r="R93" s="68" t="str">
        <f t="shared" si="4"/>
        <v>#N/A</v>
      </c>
      <c r="S93" s="62" t="str">
        <f t="shared" si="5"/>
        <v>#N/A</v>
      </c>
      <c r="T93" s="62" t="str">
        <f t="shared" si="6"/>
        <v>#N/A</v>
      </c>
      <c r="U93" s="63">
        <f t="shared" si="7"/>
        <v>0</v>
      </c>
      <c r="V93" s="69" t="str">
        <f>ifs($N93="",VLOOKUP($B93&amp;$E93,'FEB - VISIT DATA'!$A$2:$J100,7,FALSE), $N93="SWAB","OUTSA-RW",$N93="SWQU","OUTSA-SaQu", AND($L93="X",$M93="X",$N93="QUEST"),"OUT-UAQPre",$N93="QUEST","OUT-UAQ", $N93="Walk in","ColUATele")</f>
        <v>#N/A</v>
      </c>
      <c r="W93" s="70" t="str">
        <f t="shared" si="8"/>
        <v>#N/A</v>
      </c>
      <c r="X93" s="64" t="str">
        <f t="shared" si="9"/>
        <v/>
      </c>
      <c r="Y93" s="64" t="str">
        <f t="shared" si="10"/>
        <v/>
      </c>
      <c r="Z93" s="66" t="str">
        <f t="shared" si="11"/>
        <v> </v>
      </c>
      <c r="AA93" s="71"/>
    </row>
    <row r="94" ht="15.75" customHeight="1">
      <c r="A94" s="56" t="str">
        <f>IFS($B94=FALSE,"",$B94,VLOOKUP($B94,'PATIENT DATA (072721)'!A:C, 2, 0))</f>
        <v/>
      </c>
      <c r="B94" s="57"/>
      <c r="C94" s="73" t="str">
        <f>IF(COUNTIF('PATIENT DATA (072721)'!A:A, B94)=0, "X","✓")</f>
        <v>X</v>
      </c>
      <c r="D94" s="59" t="str">
        <f>IFS($B94=FALSE,"",$B94,VLOOKUP($B94,'PATIENT DATA (072721)'!A:C, 3, 0))</f>
        <v/>
      </c>
      <c r="E94" s="60"/>
      <c r="F94" s="61" t="str">
        <f>ifs($B94="","",$B94, VLOOKUP($B94&amp;$E94, 'FEB - VISIT DATA'!A:O,3,0))</f>
        <v/>
      </c>
      <c r="G94" s="74"/>
      <c r="H94" s="63" t="str">
        <f>ifs($B94="","",$B94, VLOOKUP($B94&amp;$E94, 'FEB - VISIT DATA'!$A:$O,13,0))</f>
        <v/>
      </c>
      <c r="I94" s="89" t="str">
        <f>VLOOKUP($B94&amp;$E94,'FEB - VISIT DATA'!A:J, 9, FALSE)</f>
        <v>#N/A</v>
      </c>
      <c r="J94" s="65" t="str">
        <f>VLOOKUP(B94&amp;E94,'FEB - VISIT DATA'!A:O,10,FALSE)</f>
        <v>#N/A</v>
      </c>
      <c r="K94" s="66"/>
      <c r="L94" s="66"/>
      <c r="M94" s="66"/>
      <c r="N94" s="66"/>
      <c r="O94" s="58" t="str">
        <f t="shared" si="1"/>
        <v>X</v>
      </c>
      <c r="P94" s="59" t="str">
        <f t="shared" si="2"/>
        <v>#N/A</v>
      </c>
      <c r="Q94" s="67" t="str">
        <f t="shared" si="3"/>
        <v>#N/A</v>
      </c>
      <c r="R94" s="68" t="str">
        <f t="shared" si="4"/>
        <v>#N/A</v>
      </c>
      <c r="S94" s="62" t="str">
        <f t="shared" si="5"/>
        <v>#N/A</v>
      </c>
      <c r="T94" s="62" t="str">
        <f t="shared" si="6"/>
        <v>#N/A</v>
      </c>
      <c r="U94" s="63">
        <f t="shared" si="7"/>
        <v>0</v>
      </c>
      <c r="V94" s="69" t="str">
        <f>ifs($N94="",VLOOKUP($B94&amp;$E94,'FEB - VISIT DATA'!$A$2:$J100,7,FALSE), $N94="SWAB","OUTSA-RW",$N94="SWQU","OUTSA-SaQu", AND($L94="X",$M94="X",$N94="QUEST"),"OUT-UAQPre",$N94="QUEST","OUT-UAQ", $N94="Walk in","ColUATele")</f>
        <v>#N/A</v>
      </c>
      <c r="W94" s="70" t="str">
        <f t="shared" si="8"/>
        <v>#N/A</v>
      </c>
      <c r="X94" s="64" t="str">
        <f t="shared" si="9"/>
        <v/>
      </c>
      <c r="Y94" s="64" t="str">
        <f t="shared" si="10"/>
        <v/>
      </c>
      <c r="Z94" s="66" t="str">
        <f t="shared" si="11"/>
        <v> </v>
      </c>
      <c r="AA94" s="71"/>
    </row>
    <row r="95" ht="15.75" customHeight="1">
      <c r="A95" s="56" t="str">
        <f>IFS($B95=FALSE,"",$B95,VLOOKUP($B95,'PATIENT DATA (072721)'!A:C, 2, 0))</f>
        <v/>
      </c>
      <c r="B95" s="57"/>
      <c r="C95" s="73" t="str">
        <f>IF(COUNTIF('PATIENT DATA (072721)'!A:A, B95)=0, "X","✓")</f>
        <v>X</v>
      </c>
      <c r="D95" s="59" t="str">
        <f>IFS($B95=FALSE,"",$B95,VLOOKUP($B95,'PATIENT DATA (072721)'!A:C, 3, 0))</f>
        <v/>
      </c>
      <c r="E95" s="60"/>
      <c r="F95" s="61" t="str">
        <f>ifs($B95="","",$B95, VLOOKUP($B95&amp;$E95, 'FEB - VISIT DATA'!A:O,3,0))</f>
        <v/>
      </c>
      <c r="G95" s="74"/>
      <c r="H95" s="63" t="str">
        <f>ifs($B95="","",$B95, VLOOKUP($B95&amp;$E95, 'FEB - VISIT DATA'!$A:$O,13,0))</f>
        <v/>
      </c>
      <c r="I95" s="89" t="str">
        <f>VLOOKUP($B95&amp;$E95,'FEB - VISIT DATA'!A:J, 9, FALSE)</f>
        <v>#N/A</v>
      </c>
      <c r="J95" s="65" t="str">
        <f>VLOOKUP(B95&amp;E95,'FEB - VISIT DATA'!A:O,10,FALSE)</f>
        <v>#N/A</v>
      </c>
      <c r="K95" s="66"/>
      <c r="L95" s="66"/>
      <c r="M95" s="66"/>
      <c r="N95" s="66"/>
      <c r="O95" s="58" t="str">
        <f t="shared" si="1"/>
        <v>X</v>
      </c>
      <c r="P95" s="59" t="str">
        <f t="shared" si="2"/>
        <v>#N/A</v>
      </c>
      <c r="Q95" s="67" t="str">
        <f t="shared" si="3"/>
        <v>#N/A</v>
      </c>
      <c r="R95" s="68" t="str">
        <f t="shared" si="4"/>
        <v>#N/A</v>
      </c>
      <c r="S95" s="62" t="str">
        <f t="shared" si="5"/>
        <v>#N/A</v>
      </c>
      <c r="T95" s="62" t="str">
        <f t="shared" si="6"/>
        <v>#N/A</v>
      </c>
      <c r="U95" s="63">
        <f t="shared" si="7"/>
        <v>0</v>
      </c>
      <c r="V95" s="69" t="str">
        <f>ifs($N95="",VLOOKUP($B95&amp;$E95,'FEB - VISIT DATA'!$A$2:$J100,7,FALSE), $N95="SWAB","OUTSA-RW",$N95="SWQU","OUTSA-SaQu", AND($L95="X",$M95="X",$N95="QUEST"),"OUT-UAQPre",$N95="QUEST","OUT-UAQ", $N95="Walk in","ColUATele")</f>
        <v>#N/A</v>
      </c>
      <c r="W95" s="70" t="str">
        <f t="shared" si="8"/>
        <v>#N/A</v>
      </c>
      <c r="X95" s="64" t="str">
        <f t="shared" si="9"/>
        <v/>
      </c>
      <c r="Y95" s="64" t="str">
        <f t="shared" si="10"/>
        <v/>
      </c>
      <c r="Z95" s="66" t="str">
        <f t="shared" si="11"/>
        <v> </v>
      </c>
      <c r="AA95" s="71"/>
    </row>
    <row r="96" ht="15.75" customHeight="1">
      <c r="A96" s="56" t="str">
        <f>IFS($B96=FALSE,"",$B96,VLOOKUP($B96,'PATIENT DATA (072721)'!A:C, 2, 0))</f>
        <v/>
      </c>
      <c r="B96" s="57"/>
      <c r="C96" s="73" t="str">
        <f>IF(COUNTIF('PATIENT DATA (072721)'!A:A, B96)=0, "X","✓")</f>
        <v>X</v>
      </c>
      <c r="D96" s="59" t="str">
        <f>IFS($B96=FALSE,"",$B96,VLOOKUP($B96,'PATIENT DATA (072721)'!A:C, 3, 0))</f>
        <v/>
      </c>
      <c r="E96" s="60"/>
      <c r="F96" s="61" t="str">
        <f>ifs($B96="","",$B96, VLOOKUP($B96&amp;$E96, 'FEB - VISIT DATA'!A:O,3,0))</f>
        <v/>
      </c>
      <c r="G96" s="74"/>
      <c r="H96" s="63" t="str">
        <f>ifs($B96="","",$B96, VLOOKUP($B96&amp;$E96, 'FEB - VISIT DATA'!$A:$O,13,0))</f>
        <v/>
      </c>
      <c r="I96" s="89" t="str">
        <f>VLOOKUP($B96&amp;$E96,'FEB - VISIT DATA'!A:J, 9, FALSE)</f>
        <v>#N/A</v>
      </c>
      <c r="J96" s="65" t="str">
        <f>VLOOKUP(B96&amp;E96,'FEB - VISIT DATA'!A:O,10,FALSE)</f>
        <v>#N/A</v>
      </c>
      <c r="K96" s="66"/>
      <c r="L96" s="66"/>
      <c r="M96" s="66"/>
      <c r="N96" s="66"/>
      <c r="O96" s="58" t="str">
        <f t="shared" si="1"/>
        <v>X</v>
      </c>
      <c r="P96" s="59" t="str">
        <f t="shared" si="2"/>
        <v>#N/A</v>
      </c>
      <c r="Q96" s="67" t="str">
        <f t="shared" si="3"/>
        <v>#N/A</v>
      </c>
      <c r="R96" s="68" t="str">
        <f t="shared" si="4"/>
        <v>#N/A</v>
      </c>
      <c r="S96" s="62" t="str">
        <f t="shared" si="5"/>
        <v>#N/A</v>
      </c>
      <c r="T96" s="62" t="str">
        <f t="shared" si="6"/>
        <v>#N/A</v>
      </c>
      <c r="U96" s="63">
        <f t="shared" si="7"/>
        <v>0</v>
      </c>
      <c r="V96" s="69" t="str">
        <f>ifs($N96="",VLOOKUP($B96&amp;$E96,'FEB - VISIT DATA'!$A$2:$J100,7,FALSE), $N96="SWAB","OUTSA-RW",$N96="SWQU","OUTSA-SaQu", AND($L96="X",$M96="X",$N96="QUEST"),"OUT-UAQPre",$N96="QUEST","OUT-UAQ", $N96="Walk in","ColUATele")</f>
        <v>#N/A</v>
      </c>
      <c r="W96" s="70" t="str">
        <f t="shared" si="8"/>
        <v>#N/A</v>
      </c>
      <c r="X96" s="64" t="str">
        <f t="shared" si="9"/>
        <v/>
      </c>
      <c r="Y96" s="64" t="str">
        <f t="shared" si="10"/>
        <v/>
      </c>
      <c r="Z96" s="66" t="str">
        <f t="shared" si="11"/>
        <v> </v>
      </c>
      <c r="AA96" s="71"/>
    </row>
    <row r="97" ht="15.75" customHeight="1">
      <c r="A97" s="56" t="str">
        <f>IFS($B97=FALSE,"",$B97,VLOOKUP($B97,'PATIENT DATA (072721)'!A:C, 2, 0))</f>
        <v/>
      </c>
      <c r="B97" s="57"/>
      <c r="C97" s="73" t="str">
        <f>IF(COUNTIF('PATIENT DATA (072721)'!A:A, B97)=0, "X","✓")</f>
        <v>X</v>
      </c>
      <c r="D97" s="59" t="str">
        <f>IFS($B97=FALSE,"",$B97,VLOOKUP($B97,'PATIENT DATA (072721)'!A:C, 3, 0))</f>
        <v/>
      </c>
      <c r="E97" s="60"/>
      <c r="F97" s="61" t="str">
        <f>ifs($B97="","",$B97, VLOOKUP($B97&amp;$E97, 'FEB - VISIT DATA'!A:O,3,0))</f>
        <v/>
      </c>
      <c r="G97" s="74"/>
      <c r="H97" s="63" t="str">
        <f>ifs($B97="","",$B97, VLOOKUP($B97&amp;$E97, 'FEB - VISIT DATA'!$A:$O,13,0))</f>
        <v/>
      </c>
      <c r="I97" s="89" t="str">
        <f>VLOOKUP($B97&amp;$E97,'FEB - VISIT DATA'!A:J, 9, FALSE)</f>
        <v>#N/A</v>
      </c>
      <c r="J97" s="65" t="str">
        <f>VLOOKUP(B97&amp;E97,'FEB - VISIT DATA'!A:O,10,FALSE)</f>
        <v>#N/A</v>
      </c>
      <c r="K97" s="66"/>
      <c r="L97" s="66"/>
      <c r="M97" s="66"/>
      <c r="N97" s="66"/>
      <c r="O97" s="58" t="str">
        <f t="shared" si="1"/>
        <v>X</v>
      </c>
      <c r="P97" s="59" t="str">
        <f t="shared" si="2"/>
        <v>#N/A</v>
      </c>
      <c r="Q97" s="67" t="str">
        <f t="shared" si="3"/>
        <v>#N/A</v>
      </c>
      <c r="R97" s="68" t="str">
        <f t="shared" si="4"/>
        <v>#N/A</v>
      </c>
      <c r="S97" s="62" t="str">
        <f t="shared" si="5"/>
        <v>#N/A</v>
      </c>
      <c r="T97" s="62" t="str">
        <f t="shared" si="6"/>
        <v>#N/A</v>
      </c>
      <c r="U97" s="63">
        <f t="shared" si="7"/>
        <v>0</v>
      </c>
      <c r="V97" s="69" t="str">
        <f>ifs($N97="",VLOOKUP($B97&amp;$E97,'FEB - VISIT DATA'!$A$2:$J100,7,FALSE), $N97="SWAB","OUTSA-RW",$N97="SWQU","OUTSA-SaQu", AND($L97="X",$M97="X",$N97="QUEST"),"OUT-UAQPre",$N97="QUEST","OUT-UAQ", $N97="Walk in","ColUATele")</f>
        <v>#N/A</v>
      </c>
      <c r="W97" s="70" t="str">
        <f t="shared" si="8"/>
        <v>#N/A</v>
      </c>
      <c r="X97" s="64" t="str">
        <f t="shared" si="9"/>
        <v/>
      </c>
      <c r="Y97" s="64" t="str">
        <f t="shared" si="10"/>
        <v/>
      </c>
      <c r="Z97" s="66" t="str">
        <f t="shared" si="11"/>
        <v> </v>
      </c>
      <c r="AA97" s="71"/>
    </row>
    <row r="98" ht="15.75" customHeight="1">
      <c r="A98" s="56" t="str">
        <f>IFS($B98=FALSE,"",$B98,VLOOKUP($B98,'PATIENT DATA (072721)'!A:C, 2, 0))</f>
        <v/>
      </c>
      <c r="B98" s="57"/>
      <c r="C98" s="73" t="str">
        <f>IF(COUNTIF('PATIENT DATA (072721)'!A:A, B98)=0, "X","✓")</f>
        <v>X</v>
      </c>
      <c r="D98" s="59" t="str">
        <f>IFS($B98=FALSE,"",$B98,VLOOKUP($B98,'PATIENT DATA (072721)'!A:C, 3, 0))</f>
        <v/>
      </c>
      <c r="E98" s="60"/>
      <c r="F98" s="61" t="str">
        <f>ifs($B98="","",$B98, VLOOKUP($B98&amp;$E98, 'FEB - VISIT DATA'!A:O,3,0))</f>
        <v/>
      </c>
      <c r="G98" s="74"/>
      <c r="H98" s="63" t="str">
        <f>ifs($B98="","",$B98, VLOOKUP($B98&amp;$E98, 'FEB - VISIT DATA'!$A:$O,13,0))</f>
        <v/>
      </c>
      <c r="I98" s="89" t="str">
        <f>VLOOKUP($B98&amp;$E98,'FEB - VISIT DATA'!A:J, 9, FALSE)</f>
        <v>#N/A</v>
      </c>
      <c r="J98" s="65" t="str">
        <f>VLOOKUP(B98&amp;E98,'FEB - VISIT DATA'!A:O,10,FALSE)</f>
        <v>#N/A</v>
      </c>
      <c r="K98" s="66"/>
      <c r="L98" s="66"/>
      <c r="M98" s="66"/>
      <c r="N98" s="66"/>
      <c r="O98" s="58" t="str">
        <f t="shared" si="1"/>
        <v>X</v>
      </c>
      <c r="P98" s="59" t="str">
        <f t="shared" si="2"/>
        <v>#N/A</v>
      </c>
      <c r="Q98" s="67" t="str">
        <f t="shared" si="3"/>
        <v>#N/A</v>
      </c>
      <c r="R98" s="68" t="str">
        <f t="shared" si="4"/>
        <v>#N/A</v>
      </c>
      <c r="S98" s="62" t="str">
        <f t="shared" si="5"/>
        <v>#N/A</v>
      </c>
      <c r="T98" s="62" t="str">
        <f t="shared" si="6"/>
        <v>#N/A</v>
      </c>
      <c r="U98" s="63">
        <f t="shared" si="7"/>
        <v>0</v>
      </c>
      <c r="V98" s="69" t="str">
        <f>ifs($N98="",VLOOKUP($B98&amp;$E98,'FEB - VISIT DATA'!$A$2:$J100,7,FALSE), $N98="SWAB","OUTSA-RW",$N98="SWQU","OUTSA-SaQu", AND($L98="X",$M98="X",$N98="QUEST"),"OUT-UAQPre",$N98="QUEST","OUT-UAQ", $N98="Walk in","ColUATele")</f>
        <v>#N/A</v>
      </c>
      <c r="W98" s="70" t="str">
        <f t="shared" si="8"/>
        <v>#N/A</v>
      </c>
      <c r="X98" s="64" t="str">
        <f t="shared" si="9"/>
        <v/>
      </c>
      <c r="Y98" s="64" t="str">
        <f t="shared" si="10"/>
        <v/>
      </c>
      <c r="Z98" s="66" t="str">
        <f t="shared" si="11"/>
        <v> </v>
      </c>
      <c r="AA98" s="71"/>
    </row>
    <row r="99" ht="15.75" customHeight="1">
      <c r="A99" s="56" t="str">
        <f>IFS($B99=FALSE,"",$B99,VLOOKUP($B99,'PATIENT DATA (072721)'!A:C, 2, 0))</f>
        <v/>
      </c>
      <c r="B99" s="57"/>
      <c r="C99" s="73" t="str">
        <f>IF(COUNTIF('PATIENT DATA (072721)'!A:A, B99)=0, "X","✓")</f>
        <v>X</v>
      </c>
      <c r="D99" s="59" t="str">
        <f>IFS($B99=FALSE,"",$B99,VLOOKUP($B99,'PATIENT DATA (072721)'!A:C, 3, 0))</f>
        <v/>
      </c>
      <c r="E99" s="60"/>
      <c r="F99" s="61" t="str">
        <f>ifs($B99="","",$B99, VLOOKUP($B99&amp;$E99, 'FEB - VISIT DATA'!A:O,3,0))</f>
        <v/>
      </c>
      <c r="G99" s="74"/>
      <c r="H99" s="63" t="str">
        <f>ifs($B99="","",$B99, VLOOKUP($B99&amp;$E99, 'FEB - VISIT DATA'!$A:$O,13,0))</f>
        <v/>
      </c>
      <c r="I99" s="89" t="str">
        <f>VLOOKUP($B99&amp;$E99,'FEB - VISIT DATA'!A:J, 9, FALSE)</f>
        <v>#N/A</v>
      </c>
      <c r="J99" s="65" t="str">
        <f>VLOOKUP(B99&amp;E99,'FEB - VISIT DATA'!A:O,10,FALSE)</f>
        <v>#N/A</v>
      </c>
      <c r="K99" s="66"/>
      <c r="L99" s="66"/>
      <c r="M99" s="66"/>
      <c r="N99" s="66"/>
      <c r="O99" s="58" t="str">
        <f t="shared" si="1"/>
        <v>X</v>
      </c>
      <c r="P99" s="59" t="str">
        <f t="shared" si="2"/>
        <v>#N/A</v>
      </c>
      <c r="Q99" s="67" t="str">
        <f t="shared" si="3"/>
        <v>#N/A</v>
      </c>
      <c r="R99" s="68" t="str">
        <f t="shared" si="4"/>
        <v>#N/A</v>
      </c>
      <c r="S99" s="62" t="str">
        <f t="shared" si="5"/>
        <v>#N/A</v>
      </c>
      <c r="T99" s="62" t="str">
        <f t="shared" si="6"/>
        <v>#N/A</v>
      </c>
      <c r="U99" s="63">
        <f t="shared" si="7"/>
        <v>0</v>
      </c>
      <c r="V99" s="69" t="str">
        <f>ifs($N99="",VLOOKUP($B99&amp;$E99,'FEB - VISIT DATA'!$A$2:$J100,7,FALSE), $N99="SWAB","OUTSA-RW",$N99="SWQU","OUTSA-SaQu", AND($L99="X",$M99="X",$N99="QUEST"),"OUT-UAQPre",$N99="QUEST","OUT-UAQ", $N99="Walk in","ColUATele")</f>
        <v>#N/A</v>
      </c>
      <c r="W99" s="70" t="str">
        <f t="shared" si="8"/>
        <v>#N/A</v>
      </c>
      <c r="X99" s="64" t="str">
        <f t="shared" si="9"/>
        <v/>
      </c>
      <c r="Y99" s="64" t="str">
        <f t="shared" si="10"/>
        <v/>
      </c>
      <c r="Z99" s="66" t="str">
        <f t="shared" si="11"/>
        <v> </v>
      </c>
      <c r="AA99" s="71"/>
    </row>
    <row r="100" ht="15.75" customHeight="1">
      <c r="A100" s="90"/>
      <c r="B100" s="90"/>
      <c r="C100" s="90"/>
      <c r="D100" s="90"/>
      <c r="E100" s="91"/>
      <c r="F100" s="92"/>
      <c r="G100" s="90"/>
      <c r="H100" s="93"/>
      <c r="I100" s="90"/>
      <c r="J100" s="90"/>
      <c r="K100" s="94" t="s">
        <v>6507</v>
      </c>
      <c r="L100" s="94">
        <f>COUNTIFS(K1:L80, "X")</f>
        <v>0</v>
      </c>
      <c r="M100" s="94" t="s">
        <v>6508</v>
      </c>
      <c r="N100" s="94">
        <f>COUNTIFS(M1:M80, "X")</f>
        <v>0</v>
      </c>
      <c r="O100" s="95"/>
      <c r="P100" s="95"/>
      <c r="Q100" s="95"/>
      <c r="R100" s="95"/>
      <c r="S100" s="95"/>
      <c r="T100" s="95"/>
      <c r="U100" s="95"/>
      <c r="V100" s="96"/>
      <c r="W100" s="95"/>
      <c r="X100" s="95"/>
      <c r="Y100" s="95"/>
      <c r="Z100" s="95"/>
      <c r="AA100" s="95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C00DA3AA-9CBE-4B71-9EE3-D1FB1117BF89}" filter="1" showAutoFilter="1">
      <autoFilter ref="$A$1:$AA$100"/>
      <extLst>
        <ext uri="GoogleSheetsCustomDataVersion1">
          <go:sheetsCustomData xmlns:go="http://customooxmlschemas.google.com/" filterViewId="1901758927"/>
        </ext>
      </extLst>
    </customSheetView>
  </customSheetViews>
  <conditionalFormatting sqref="A1:X100">
    <cfRule type="expression" dxfId="1" priority="1">
      <formula>$X1="ERROR"</formula>
    </cfRule>
  </conditionalFormatting>
  <conditionalFormatting sqref="A1:Z99">
    <cfRule type="expression" dxfId="1" priority="2">
      <formula>$Y1="NO MATCH"</formula>
    </cfRule>
  </conditionalFormatting>
  <conditionalFormatting sqref="C2:C99 O2:O99">
    <cfRule type="containsText" dxfId="1" priority="3" operator="containsText" text="X">
      <formula>NOT(ISERROR(SEARCH(("X"),(C2))))</formula>
    </cfRule>
  </conditionalFormatting>
  <conditionalFormatting sqref="A1:Z99">
    <cfRule type="expression" dxfId="2" priority="4">
      <formula>$Z1="Repeat"</formula>
    </cfRule>
  </conditionalFormatting>
  <conditionalFormatting sqref="V2:V99">
    <cfRule type="expression" dxfId="3" priority="5">
      <formula>$N2="QUEST"</formula>
    </cfRule>
  </conditionalFormatting>
  <conditionalFormatting sqref="C2:C99 O2:O99">
    <cfRule type="containsText" dxfId="3" priority="6" operator="containsText" text="✓">
      <formula>NOT(ISERROR(SEARCH(("✓"),(C2))))</formula>
    </cfRule>
  </conditionalFormatting>
  <conditionalFormatting sqref="A1:U99">
    <cfRule type="expression" dxfId="4" priority="7">
      <formula>$J1="MOLINA DUAL COMPLETE NEW MEXICO"</formula>
    </cfRule>
  </conditionalFormatting>
  <conditionalFormatting sqref="A1:U99">
    <cfRule type="expression" dxfId="4" priority="8">
      <formula>$J1="MOLINA DUAL COMPLETE TEXAS"</formula>
    </cfRule>
  </conditionalFormatting>
  <conditionalFormatting sqref="A1:U99">
    <cfRule type="expression" dxfId="4" priority="9">
      <formula>$J1="MOLINA MARKETPLACE TEXAS"</formula>
    </cfRule>
  </conditionalFormatting>
  <conditionalFormatting sqref="K1:K99">
    <cfRule type="containsText" dxfId="5" priority="10" operator="containsText" text="x">
      <formula>NOT(ISERROR(SEARCH(("x"),(K1))))</formula>
    </cfRule>
  </conditionalFormatting>
  <conditionalFormatting sqref="M1:M99">
    <cfRule type="containsText" dxfId="6" priority="11" operator="containsText" text="X">
      <formula>NOT(ISERROR(SEARCH(("X"),(M1))))</formula>
    </cfRule>
  </conditionalFormatting>
  <conditionalFormatting sqref="L1:L99">
    <cfRule type="containsText" dxfId="7" priority="12" operator="containsText" text="X">
      <formula>NOT(ISERROR(SEARCH(("X"),(L1))))</formula>
    </cfRule>
  </conditionalFormatting>
  <conditionalFormatting sqref="C1:C99 O1:O99">
    <cfRule type="containsBlanks" dxfId="8" priority="13">
      <formula>LEN(TRIM(C1))=0</formula>
    </cfRule>
  </conditionalFormatting>
  <conditionalFormatting sqref="J1:J99 N1:O1 Z1">
    <cfRule type="containsText" dxfId="9" priority="14" operator="containsText" text="Molina">
      <formula>NOT(ISERROR(SEARCH(("Molina"),(J1))))</formula>
    </cfRule>
  </conditionalFormatting>
  <conditionalFormatting sqref="K1:M99">
    <cfRule type="containsBlanks" dxfId="10" priority="15">
      <formula>LEN(TRIM(K1))=0</formula>
    </cfRule>
  </conditionalFormatting>
  <conditionalFormatting sqref="A2:N99 O1:O99 P2:Z99">
    <cfRule type="expression" dxfId="3" priority="16">
      <formula>$N1="SWAB"</formula>
    </cfRule>
  </conditionalFormatting>
  <conditionalFormatting sqref="J1:J99">
    <cfRule type="containsText" dxfId="1" priority="17" operator="containsText" text="Self Pay">
      <formula>NOT(ISERROR(SEARCH(("Self Pay"),(J1))))</formula>
    </cfRule>
  </conditionalFormatting>
  <conditionalFormatting sqref="J1:J99">
    <cfRule type="containsText" dxfId="1" priority="18" operator="containsText" text="Self-Pay">
      <formula>NOT(ISERROR(SEARCH(("Self-Pay"),(J1))))</formula>
    </cfRule>
  </conditionalFormatting>
  <conditionalFormatting sqref="J1:J99">
    <cfRule type="containsText" dxfId="1" priority="19" operator="containsText" text="Third Party">
      <formula>NOT(ISERROR(SEARCH(("Third Party"),(J1))))</formula>
    </cfRule>
  </conditionalFormatting>
  <conditionalFormatting sqref="A1:U99">
    <cfRule type="expression" dxfId="11" priority="20">
      <formula>$J1="SUPERIOR HEALTH PLAN"</formula>
    </cfRule>
  </conditionalFormatting>
  <conditionalFormatting sqref="A1:U99">
    <cfRule type="expression" dxfId="11" priority="21">
      <formula>$J1="AMBETTER - SUPERIOR"</formula>
    </cfRule>
  </conditionalFormatting>
  <conditionalFormatting sqref="A1:U99">
    <cfRule type="expression" dxfId="12" priority="22">
      <formula>$J1="Wellmed - Humana"</formula>
    </cfRule>
  </conditionalFormatting>
  <conditionalFormatting sqref="A1:U99">
    <cfRule type="expression" dxfId="12" priority="23">
      <formula>$J1="WELLMED - AARP MEDICARE COMPLETE"</formula>
    </cfRule>
  </conditionalFormatting>
  <conditionalFormatting sqref="A1:U99">
    <cfRule type="expression" dxfId="12" priority="24">
      <formula>$J1="WELLMED - AMERIVANTAGE"</formula>
    </cfRule>
  </conditionalFormatting>
  <conditionalFormatting sqref="A1:U99">
    <cfRule type="expression" dxfId="12" priority="25">
      <formula>$J1="WELLMED - CIGNA HEALTHSPRING"</formula>
    </cfRule>
  </conditionalFormatting>
  <conditionalFormatting sqref="A1:U99">
    <cfRule type="expression" dxfId="12" priority="26">
      <formula>$J1="WELLMED - UHC CHRONIC COMPLETE HMO C-SNP"</formula>
    </cfRule>
  </conditionalFormatting>
  <conditionalFormatting sqref="A1:U99">
    <cfRule type="expression" dxfId="12" priority="27">
      <formula>$J1="WELLMED - UHC DUAL COMPLETE HMO SNP"</formula>
    </cfRule>
  </conditionalFormatting>
  <conditionalFormatting sqref="A1:U99">
    <cfRule type="expression" dxfId="12" priority="28">
      <formula>$J1="WELLMED - UHC DUAL COMPLETE SNP"</formula>
    </cfRule>
  </conditionalFormatting>
  <conditionalFormatting sqref="A1:U99">
    <cfRule type="expression" dxfId="4" priority="29">
      <formula>$J1="MOLINA DUAL COMPLETE NEW MEXICO"</formula>
    </cfRule>
  </conditionalFormatting>
  <conditionalFormatting sqref="A1:U99">
    <cfRule type="expression" dxfId="4" priority="30">
      <formula>$J1="MOLINA DUAL COMPLETE TEXAS"</formula>
    </cfRule>
  </conditionalFormatting>
  <conditionalFormatting sqref="A1:U99">
    <cfRule type="expression" dxfId="4" priority="31">
      <formula>$J1="MOLINA MARKETPLACE TEXAS"</formula>
    </cfRule>
  </conditionalFormatting>
  <conditionalFormatting sqref="A1:U99">
    <cfRule type="expression" dxfId="4" priority="32">
      <formula>$J1="MOLINA MEDICAID TEXAS"</formula>
    </cfRule>
  </conditionalFormatting>
  <conditionalFormatting sqref="A1:U99">
    <cfRule type="expression" dxfId="13" priority="33">
      <formula>$J1="HUMANA OPEN ACCESS PLAN"</formula>
    </cfRule>
  </conditionalFormatting>
  <conditionalFormatting sqref="A1:U99">
    <cfRule type="expression" dxfId="14" priority="34">
      <formula>$J1="HUMANA CHOICE CARE"</formula>
    </cfRule>
  </conditionalFormatting>
  <conditionalFormatting sqref="V1:W99">
    <cfRule type="expression" dxfId="15" priority="35">
      <formula>$V1="UA"</formula>
    </cfRule>
  </conditionalFormatting>
  <conditionalFormatting sqref="V1:W99">
    <cfRule type="expression" dxfId="16" priority="36">
      <formula>$V1="OUTUA-PrRW"</formula>
    </cfRule>
  </conditionalFormatting>
  <conditionalFormatting sqref="V1:W99">
    <cfRule type="expression" dxfId="16" priority="37">
      <formula>$V1="OUT-UAQPre"</formula>
    </cfRule>
  </conditionalFormatting>
  <conditionalFormatting sqref="V1:W99">
    <cfRule type="expression" dxfId="17" priority="38">
      <formula>$V1="UA-Prelim"</formula>
    </cfRule>
  </conditionalFormatting>
  <conditionalFormatting sqref="V1:W99">
    <cfRule type="expression" dxfId="5" priority="39">
      <formula>$V1="UA-NWPT"</formula>
    </cfRule>
  </conditionalFormatting>
  <conditionalFormatting sqref="N1:N100 O1:O99">
    <cfRule type="expression" dxfId="1" priority="40">
      <formula>$O1="X"</formula>
    </cfRule>
  </conditionalFormatting>
  <conditionalFormatting sqref="V1:W99">
    <cfRule type="expression" dxfId="3" priority="41">
      <formula>$V1="OUT-UAQ"</formula>
    </cfRule>
  </conditionalFormatting>
  <conditionalFormatting sqref="V1:W99">
    <cfRule type="expression" dxfId="3" priority="42">
      <formula>$V1="OUTUA-FURW"</formula>
    </cfRule>
  </conditionalFormatting>
  <conditionalFormatting sqref="V1:W99">
    <cfRule type="expression" dxfId="18" priority="43">
      <formula>$V1="OUTSA-SaQu"</formula>
    </cfRule>
  </conditionalFormatting>
  <conditionalFormatting sqref="V1:W99">
    <cfRule type="expression" dxfId="18" priority="44">
      <formula>$V1="OUTSA-RW"</formula>
    </cfRule>
  </conditionalFormatting>
  <dataValidations>
    <dataValidation type="list" allowBlank="1" showErrorMessage="1" sqref="J2:J99">
      <formula1>DATA!$A$2:$A100</formula1>
    </dataValidation>
    <dataValidation type="list" allowBlank="1" showErrorMessage="1" sqref="K2:M99">
      <formula1>"X"</formula1>
    </dataValidation>
    <dataValidation type="custom" allowBlank="1" showDropDown="1" showInputMessage="1" showErrorMessage="1" prompt="CAPITALS" sqref="B1:B99">
      <formula1>ISERROR(SEARCH((exact(upper(B:O),B:O)),(B1)))</formula1>
    </dataValidation>
    <dataValidation type="list" allowBlank="1" showErrorMessage="1" sqref="I2:I99">
      <formula1>"LOPEZ,MARTINEZ,TORRES,CAMPOS,THOMAS"</formula1>
    </dataValidation>
    <dataValidation type="list" allowBlank="1" showInputMessage="1" showErrorMessage="1" prompt="Click and enter a value from range 'Insurance Data'!C2:C608" sqref="E2:E99">
      <formula1>DATA!$C:$C</formula1>
    </dataValidation>
    <dataValidation type="list" allowBlank="1" showErrorMessage="1" sqref="H2:H99">
      <formula1>"CH,DA,DC,DM,FA,LM"</formula1>
    </dataValidation>
    <dataValidation type="list" allowBlank="1" showErrorMessage="1" sqref="G2:G99">
      <formula1>"F,M"</formula1>
    </dataValidation>
    <dataValidation type="custom" allowBlank="1" showDropDown="1" showInputMessage="1" showErrorMessage="1" prompt="CAPITALS" sqref="A1:A99">
      <formula1>ISERROR(SEARCH((exact(upper(B:N),B:N)),(A1)))</formula1>
    </dataValidation>
    <dataValidation type="list" allowBlank="1" showErrorMessage="1" sqref="F2:F99">
      <formula1>DATA!$B$1:$B$44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2" width="5.75"/>
    <col customWidth="1" min="3" max="4" width="6.13"/>
    <col customWidth="1" min="5" max="5" width="6.38"/>
    <col customWidth="1" min="6" max="8" width="6.13"/>
  </cols>
  <sheetData>
    <row r="1" ht="15.75" customHeight="1">
      <c r="A1" s="97" t="s">
        <v>6509</v>
      </c>
      <c r="B1" s="98" t="s">
        <v>3</v>
      </c>
      <c r="C1" s="99">
        <f>IFERROR(__xludf.DUMMYFUNCTION("TRANSPOSE(UNIQUE(SORTN(FILTER( UASCAN!D:D,UASCAN!G:G=2),1,1,0,1)))"),44613.0)</f>
        <v>44613</v>
      </c>
      <c r="D1" s="99">
        <f>IFERROR(__xludf.DUMMYFUNCTION("""COMPUTED_VALUE"""),44614.0)</f>
        <v>44614</v>
      </c>
      <c r="E1" s="99">
        <f>IFERROR(__xludf.DUMMYFUNCTION("""COMPUTED_VALUE"""),44616.0)</f>
        <v>44616</v>
      </c>
      <c r="F1" s="99">
        <f>IFERROR(__xludf.DUMMYFUNCTION("""COMPUTED_VALUE"""),44617.0)</f>
        <v>44617</v>
      </c>
      <c r="G1" s="99">
        <f>IFERROR(__xludf.DUMMYFUNCTION("""COMPUTED_VALUE"""),44615.0)</f>
        <v>44615</v>
      </c>
      <c r="H1" s="99">
        <f>IFERROR(__xludf.DUMMYFUNCTION("""COMPUTED_VALUE"""),44620.0)</f>
        <v>44620</v>
      </c>
    </row>
    <row r="2" ht="15.75" customHeight="1">
      <c r="A2" s="100">
        <f>SUM(C2:H2)</f>
        <v>165</v>
      </c>
      <c r="B2" s="98" t="s">
        <v>6510</v>
      </c>
      <c r="C2" s="98">
        <f>IFERROR(__xludf.DUMMYFUNCTION("COUNTUNIQUE(C3:C1002)"),41.0)</f>
        <v>41</v>
      </c>
      <c r="D2" s="98">
        <f>IFERROR(__xludf.DUMMYFUNCTION("COUNTUNIQUE(D3:D1002)"),28.0)</f>
        <v>28</v>
      </c>
      <c r="E2" s="98">
        <f>IFERROR(__xludf.DUMMYFUNCTION("COUNTUNIQUE(E3:E1002)"),31.0)</f>
        <v>31</v>
      </c>
      <c r="F2" s="98">
        <f>IFERROR(__xludf.DUMMYFUNCTION("COUNTUNIQUE(F3:F1002)"),10.0)</f>
        <v>10</v>
      </c>
      <c r="G2" s="98">
        <f>IFERROR(__xludf.DUMMYFUNCTION("COUNTUNIQUE(G3:G1002)"),34.0)</f>
        <v>34</v>
      </c>
      <c r="H2" s="98">
        <f>IFERROR(__xludf.DUMMYFUNCTION("COUNTUNIQUE(H3:H1002)"),21.0)</f>
        <v>21</v>
      </c>
    </row>
    <row r="3" ht="15.75" customHeight="1">
      <c r="A3" s="100"/>
      <c r="B3" s="98"/>
      <c r="C3" s="101">
        <f>IFERROR(__xludf.DUMMYFUNCTION("transpose(SPLIT(UNIQUE(SORTN(FILTER( SCAN!$C:$C,SCAN!$D:$D=C$1),1,1,0,FALSE)), "",""))"),13885.0)</f>
        <v>13885</v>
      </c>
      <c r="D3" s="101">
        <f>IFERROR(__xludf.DUMMYFUNCTION("transpose(SPLIT(UNIQUE(SORTN(FILTER( SCAN!$C:$C,SCAN!$D:$D=D$1),1,1,0,FALSE)), "",""))"),17683.0)</f>
        <v>17683</v>
      </c>
      <c r="E3" s="101">
        <f>IFERROR(__xludf.DUMMYFUNCTION("transpose(SPLIT(UNIQUE(SORTN(FILTER( SCAN!$C:$C,SCAN!$D:$D=E$1),1,1,0,FALSE)), "",""))"),16695.0)</f>
        <v>16695</v>
      </c>
      <c r="F3" s="101">
        <f>IFERROR(__xludf.DUMMYFUNCTION("transpose(SPLIT(UNIQUE(SORTN(FILTER( SCAN!$C:$C,SCAN!$D:$D=F$1),1,1,0,FALSE)), "",""))"),17276.0)</f>
        <v>17276</v>
      </c>
      <c r="G3" s="101">
        <f>IFERROR(__xludf.DUMMYFUNCTION("transpose(SPLIT(UNIQUE(SORTN(FILTER( SCAN!$C:$C,SCAN!$D:$D=G$1),1,1,0,FALSE)), "",""))"),9283.0)</f>
        <v>9283</v>
      </c>
      <c r="H3" s="101">
        <f>IFERROR(__xludf.DUMMYFUNCTION("transpose(SPLIT(UNIQUE(SORTN(FILTER( SCAN!$C:$C,SCAN!$D:$D=H$1),1,1,0,FALSE)), "",""))"),15549.0)</f>
        <v>15549</v>
      </c>
    </row>
    <row r="4" ht="15.75" customHeight="1">
      <c r="A4" s="100"/>
      <c r="B4" s="98"/>
      <c r="C4" s="101">
        <f>IFERROR(__xludf.DUMMYFUNCTION("""COMPUTED_VALUE"""),9265.0)</f>
        <v>9265</v>
      </c>
      <c r="D4" s="101">
        <f>IFERROR(__xludf.DUMMYFUNCTION("""COMPUTED_VALUE"""),17804.0)</f>
        <v>17804</v>
      </c>
      <c r="E4" s="101">
        <f>IFERROR(__xludf.DUMMYFUNCTION("""COMPUTED_VALUE"""),13601.0)</f>
        <v>13601</v>
      </c>
      <c r="F4" s="101">
        <f>IFERROR(__xludf.DUMMYFUNCTION("""COMPUTED_VALUE"""),9187.0)</f>
        <v>9187</v>
      </c>
      <c r="G4" s="101">
        <f>IFERROR(__xludf.DUMMYFUNCTION("""COMPUTED_VALUE"""),15328.0)</f>
        <v>15328</v>
      </c>
      <c r="H4" s="101">
        <f>IFERROR(__xludf.DUMMYFUNCTION("""COMPUTED_VALUE"""),18202.0)</f>
        <v>18202</v>
      </c>
    </row>
    <row r="5" ht="15.75" customHeight="1">
      <c r="A5" s="100"/>
      <c r="B5" s="98"/>
      <c r="C5" s="101">
        <f>IFERROR(__xludf.DUMMYFUNCTION("""COMPUTED_VALUE"""),18125.0)</f>
        <v>18125</v>
      </c>
      <c r="D5" s="101">
        <f>IFERROR(__xludf.DUMMYFUNCTION("""COMPUTED_VALUE"""),18160.0)</f>
        <v>18160</v>
      </c>
      <c r="E5" s="101">
        <f>IFERROR(__xludf.DUMMYFUNCTION("""COMPUTED_VALUE"""),17645.0)</f>
        <v>17645</v>
      </c>
      <c r="F5" s="101">
        <f>IFERROR(__xludf.DUMMYFUNCTION("""COMPUTED_VALUE"""),15786.0)</f>
        <v>15786</v>
      </c>
      <c r="G5" s="101">
        <f>IFERROR(__xludf.DUMMYFUNCTION("""COMPUTED_VALUE"""),13429.0)</f>
        <v>13429</v>
      </c>
      <c r="H5" s="101">
        <f>IFERROR(__xludf.DUMMYFUNCTION("""COMPUTED_VALUE"""),18171.0)</f>
        <v>18171</v>
      </c>
    </row>
    <row r="6" ht="15.75" customHeight="1">
      <c r="A6" s="100"/>
      <c r="B6" s="98"/>
      <c r="C6" s="101">
        <f>IFERROR(__xludf.DUMMYFUNCTION("""COMPUTED_VALUE"""),11389.0)</f>
        <v>11389</v>
      </c>
      <c r="D6" s="101">
        <f>IFERROR(__xludf.DUMMYFUNCTION("""COMPUTED_VALUE"""),18142.0)</f>
        <v>18142</v>
      </c>
      <c r="E6" s="101">
        <f>IFERROR(__xludf.DUMMYFUNCTION("""COMPUTED_VALUE"""),17214.0)</f>
        <v>17214</v>
      </c>
      <c r="F6" s="101">
        <f>IFERROR(__xludf.DUMMYFUNCTION("""COMPUTED_VALUE"""),16637.0)</f>
        <v>16637</v>
      </c>
      <c r="G6" s="101">
        <f>IFERROR(__xludf.DUMMYFUNCTION("""COMPUTED_VALUE"""),15223.0)</f>
        <v>15223</v>
      </c>
      <c r="H6" s="101">
        <f>IFERROR(__xludf.DUMMYFUNCTION("""COMPUTED_VALUE"""),18105.0)</f>
        <v>18105</v>
      </c>
    </row>
    <row r="7" ht="15.75" customHeight="1">
      <c r="A7" s="100"/>
      <c r="B7" s="98"/>
      <c r="C7" s="101">
        <f>IFERROR(__xludf.DUMMYFUNCTION("""COMPUTED_VALUE"""),14185.0)</f>
        <v>14185</v>
      </c>
      <c r="D7" s="101">
        <f>IFERROR(__xludf.DUMMYFUNCTION("""COMPUTED_VALUE"""),18167.0)</f>
        <v>18167</v>
      </c>
      <c r="E7" s="101">
        <f>IFERROR(__xludf.DUMMYFUNCTION("""COMPUTED_VALUE"""),10796.0)</f>
        <v>10796</v>
      </c>
      <c r="F7" s="101">
        <f>IFERROR(__xludf.DUMMYFUNCTION("""COMPUTED_VALUE"""),10878.0)</f>
        <v>10878</v>
      </c>
      <c r="G7" s="101">
        <f>IFERROR(__xludf.DUMMYFUNCTION("""COMPUTED_VALUE"""),15530.0)</f>
        <v>15530</v>
      </c>
      <c r="H7" s="101">
        <f>IFERROR(__xludf.DUMMYFUNCTION("""COMPUTED_VALUE"""),18201.0)</f>
        <v>18201</v>
      </c>
    </row>
    <row r="8" ht="15.75" customHeight="1">
      <c r="A8" s="100"/>
      <c r="B8" s="98"/>
      <c r="C8" s="101">
        <f>IFERROR(__xludf.DUMMYFUNCTION("""COMPUTED_VALUE"""),18128.0)</f>
        <v>18128</v>
      </c>
      <c r="D8" s="101">
        <f>IFERROR(__xludf.DUMMYFUNCTION("""COMPUTED_VALUE"""),18185.0)</f>
        <v>18185</v>
      </c>
      <c r="E8" s="101">
        <f>IFERROR(__xludf.DUMMYFUNCTION("""COMPUTED_VALUE"""),16333.0)</f>
        <v>16333</v>
      </c>
      <c r="F8" s="101">
        <f>IFERROR(__xludf.DUMMYFUNCTION("""COMPUTED_VALUE"""),16355.0)</f>
        <v>16355</v>
      </c>
      <c r="G8" s="101">
        <f>IFERROR(__xludf.DUMMYFUNCTION("""COMPUTED_VALUE"""),11411.0)</f>
        <v>11411</v>
      </c>
      <c r="H8" s="101">
        <f>IFERROR(__xludf.DUMMYFUNCTION("""COMPUTED_VALUE"""),16128.0)</f>
        <v>16128</v>
      </c>
    </row>
    <row r="9" ht="15.75" customHeight="1">
      <c r="A9" s="100"/>
      <c r="B9" s="98"/>
      <c r="C9" s="101">
        <f>IFERROR(__xludf.DUMMYFUNCTION("""COMPUTED_VALUE"""),9242.0)</f>
        <v>9242</v>
      </c>
      <c r="D9" s="101">
        <f>IFERROR(__xludf.DUMMYFUNCTION("""COMPUTED_VALUE"""),18179.0)</f>
        <v>18179</v>
      </c>
      <c r="E9" s="101">
        <f>IFERROR(__xludf.DUMMYFUNCTION("""COMPUTED_VALUE"""),10115.0)</f>
        <v>10115</v>
      </c>
      <c r="F9" s="101">
        <f>IFERROR(__xludf.DUMMYFUNCTION("""COMPUTED_VALUE"""),16236.0)</f>
        <v>16236</v>
      </c>
      <c r="G9" s="101">
        <f>IFERROR(__xludf.DUMMYFUNCTION("""COMPUTED_VALUE"""),17789.0)</f>
        <v>17789</v>
      </c>
      <c r="H9" s="101">
        <f>IFERROR(__xludf.DUMMYFUNCTION("""COMPUTED_VALUE"""),14186.0)</f>
        <v>14186</v>
      </c>
    </row>
    <row r="10" ht="15.75" customHeight="1">
      <c r="A10" s="100"/>
      <c r="B10" s="98"/>
      <c r="C10" s="101">
        <f>IFERROR(__xludf.DUMMYFUNCTION("""COMPUTED_VALUE"""),16135.0)</f>
        <v>16135</v>
      </c>
      <c r="D10" s="101">
        <f>IFERROR(__xludf.DUMMYFUNCTION("""COMPUTED_VALUE"""),13673.0)</f>
        <v>13673</v>
      </c>
      <c r="E10" s="101">
        <f>IFERROR(__xludf.DUMMYFUNCTION("""COMPUTED_VALUE"""),13458.0)</f>
        <v>13458</v>
      </c>
      <c r="F10" s="101">
        <f>IFERROR(__xludf.DUMMYFUNCTION("""COMPUTED_VALUE"""),11004.0)</f>
        <v>11004</v>
      </c>
      <c r="G10" s="101">
        <f>IFERROR(__xludf.DUMMYFUNCTION("""COMPUTED_VALUE"""),12446.0)</f>
        <v>12446</v>
      </c>
      <c r="H10" s="101">
        <f>IFERROR(__xludf.DUMMYFUNCTION("""COMPUTED_VALUE"""),14612.0)</f>
        <v>14612</v>
      </c>
    </row>
    <row r="11" ht="15.75" customHeight="1">
      <c r="A11" s="100"/>
      <c r="B11" s="98"/>
      <c r="C11" s="101">
        <f>IFERROR(__xludf.DUMMYFUNCTION("""COMPUTED_VALUE"""),16035.0)</f>
        <v>16035</v>
      </c>
      <c r="D11" s="101">
        <f>IFERROR(__xludf.DUMMYFUNCTION("""COMPUTED_VALUE"""),17432.0)</f>
        <v>17432</v>
      </c>
      <c r="E11" s="101">
        <f>IFERROR(__xludf.DUMMYFUNCTION("""COMPUTED_VALUE"""),10323.0)</f>
        <v>10323</v>
      </c>
      <c r="F11" s="101">
        <f>IFERROR(__xludf.DUMMYFUNCTION("""COMPUTED_VALUE"""),15606.0)</f>
        <v>15606</v>
      </c>
      <c r="G11" s="101">
        <f>IFERROR(__xludf.DUMMYFUNCTION("""COMPUTED_VALUE"""),10466.0)</f>
        <v>10466</v>
      </c>
      <c r="H11" s="101">
        <f>IFERROR(__xludf.DUMMYFUNCTION("""COMPUTED_VALUE"""),18009.0)</f>
        <v>18009</v>
      </c>
    </row>
    <row r="12" ht="15.75" customHeight="1">
      <c r="A12" s="100"/>
      <c r="B12" s="98"/>
      <c r="C12" s="101">
        <f>IFERROR(__xludf.DUMMYFUNCTION("""COMPUTED_VALUE"""),16739.0)</f>
        <v>16739</v>
      </c>
      <c r="D12" s="101">
        <f>IFERROR(__xludf.DUMMYFUNCTION("""COMPUTED_VALUE"""),18149.0)</f>
        <v>18149</v>
      </c>
      <c r="E12" s="101">
        <f>IFERROR(__xludf.DUMMYFUNCTION("""COMPUTED_VALUE"""),16053.0)</f>
        <v>16053</v>
      </c>
      <c r="F12" s="101">
        <f>IFERROR(__xludf.DUMMYFUNCTION("""COMPUTED_VALUE"""),16252.0)</f>
        <v>16252</v>
      </c>
      <c r="G12" s="101">
        <f>IFERROR(__xludf.DUMMYFUNCTION("""COMPUTED_VALUE"""),9574.0)</f>
        <v>9574</v>
      </c>
      <c r="H12" s="101">
        <f>IFERROR(__xludf.DUMMYFUNCTION("""COMPUTED_VALUE"""),15175.0)</f>
        <v>15175</v>
      </c>
    </row>
    <row r="13" ht="15.75" customHeight="1">
      <c r="A13" s="100"/>
      <c r="B13" s="98"/>
      <c r="C13" s="101">
        <f>IFERROR(__xludf.DUMMYFUNCTION("""COMPUTED_VALUE"""),18159.0)</f>
        <v>18159</v>
      </c>
      <c r="D13" s="101">
        <f>IFERROR(__xludf.DUMMYFUNCTION("""COMPUTED_VALUE"""),16983.0)</f>
        <v>16983</v>
      </c>
      <c r="E13" s="101">
        <f>IFERROR(__xludf.DUMMYFUNCTION("""COMPUTED_VALUE"""),13799.0)</f>
        <v>13799</v>
      </c>
      <c r="F13" s="101"/>
      <c r="G13" s="101">
        <f>IFERROR(__xludf.DUMMYFUNCTION("""COMPUTED_VALUE"""),16392.0)</f>
        <v>16392</v>
      </c>
      <c r="H13" s="101">
        <f>IFERROR(__xludf.DUMMYFUNCTION("""COMPUTED_VALUE"""),18199.0)</f>
        <v>18199</v>
      </c>
    </row>
    <row r="14" ht="15.75" customHeight="1">
      <c r="A14" s="100"/>
      <c r="B14" s="98"/>
      <c r="C14" s="101">
        <f>IFERROR(__xludf.DUMMYFUNCTION("""COMPUTED_VALUE"""),16388.0)</f>
        <v>16388</v>
      </c>
      <c r="D14" s="101">
        <f>IFERROR(__xludf.DUMMYFUNCTION("""COMPUTED_VALUE"""),10817.0)</f>
        <v>10817</v>
      </c>
      <c r="E14" s="101">
        <f>IFERROR(__xludf.DUMMYFUNCTION("""COMPUTED_VALUE"""),14503.0)</f>
        <v>14503</v>
      </c>
      <c r="F14" s="101"/>
      <c r="G14" s="101">
        <f>IFERROR(__xludf.DUMMYFUNCTION("""COMPUTED_VALUE"""),16286.0)</f>
        <v>16286</v>
      </c>
      <c r="H14" s="101">
        <f>IFERROR(__xludf.DUMMYFUNCTION("""COMPUTED_VALUE"""),18205.0)</f>
        <v>18205</v>
      </c>
    </row>
    <row r="15" ht="15.75" customHeight="1">
      <c r="A15" s="100"/>
      <c r="B15" s="98"/>
      <c r="C15" s="101">
        <f>IFERROR(__xludf.DUMMYFUNCTION("""COMPUTED_VALUE"""),14900.0)</f>
        <v>14900</v>
      </c>
      <c r="D15" s="101">
        <f>IFERROR(__xludf.DUMMYFUNCTION("""COMPUTED_VALUE"""),11207.0)</f>
        <v>11207</v>
      </c>
      <c r="E15" s="101">
        <f>IFERROR(__xludf.DUMMYFUNCTION("""COMPUTED_VALUE"""),15591.0)</f>
        <v>15591</v>
      </c>
      <c r="F15" s="101"/>
      <c r="G15" s="101">
        <f>IFERROR(__xludf.DUMMYFUNCTION("""COMPUTED_VALUE"""),11059.0)</f>
        <v>11059</v>
      </c>
      <c r="H15" s="101">
        <f>IFERROR(__xludf.DUMMYFUNCTION("""COMPUTED_VALUE"""),14909.0)</f>
        <v>14909</v>
      </c>
    </row>
    <row r="16" ht="15.75" customHeight="1">
      <c r="A16" s="100"/>
      <c r="B16" s="98"/>
      <c r="C16" s="101">
        <f>IFERROR(__xludf.DUMMYFUNCTION("""COMPUTED_VALUE"""),10047.0)</f>
        <v>10047</v>
      </c>
      <c r="D16" s="101">
        <f>IFERROR(__xludf.DUMMYFUNCTION("""COMPUTED_VALUE"""),14520.0)</f>
        <v>14520</v>
      </c>
      <c r="E16" s="101">
        <f>IFERROR(__xludf.DUMMYFUNCTION("""COMPUTED_VALUE"""),12669.0)</f>
        <v>12669</v>
      </c>
      <c r="F16" s="101"/>
      <c r="G16" s="101">
        <f>IFERROR(__xludf.DUMMYFUNCTION("""COMPUTED_VALUE"""),18174.0)</f>
        <v>18174</v>
      </c>
      <c r="H16" s="101">
        <f>IFERROR(__xludf.DUMMYFUNCTION("""COMPUTED_VALUE"""),10573.0)</f>
        <v>10573</v>
      </c>
    </row>
    <row r="17" ht="15.75" customHeight="1">
      <c r="A17" s="100"/>
      <c r="B17" s="98"/>
      <c r="C17" s="101">
        <f>IFERROR(__xludf.DUMMYFUNCTION("""COMPUTED_VALUE"""),9676.0)</f>
        <v>9676</v>
      </c>
      <c r="D17" s="101">
        <f>IFERROR(__xludf.DUMMYFUNCTION("""COMPUTED_VALUE"""),16873.0)</f>
        <v>16873</v>
      </c>
      <c r="E17" s="101">
        <f>IFERROR(__xludf.DUMMYFUNCTION("""COMPUTED_VALUE"""),12775.0)</f>
        <v>12775</v>
      </c>
      <c r="F17" s="101"/>
      <c r="G17" s="101">
        <f>IFERROR(__xludf.DUMMYFUNCTION("""COMPUTED_VALUE"""),11072.0)</f>
        <v>11072</v>
      </c>
      <c r="H17" s="101">
        <f>IFERROR(__xludf.DUMMYFUNCTION("""COMPUTED_VALUE"""),15375.0)</f>
        <v>15375</v>
      </c>
    </row>
    <row r="18" ht="15.75" customHeight="1">
      <c r="A18" s="100"/>
      <c r="B18" s="98"/>
      <c r="C18" s="101">
        <f>IFERROR(__xludf.DUMMYFUNCTION("""COMPUTED_VALUE"""),12556.0)</f>
        <v>12556</v>
      </c>
      <c r="D18" s="101">
        <f>IFERROR(__xludf.DUMMYFUNCTION("""COMPUTED_VALUE"""),15570.0)</f>
        <v>15570</v>
      </c>
      <c r="E18" s="101">
        <f>IFERROR(__xludf.DUMMYFUNCTION("""COMPUTED_VALUE"""),15604.0)</f>
        <v>15604</v>
      </c>
      <c r="F18" s="101"/>
      <c r="G18" s="101">
        <f>IFERROR(__xludf.DUMMYFUNCTION("""COMPUTED_VALUE"""),18192.0)</f>
        <v>18192</v>
      </c>
      <c r="H18" s="101">
        <f>IFERROR(__xludf.DUMMYFUNCTION("""COMPUTED_VALUE"""),14753.0)</f>
        <v>14753</v>
      </c>
    </row>
    <row r="19" ht="15.75" customHeight="1">
      <c r="A19" s="100"/>
      <c r="B19" s="98"/>
      <c r="C19" s="101">
        <f>IFERROR(__xludf.DUMMYFUNCTION("""COMPUTED_VALUE"""),14256.0)</f>
        <v>14256</v>
      </c>
      <c r="D19" s="101">
        <f>IFERROR(__xludf.DUMMYFUNCTION("""COMPUTED_VALUE"""),14257.0)</f>
        <v>14257</v>
      </c>
      <c r="E19" s="101">
        <f>IFERROR(__xludf.DUMMYFUNCTION("""COMPUTED_VALUE"""),14602.0)</f>
        <v>14602</v>
      </c>
      <c r="F19" s="101"/>
      <c r="G19" s="101">
        <f>IFERROR(__xludf.DUMMYFUNCTION("""COMPUTED_VALUE"""),18176.0)</f>
        <v>18176</v>
      </c>
      <c r="H19" s="101">
        <f>IFERROR(__xludf.DUMMYFUNCTION("""COMPUTED_VALUE"""),12224.0)</f>
        <v>12224</v>
      </c>
    </row>
    <row r="20" ht="15.75" customHeight="1">
      <c r="A20" s="100"/>
      <c r="B20" s="98"/>
      <c r="C20" s="101">
        <f>IFERROR(__xludf.DUMMYFUNCTION("""COMPUTED_VALUE"""),18130.0)</f>
        <v>18130</v>
      </c>
      <c r="D20" s="101">
        <f>IFERROR(__xludf.DUMMYFUNCTION("""COMPUTED_VALUE"""),16320.0)</f>
        <v>16320</v>
      </c>
      <c r="E20" s="101">
        <f>IFERROR(__xludf.DUMMYFUNCTION("""COMPUTED_VALUE"""),11223.0)</f>
        <v>11223</v>
      </c>
      <c r="F20" s="101"/>
      <c r="G20" s="101">
        <f>IFERROR(__xludf.DUMMYFUNCTION("""COMPUTED_VALUE"""),18189.0)</f>
        <v>18189</v>
      </c>
      <c r="H20" s="101">
        <f>IFERROR(__xludf.DUMMYFUNCTION("""COMPUTED_VALUE"""),17887.0)</f>
        <v>17887</v>
      </c>
    </row>
    <row r="21" ht="15.75" customHeight="1">
      <c r="A21" s="100"/>
      <c r="B21" s="98"/>
      <c r="C21" s="101">
        <f>IFERROR(__xludf.DUMMYFUNCTION("""COMPUTED_VALUE"""),18127.0)</f>
        <v>18127</v>
      </c>
      <c r="D21" s="101">
        <f>IFERROR(__xludf.DUMMYFUNCTION("""COMPUTED_VALUE"""),14373.0)</f>
        <v>14373</v>
      </c>
      <c r="E21" s="101">
        <f>IFERROR(__xludf.DUMMYFUNCTION("""COMPUTED_VALUE"""),16974.0)</f>
        <v>16974</v>
      </c>
      <c r="F21" s="101"/>
      <c r="G21" s="101">
        <f>IFERROR(__xludf.DUMMYFUNCTION("""COMPUTED_VALUE"""),17512.0)</f>
        <v>17512</v>
      </c>
      <c r="H21" s="101">
        <f>IFERROR(__xludf.DUMMYFUNCTION("""COMPUTED_VALUE"""),18246.0)</f>
        <v>18246</v>
      </c>
    </row>
    <row r="22" ht="15.75" customHeight="1">
      <c r="A22" s="100"/>
      <c r="B22" s="98"/>
      <c r="C22" s="101">
        <f>IFERROR(__xludf.DUMMYFUNCTION("""COMPUTED_VALUE"""),17982.0)</f>
        <v>17982</v>
      </c>
      <c r="D22" s="101">
        <f>IFERROR(__xludf.DUMMYFUNCTION("""COMPUTED_VALUE"""),17945.0)</f>
        <v>17945</v>
      </c>
      <c r="E22" s="101">
        <f>IFERROR(__xludf.DUMMYFUNCTION("""COMPUTED_VALUE"""),11797.0)</f>
        <v>11797</v>
      </c>
      <c r="F22" s="101"/>
      <c r="G22" s="101">
        <f>IFERROR(__xludf.DUMMYFUNCTION("""COMPUTED_VALUE"""),12375.0)</f>
        <v>12375</v>
      </c>
      <c r="H22" s="101">
        <f>IFERROR(__xludf.DUMMYFUNCTION("""COMPUTED_VALUE"""),11761.0)</f>
        <v>11761</v>
      </c>
    </row>
    <row r="23" ht="15.75" customHeight="1">
      <c r="A23" s="100"/>
      <c r="B23" s="98"/>
      <c r="C23" s="101">
        <f>IFERROR(__xludf.DUMMYFUNCTION("""COMPUTED_VALUE"""),18178.0)</f>
        <v>18178</v>
      </c>
      <c r="D23" s="101">
        <f>IFERROR(__xludf.DUMMYFUNCTION("""COMPUTED_VALUE"""),18154.0)</f>
        <v>18154</v>
      </c>
      <c r="E23" s="101">
        <f>IFERROR(__xludf.DUMMYFUNCTION("""COMPUTED_VALUE"""),15145.0)</f>
        <v>15145</v>
      </c>
      <c r="F23" s="101"/>
      <c r="G23" s="101">
        <f>IFERROR(__xludf.DUMMYFUNCTION("""COMPUTED_VALUE"""),17854.0)</f>
        <v>17854</v>
      </c>
      <c r="H23" s="101">
        <f>IFERROR(__xludf.DUMMYFUNCTION("""COMPUTED_VALUE"""),17657.0)</f>
        <v>17657</v>
      </c>
    </row>
    <row r="24" ht="15.75" customHeight="1">
      <c r="A24" s="100"/>
      <c r="B24" s="98"/>
      <c r="C24" s="101">
        <f>IFERROR(__xludf.DUMMYFUNCTION("""COMPUTED_VALUE"""),18023.0)</f>
        <v>18023</v>
      </c>
      <c r="D24" s="101">
        <f>IFERROR(__xludf.DUMMYFUNCTION("""COMPUTED_VALUE"""),18173.0)</f>
        <v>18173</v>
      </c>
      <c r="E24" s="101">
        <f>IFERROR(__xludf.DUMMYFUNCTION("""COMPUTED_VALUE"""),17316.0)</f>
        <v>17316</v>
      </c>
      <c r="F24" s="101"/>
      <c r="G24" s="101">
        <f>IFERROR(__xludf.DUMMYFUNCTION("""COMPUTED_VALUE"""),10031.0)</f>
        <v>10031</v>
      </c>
      <c r="H24" s="101"/>
    </row>
    <row r="25" ht="15.75" customHeight="1">
      <c r="A25" s="100"/>
      <c r="B25" s="98"/>
      <c r="C25" s="101">
        <f>IFERROR(__xludf.DUMMYFUNCTION("""COMPUTED_VALUE"""),18144.0)</f>
        <v>18144</v>
      </c>
      <c r="D25" s="101">
        <f>IFERROR(__xludf.DUMMYFUNCTION("""COMPUTED_VALUE"""),15611.0)</f>
        <v>15611</v>
      </c>
      <c r="E25" s="101">
        <f>IFERROR(__xludf.DUMMYFUNCTION("""COMPUTED_VALUE"""),10583.0)</f>
        <v>10583</v>
      </c>
      <c r="F25" s="101"/>
      <c r="G25" s="101">
        <f>IFERROR(__xludf.DUMMYFUNCTION("""COMPUTED_VALUE"""),11738.0)</f>
        <v>11738</v>
      </c>
      <c r="H25" s="101"/>
    </row>
    <row r="26" ht="15.75" customHeight="1">
      <c r="A26" s="100"/>
      <c r="B26" s="98"/>
      <c r="C26" s="101">
        <f>IFERROR(__xludf.DUMMYFUNCTION("""COMPUTED_VALUE"""),17581.0)</f>
        <v>17581</v>
      </c>
      <c r="D26" s="101">
        <f>IFERROR(__xludf.DUMMYFUNCTION("""COMPUTED_VALUE"""),13830.0)</f>
        <v>13830</v>
      </c>
      <c r="E26" s="101">
        <f>IFERROR(__xludf.DUMMYFUNCTION("""COMPUTED_VALUE"""),17587.0)</f>
        <v>17587</v>
      </c>
      <c r="F26" s="101"/>
      <c r="G26" s="101">
        <f>IFERROR(__xludf.DUMMYFUNCTION("""COMPUTED_VALUE"""),16294.0)</f>
        <v>16294</v>
      </c>
      <c r="H26" s="101"/>
    </row>
    <row r="27" ht="15.75" customHeight="1">
      <c r="A27" s="100"/>
      <c r="B27" s="98"/>
      <c r="C27" s="101">
        <f>IFERROR(__xludf.DUMMYFUNCTION("""COMPUTED_VALUE"""),13235.0)</f>
        <v>13235</v>
      </c>
      <c r="D27" s="101">
        <f>IFERROR(__xludf.DUMMYFUNCTION("""COMPUTED_VALUE"""),9492.0)</f>
        <v>9492</v>
      </c>
      <c r="E27" s="101">
        <f>IFERROR(__xludf.DUMMYFUNCTION("""COMPUTED_VALUE"""),12866.0)</f>
        <v>12866</v>
      </c>
      <c r="F27" s="101"/>
      <c r="G27" s="101">
        <f>IFERROR(__xludf.DUMMYFUNCTION("""COMPUTED_VALUE"""),11728.0)</f>
        <v>11728</v>
      </c>
      <c r="H27" s="101"/>
    </row>
    <row r="28" ht="15.75" customHeight="1">
      <c r="A28" s="100"/>
      <c r="B28" s="98"/>
      <c r="C28" s="101">
        <f>IFERROR(__xludf.DUMMYFUNCTION("""COMPUTED_VALUE"""),14184.0)</f>
        <v>14184</v>
      </c>
      <c r="D28" s="101">
        <f>IFERROR(__xludf.DUMMYFUNCTION("""COMPUTED_VALUE"""),11357.0)</f>
        <v>11357</v>
      </c>
      <c r="E28" s="101">
        <f>IFERROR(__xludf.DUMMYFUNCTION("""COMPUTED_VALUE"""),17548.0)</f>
        <v>17548</v>
      </c>
      <c r="F28" s="101"/>
      <c r="G28" s="101">
        <f>IFERROR(__xludf.DUMMYFUNCTION("""COMPUTED_VALUE"""),15044.0)</f>
        <v>15044</v>
      </c>
      <c r="H28" s="101"/>
    </row>
    <row r="29" ht="15.75" customHeight="1">
      <c r="A29" s="100"/>
      <c r="B29" s="98"/>
      <c r="C29" s="101">
        <f>IFERROR(__xludf.DUMMYFUNCTION("""COMPUTED_VALUE"""),17637.0)</f>
        <v>17637</v>
      </c>
      <c r="D29" s="101">
        <f>IFERROR(__xludf.DUMMYFUNCTION("""COMPUTED_VALUE"""),16245.0)</f>
        <v>16245</v>
      </c>
      <c r="E29" s="101">
        <f>IFERROR(__xludf.DUMMYFUNCTION("""COMPUTED_VALUE"""),16474.0)</f>
        <v>16474</v>
      </c>
      <c r="F29" s="101"/>
      <c r="G29" s="101">
        <f>IFERROR(__xludf.DUMMYFUNCTION("""COMPUTED_VALUE"""),15659.0)</f>
        <v>15659</v>
      </c>
      <c r="H29" s="101"/>
    </row>
    <row r="30" ht="15.75" customHeight="1">
      <c r="A30" s="100"/>
      <c r="B30" s="98"/>
      <c r="C30" s="101">
        <f>IFERROR(__xludf.DUMMYFUNCTION("""COMPUTED_VALUE"""),10623.0)</f>
        <v>10623</v>
      </c>
      <c r="D30" s="101">
        <f>IFERROR(__xludf.DUMMYFUNCTION("""COMPUTED_VALUE"""),10718.0)</f>
        <v>10718</v>
      </c>
      <c r="E30" s="101">
        <f>IFERROR(__xludf.DUMMYFUNCTION("""COMPUTED_VALUE"""),17911.0)</f>
        <v>17911</v>
      </c>
      <c r="F30" s="101"/>
      <c r="G30" s="101">
        <f>IFERROR(__xludf.DUMMYFUNCTION("""COMPUTED_VALUE"""),9164.0)</f>
        <v>9164</v>
      </c>
      <c r="H30" s="101"/>
    </row>
    <row r="31" ht="15.75" customHeight="1">
      <c r="A31" s="100"/>
      <c r="B31" s="98"/>
      <c r="C31" s="101">
        <f>IFERROR(__xludf.DUMMYFUNCTION("""COMPUTED_VALUE"""),15910.0)</f>
        <v>15910</v>
      </c>
      <c r="D31" s="101"/>
      <c r="E31" s="101">
        <f>IFERROR(__xludf.DUMMYFUNCTION("""COMPUTED_VALUE"""),9878.0)</f>
        <v>9878</v>
      </c>
      <c r="F31" s="101"/>
      <c r="G31" s="101">
        <f>IFERROR(__xludf.DUMMYFUNCTION("""COMPUTED_VALUE"""),15219.0)</f>
        <v>15219</v>
      </c>
      <c r="H31" s="101"/>
    </row>
    <row r="32" ht="15.75" customHeight="1">
      <c r="A32" s="100"/>
      <c r="B32" s="98"/>
      <c r="C32" s="101">
        <f>IFERROR(__xludf.DUMMYFUNCTION("""COMPUTED_VALUE"""),11690.0)</f>
        <v>11690</v>
      </c>
      <c r="D32" s="101"/>
      <c r="E32" s="101">
        <f>IFERROR(__xludf.DUMMYFUNCTION("""COMPUTED_VALUE"""),10395.0)</f>
        <v>10395</v>
      </c>
      <c r="F32" s="101"/>
      <c r="G32" s="101">
        <f>IFERROR(__xludf.DUMMYFUNCTION("""COMPUTED_VALUE"""),18207.0)</f>
        <v>18207</v>
      </c>
      <c r="H32" s="101"/>
    </row>
    <row r="33" ht="15.75" customHeight="1">
      <c r="A33" s="100"/>
      <c r="B33" s="98"/>
      <c r="C33" s="101">
        <f>IFERROR(__xludf.DUMMYFUNCTION("""COMPUTED_VALUE"""),9361.0)</f>
        <v>9361</v>
      </c>
      <c r="D33" s="101"/>
      <c r="E33" s="101">
        <f>IFERROR(__xludf.DUMMYFUNCTION("""COMPUTED_VALUE"""),14183.0)</f>
        <v>14183</v>
      </c>
      <c r="F33" s="101"/>
      <c r="G33" s="101">
        <f>IFERROR(__xludf.DUMMYFUNCTION("""COMPUTED_VALUE"""),16262.0)</f>
        <v>16262</v>
      </c>
      <c r="H33" s="101"/>
    </row>
    <row r="34" ht="15.75" customHeight="1">
      <c r="A34" s="100"/>
      <c r="B34" s="98"/>
      <c r="C34" s="101">
        <f>IFERROR(__xludf.DUMMYFUNCTION("""COMPUTED_VALUE"""),15972.0)</f>
        <v>15972</v>
      </c>
      <c r="D34" s="101"/>
      <c r="E34" s="101"/>
      <c r="F34" s="101"/>
      <c r="G34" s="101">
        <f>IFERROR(__xludf.DUMMYFUNCTION("""COMPUTED_VALUE"""),14985.0)</f>
        <v>14985</v>
      </c>
      <c r="H34" s="101"/>
    </row>
    <row r="35" ht="15.75" customHeight="1">
      <c r="A35" s="100"/>
      <c r="B35" s="98"/>
      <c r="C35" s="101">
        <f>IFERROR(__xludf.DUMMYFUNCTION("""COMPUTED_VALUE"""),16096.0)</f>
        <v>16096</v>
      </c>
      <c r="D35" s="101"/>
      <c r="E35" s="101"/>
      <c r="F35" s="101"/>
      <c r="G35" s="101">
        <f>IFERROR(__xludf.DUMMYFUNCTION("""COMPUTED_VALUE"""),10445.0)</f>
        <v>10445</v>
      </c>
      <c r="H35" s="101"/>
    </row>
    <row r="36" ht="15.75" customHeight="1">
      <c r="A36" s="100"/>
      <c r="B36" s="98"/>
      <c r="C36" s="101">
        <f>IFERROR(__xludf.DUMMYFUNCTION("""COMPUTED_VALUE"""),12275.0)</f>
        <v>12275</v>
      </c>
      <c r="D36" s="101"/>
      <c r="E36" s="101"/>
      <c r="F36" s="101"/>
      <c r="G36" s="101">
        <f>IFERROR(__xludf.DUMMYFUNCTION("""COMPUTED_VALUE"""),14757.0)</f>
        <v>14757</v>
      </c>
      <c r="H36" s="101"/>
    </row>
    <row r="37" ht="15.75" customHeight="1">
      <c r="A37" s="100"/>
      <c r="B37" s="98"/>
      <c r="C37" s="101">
        <f>IFERROR(__xludf.DUMMYFUNCTION("""COMPUTED_VALUE"""),15831.0)</f>
        <v>15831</v>
      </c>
      <c r="D37" s="101"/>
      <c r="E37" s="101"/>
      <c r="F37" s="101"/>
      <c r="G37" s="101"/>
      <c r="H37" s="101"/>
    </row>
    <row r="38" ht="15.75" customHeight="1">
      <c r="A38" s="100"/>
      <c r="B38" s="98"/>
      <c r="C38" s="101">
        <f>IFERROR(__xludf.DUMMYFUNCTION("""COMPUTED_VALUE"""),10337.0)</f>
        <v>10337</v>
      </c>
      <c r="D38" s="101"/>
      <c r="E38" s="101"/>
      <c r="F38" s="101"/>
      <c r="G38" s="101"/>
      <c r="H38" s="101"/>
    </row>
    <row r="39" ht="15.75" customHeight="1">
      <c r="A39" s="100"/>
      <c r="B39" s="98"/>
      <c r="C39" s="101">
        <f>IFERROR(__xludf.DUMMYFUNCTION("""COMPUTED_VALUE"""),15379.0)</f>
        <v>15379</v>
      </c>
      <c r="D39" s="101"/>
      <c r="E39" s="101"/>
      <c r="F39" s="101"/>
      <c r="G39" s="101"/>
      <c r="H39" s="101"/>
    </row>
    <row r="40" ht="15.75" customHeight="1">
      <c r="A40" s="100"/>
      <c r="B40" s="98"/>
      <c r="C40" s="101">
        <f>IFERROR(__xludf.DUMMYFUNCTION("""COMPUTED_VALUE"""),17209.0)</f>
        <v>17209</v>
      </c>
      <c r="D40" s="101"/>
      <c r="E40" s="101"/>
      <c r="F40" s="101"/>
      <c r="G40" s="101"/>
      <c r="H40" s="101"/>
    </row>
    <row r="41" ht="15.75" customHeight="1">
      <c r="A41" s="100"/>
      <c r="B41" s="98"/>
      <c r="C41" s="101">
        <f>IFERROR(__xludf.DUMMYFUNCTION("""COMPUTED_VALUE"""),12795.0)</f>
        <v>12795</v>
      </c>
      <c r="D41" s="101"/>
      <c r="E41" s="101"/>
      <c r="F41" s="101"/>
      <c r="G41" s="101"/>
      <c r="H41" s="101"/>
    </row>
    <row r="42" ht="15.75" customHeight="1">
      <c r="A42" s="100"/>
      <c r="B42" s="98"/>
      <c r="C42" s="101">
        <f>IFERROR(__xludf.DUMMYFUNCTION("""COMPUTED_VALUE"""),15555.0)</f>
        <v>15555</v>
      </c>
      <c r="D42" s="101"/>
      <c r="E42" s="101"/>
      <c r="F42" s="101"/>
      <c r="G42" s="101"/>
      <c r="H42" s="101"/>
    </row>
    <row r="43" ht="15.75" customHeight="1">
      <c r="A43" s="100"/>
      <c r="B43" s="98"/>
      <c r="C43" s="101">
        <f>IFERROR(__xludf.DUMMYFUNCTION("""COMPUTED_VALUE"""),10766.0)</f>
        <v>10766</v>
      </c>
      <c r="D43" s="101"/>
      <c r="E43" s="101"/>
      <c r="F43" s="101"/>
      <c r="G43" s="101"/>
      <c r="H43" s="101"/>
    </row>
    <row r="44" ht="15.75" customHeight="1">
      <c r="A44" s="100"/>
      <c r="B44" s="98"/>
      <c r="C44" s="101"/>
      <c r="D44" s="101"/>
      <c r="E44" s="101"/>
      <c r="F44" s="101"/>
      <c r="G44" s="101"/>
      <c r="H44" s="101"/>
    </row>
    <row r="45" ht="15.75" customHeight="1">
      <c r="A45" s="100"/>
      <c r="B45" s="98"/>
      <c r="C45" s="101"/>
      <c r="D45" s="101"/>
      <c r="E45" s="101"/>
      <c r="F45" s="101"/>
      <c r="G45" s="101"/>
      <c r="H45" s="101"/>
    </row>
    <row r="46" ht="15.75" customHeight="1">
      <c r="A46" s="100"/>
      <c r="B46" s="98"/>
      <c r="C46" s="101"/>
      <c r="D46" s="101"/>
      <c r="E46" s="101"/>
      <c r="F46" s="101"/>
      <c r="G46" s="101"/>
      <c r="H46" s="101"/>
    </row>
    <row r="47" ht="15.75" customHeight="1">
      <c r="A47" s="100"/>
      <c r="B47" s="98"/>
      <c r="C47" s="101"/>
      <c r="D47" s="101"/>
      <c r="E47" s="101"/>
      <c r="F47" s="101"/>
      <c r="G47" s="101"/>
      <c r="H47" s="101"/>
    </row>
    <row r="48" ht="15.75" customHeight="1">
      <c r="A48" s="100"/>
      <c r="B48" s="98"/>
      <c r="C48" s="101"/>
      <c r="D48" s="101"/>
      <c r="E48" s="101"/>
      <c r="F48" s="101"/>
      <c r="G48" s="101"/>
      <c r="H48" s="101"/>
    </row>
    <row r="49" ht="15.75" customHeight="1">
      <c r="A49" s="100"/>
      <c r="B49" s="98"/>
      <c r="C49" s="101"/>
      <c r="D49" s="101"/>
      <c r="E49" s="101"/>
      <c r="F49" s="101"/>
      <c r="G49" s="101"/>
      <c r="H49" s="101"/>
    </row>
    <row r="50" ht="15.75" customHeight="1">
      <c r="A50" s="100"/>
      <c r="B50" s="98"/>
      <c r="C50" s="101"/>
      <c r="D50" s="101"/>
      <c r="E50" s="101"/>
      <c r="F50" s="101"/>
      <c r="G50" s="101"/>
      <c r="H50" s="101"/>
    </row>
    <row r="51" ht="15.75" customHeight="1">
      <c r="A51" s="100"/>
      <c r="B51" s="98"/>
      <c r="C51" s="101"/>
      <c r="D51" s="101"/>
      <c r="E51" s="101"/>
      <c r="F51" s="101"/>
      <c r="G51" s="101"/>
      <c r="H51" s="101"/>
    </row>
    <row r="52" ht="15.75" customHeight="1">
      <c r="A52" s="100"/>
      <c r="B52" s="98"/>
      <c r="C52" s="101"/>
      <c r="D52" s="101"/>
      <c r="E52" s="101"/>
      <c r="F52" s="101"/>
      <c r="G52" s="101"/>
      <c r="H52" s="101"/>
    </row>
    <row r="53" ht="15.75" customHeight="1">
      <c r="A53" s="100"/>
      <c r="B53" s="98"/>
      <c r="C53" s="101"/>
      <c r="D53" s="101"/>
      <c r="E53" s="101"/>
      <c r="F53" s="101"/>
      <c r="G53" s="101"/>
      <c r="H53" s="101"/>
    </row>
    <row r="54" ht="15.75" customHeight="1">
      <c r="A54" s="100"/>
      <c r="B54" s="98"/>
      <c r="C54" s="101"/>
      <c r="D54" s="101"/>
      <c r="E54" s="101"/>
      <c r="F54" s="101"/>
      <c r="G54" s="101"/>
      <c r="H54" s="101"/>
    </row>
    <row r="55" ht="15.75" customHeight="1">
      <c r="A55" s="100"/>
      <c r="B55" s="98"/>
      <c r="C55" s="101"/>
      <c r="D55" s="101"/>
      <c r="E55" s="101"/>
      <c r="F55" s="101"/>
      <c r="G55" s="101"/>
      <c r="H55" s="101"/>
    </row>
    <row r="56" ht="15.75" customHeight="1">
      <c r="A56" s="100"/>
      <c r="B56" s="98"/>
      <c r="C56" s="101"/>
      <c r="D56" s="101"/>
      <c r="E56" s="101"/>
      <c r="F56" s="101"/>
      <c r="G56" s="101"/>
      <c r="H56" s="101"/>
    </row>
    <row r="57" ht="15.75" customHeight="1">
      <c r="A57" s="100"/>
      <c r="B57" s="98"/>
      <c r="C57" s="101"/>
      <c r="D57" s="101"/>
      <c r="E57" s="101"/>
      <c r="F57" s="101"/>
      <c r="G57" s="101"/>
      <c r="H57" s="101"/>
    </row>
    <row r="58" ht="15.75" customHeight="1">
      <c r="A58" s="100"/>
      <c r="B58" s="98"/>
      <c r="C58" s="101"/>
      <c r="D58" s="101"/>
      <c r="E58" s="101"/>
      <c r="F58" s="101"/>
      <c r="G58" s="101"/>
      <c r="H58" s="101"/>
    </row>
    <row r="59" ht="15.75" customHeight="1">
      <c r="A59" s="100"/>
      <c r="B59" s="98"/>
      <c r="C59" s="101"/>
      <c r="D59" s="101"/>
      <c r="E59" s="101"/>
      <c r="F59" s="101"/>
      <c r="G59" s="101"/>
      <c r="H59" s="101"/>
    </row>
    <row r="60" ht="15.75" customHeight="1">
      <c r="A60" s="100"/>
      <c r="B60" s="98"/>
      <c r="C60" s="101"/>
      <c r="D60" s="101"/>
      <c r="E60" s="101"/>
      <c r="F60" s="101"/>
      <c r="G60" s="101"/>
      <c r="H60" s="101"/>
    </row>
    <row r="61" ht="15.75" customHeight="1">
      <c r="A61" s="100"/>
      <c r="B61" s="98"/>
      <c r="C61" s="101"/>
      <c r="D61" s="101"/>
      <c r="E61" s="101"/>
      <c r="F61" s="101"/>
      <c r="G61" s="101"/>
      <c r="H61" s="101"/>
    </row>
    <row r="62" ht="15.75" customHeight="1">
      <c r="A62" s="100"/>
      <c r="B62" s="98"/>
      <c r="C62" s="101"/>
      <c r="D62" s="101"/>
      <c r="E62" s="101"/>
      <c r="F62" s="101"/>
      <c r="G62" s="101"/>
      <c r="H62" s="101"/>
    </row>
    <row r="63" ht="15.75" customHeight="1">
      <c r="A63" s="100"/>
      <c r="B63" s="98"/>
      <c r="C63" s="101"/>
      <c r="D63" s="101"/>
      <c r="E63" s="101"/>
      <c r="F63" s="101"/>
      <c r="G63" s="101"/>
      <c r="H63" s="101"/>
    </row>
    <row r="64" ht="15.75" customHeight="1">
      <c r="A64" s="100"/>
      <c r="B64" s="98"/>
      <c r="C64" s="101"/>
      <c r="D64" s="101"/>
      <c r="E64" s="101"/>
      <c r="F64" s="101"/>
      <c r="G64" s="101"/>
      <c r="H64" s="101"/>
    </row>
    <row r="65" ht="15.75" customHeight="1">
      <c r="A65" s="100"/>
      <c r="B65" s="98"/>
      <c r="C65" s="101"/>
      <c r="D65" s="101"/>
      <c r="E65" s="101"/>
      <c r="F65" s="101"/>
      <c r="G65" s="101"/>
      <c r="H65" s="101"/>
    </row>
    <row r="66" ht="15.75" customHeight="1">
      <c r="A66" s="100"/>
      <c r="B66" s="98"/>
      <c r="C66" s="101"/>
      <c r="D66" s="101"/>
      <c r="E66" s="101"/>
      <c r="F66" s="101"/>
      <c r="G66" s="101"/>
      <c r="H66" s="101"/>
    </row>
    <row r="67" ht="15.75" customHeight="1">
      <c r="A67" s="100"/>
      <c r="B67" s="98"/>
      <c r="C67" s="101"/>
      <c r="D67" s="101"/>
      <c r="E67" s="101"/>
      <c r="F67" s="101"/>
      <c r="G67" s="101"/>
      <c r="H67" s="101"/>
    </row>
    <row r="68" ht="15.75" customHeight="1">
      <c r="A68" s="100"/>
      <c r="B68" s="98"/>
      <c r="C68" s="101"/>
      <c r="D68" s="101"/>
      <c r="E68" s="101"/>
      <c r="F68" s="101"/>
      <c r="G68" s="101"/>
      <c r="H68" s="101"/>
    </row>
    <row r="69" ht="15.75" customHeight="1">
      <c r="A69" s="100"/>
      <c r="B69" s="98"/>
      <c r="C69" s="101"/>
      <c r="D69" s="101"/>
      <c r="E69" s="101"/>
      <c r="F69" s="101"/>
      <c r="G69" s="101"/>
      <c r="H69" s="101"/>
    </row>
    <row r="70" ht="15.75" customHeight="1">
      <c r="A70" s="100"/>
      <c r="B70" s="98"/>
      <c r="C70" s="101"/>
      <c r="D70" s="101"/>
      <c r="E70" s="101"/>
      <c r="F70" s="101"/>
      <c r="G70" s="101"/>
      <c r="H70" s="101"/>
    </row>
    <row r="71" ht="15.75" customHeight="1">
      <c r="A71" s="100"/>
      <c r="B71" s="98"/>
      <c r="C71" s="101"/>
      <c r="D71" s="101"/>
      <c r="E71" s="101"/>
      <c r="F71" s="101"/>
      <c r="G71" s="101"/>
      <c r="H71" s="101"/>
    </row>
    <row r="72" ht="15.75" customHeight="1">
      <c r="A72" s="100"/>
      <c r="B72" s="98"/>
      <c r="C72" s="101"/>
      <c r="D72" s="101"/>
      <c r="E72" s="101"/>
      <c r="F72" s="101"/>
      <c r="G72" s="101"/>
      <c r="H72" s="101"/>
    </row>
    <row r="73" ht="15.75" customHeight="1">
      <c r="A73" s="100"/>
      <c r="B73" s="98"/>
      <c r="C73" s="101"/>
      <c r="D73" s="101"/>
      <c r="E73" s="101"/>
      <c r="F73" s="101"/>
      <c r="G73" s="101"/>
      <c r="H73" s="101"/>
    </row>
    <row r="74" ht="15.75" customHeight="1">
      <c r="A74" s="100"/>
      <c r="B74" s="98"/>
      <c r="C74" s="101"/>
      <c r="D74" s="101"/>
      <c r="E74" s="101"/>
      <c r="F74" s="101"/>
      <c r="G74" s="101"/>
      <c r="H74" s="101"/>
    </row>
    <row r="75" ht="15.75" customHeight="1">
      <c r="A75" s="100"/>
      <c r="B75" s="98"/>
      <c r="C75" s="101"/>
      <c r="D75" s="101"/>
      <c r="E75" s="101"/>
      <c r="F75" s="101"/>
      <c r="G75" s="101"/>
      <c r="H75" s="101"/>
    </row>
    <row r="76" ht="15.75" customHeight="1">
      <c r="A76" s="100"/>
      <c r="B76" s="98"/>
      <c r="C76" s="101"/>
      <c r="D76" s="101"/>
      <c r="E76" s="101"/>
      <c r="F76" s="101"/>
      <c r="G76" s="101"/>
      <c r="H76" s="101"/>
    </row>
    <row r="77" ht="15.75" customHeight="1">
      <c r="A77" s="100"/>
      <c r="B77" s="98"/>
      <c r="C77" s="101"/>
      <c r="D77" s="101"/>
      <c r="E77" s="101"/>
      <c r="F77" s="101"/>
      <c r="G77" s="101"/>
      <c r="H77" s="101"/>
    </row>
    <row r="78" ht="15.75" customHeight="1">
      <c r="A78" s="100"/>
      <c r="B78" s="98"/>
      <c r="C78" s="101"/>
      <c r="D78" s="101"/>
      <c r="E78" s="101"/>
      <c r="F78" s="101"/>
      <c r="G78" s="101"/>
      <c r="H78" s="101"/>
    </row>
    <row r="79" ht="15.75" customHeight="1">
      <c r="A79" s="100"/>
      <c r="B79" s="98"/>
      <c r="C79" s="101"/>
      <c r="D79" s="101"/>
      <c r="E79" s="101"/>
      <c r="F79" s="101"/>
      <c r="G79" s="101"/>
      <c r="H79" s="101"/>
    </row>
    <row r="80" ht="15.75" customHeight="1">
      <c r="A80" s="100"/>
      <c r="B80" s="98"/>
      <c r="C80" s="101"/>
      <c r="D80" s="101"/>
      <c r="E80" s="101"/>
      <c r="F80" s="101"/>
      <c r="G80" s="101"/>
      <c r="H80" s="101"/>
    </row>
    <row r="81" ht="15.75" customHeight="1">
      <c r="A81" s="100"/>
      <c r="B81" s="98"/>
      <c r="C81" s="101"/>
      <c r="D81" s="101"/>
      <c r="E81" s="101"/>
      <c r="F81" s="101"/>
      <c r="G81" s="101"/>
      <c r="H81" s="101"/>
    </row>
    <row r="82" ht="15.75" customHeight="1">
      <c r="A82" s="100"/>
      <c r="B82" s="98"/>
      <c r="C82" s="101"/>
      <c r="D82" s="101"/>
      <c r="E82" s="101"/>
      <c r="F82" s="101"/>
      <c r="G82" s="101"/>
      <c r="H82" s="101"/>
    </row>
    <row r="83" ht="15.75" customHeight="1">
      <c r="A83" s="100"/>
      <c r="B83" s="98"/>
      <c r="C83" s="101"/>
      <c r="D83" s="101"/>
      <c r="E83" s="101"/>
      <c r="F83" s="101"/>
      <c r="G83" s="101"/>
      <c r="H83" s="101"/>
    </row>
    <row r="84" ht="15.75" customHeight="1">
      <c r="A84" s="100"/>
      <c r="B84" s="98"/>
      <c r="C84" s="101"/>
      <c r="D84" s="101"/>
      <c r="E84" s="101"/>
      <c r="F84" s="101"/>
      <c r="G84" s="101"/>
      <c r="H84" s="101"/>
    </row>
    <row r="85" ht="15.75" customHeight="1">
      <c r="A85" s="100"/>
      <c r="B85" s="98"/>
      <c r="C85" s="101"/>
      <c r="D85" s="101"/>
      <c r="E85" s="101"/>
      <c r="F85" s="101"/>
      <c r="G85" s="101"/>
      <c r="H85" s="101"/>
    </row>
    <row r="86" ht="15.75" customHeight="1">
      <c r="A86" s="100"/>
      <c r="B86" s="98"/>
      <c r="C86" s="101"/>
      <c r="D86" s="101"/>
      <c r="E86" s="101"/>
      <c r="F86" s="101"/>
      <c r="G86" s="101"/>
      <c r="H86" s="101"/>
    </row>
    <row r="87" ht="15.75" customHeight="1">
      <c r="A87" s="100"/>
      <c r="B87" s="98"/>
      <c r="C87" s="101"/>
      <c r="D87" s="101"/>
      <c r="E87" s="101"/>
      <c r="F87" s="101"/>
      <c r="G87" s="101"/>
      <c r="H87" s="101"/>
    </row>
    <row r="88" ht="15.75" customHeight="1">
      <c r="A88" s="100"/>
      <c r="B88" s="98"/>
      <c r="C88" s="101"/>
      <c r="D88" s="101"/>
      <c r="E88" s="101"/>
      <c r="F88" s="101"/>
      <c r="G88" s="101"/>
      <c r="H88" s="101"/>
    </row>
    <row r="89" ht="15.75" customHeight="1">
      <c r="A89" s="100"/>
      <c r="B89" s="98"/>
      <c r="C89" s="101"/>
      <c r="D89" s="101"/>
      <c r="E89" s="101"/>
      <c r="F89" s="101"/>
      <c r="G89" s="101"/>
      <c r="H89" s="101"/>
    </row>
    <row r="90" ht="15.75" customHeight="1">
      <c r="A90" s="100"/>
      <c r="B90" s="98"/>
      <c r="C90" s="101"/>
      <c r="D90" s="101"/>
      <c r="E90" s="101"/>
      <c r="F90" s="101"/>
      <c r="G90" s="101"/>
      <c r="H90" s="101"/>
    </row>
    <row r="91" ht="15.75" customHeight="1">
      <c r="A91" s="100"/>
      <c r="B91" s="98"/>
      <c r="C91" s="101"/>
      <c r="D91" s="101"/>
      <c r="E91" s="101"/>
      <c r="F91" s="101"/>
      <c r="G91" s="101"/>
      <c r="H91" s="101"/>
    </row>
    <row r="92" ht="15.75" customHeight="1">
      <c r="A92" s="100"/>
      <c r="B92" s="98"/>
      <c r="C92" s="101"/>
      <c r="D92" s="101"/>
      <c r="E92" s="101"/>
      <c r="F92" s="101"/>
      <c r="G92" s="101"/>
      <c r="H92" s="101"/>
    </row>
    <row r="93" ht="15.75" customHeight="1">
      <c r="A93" s="100"/>
      <c r="B93" s="98"/>
      <c r="C93" s="101"/>
      <c r="D93" s="101"/>
      <c r="E93" s="101"/>
      <c r="F93" s="101"/>
      <c r="G93" s="101"/>
      <c r="H93" s="101"/>
    </row>
    <row r="94" ht="15.75" customHeight="1">
      <c r="A94" s="100"/>
      <c r="B94" s="98"/>
      <c r="C94" s="101"/>
      <c r="D94" s="101"/>
      <c r="E94" s="101"/>
      <c r="F94" s="101"/>
      <c r="G94" s="101"/>
      <c r="H94" s="101"/>
    </row>
    <row r="95" ht="15.75" customHeight="1">
      <c r="A95" s="100"/>
      <c r="B95" s="98"/>
      <c r="C95" s="101"/>
      <c r="D95" s="101"/>
      <c r="E95" s="101"/>
      <c r="F95" s="101"/>
      <c r="G95" s="101"/>
      <c r="H95" s="101"/>
    </row>
    <row r="96" ht="15.75" customHeight="1">
      <c r="A96" s="100"/>
      <c r="B96" s="98"/>
      <c r="C96" s="101"/>
      <c r="D96" s="101"/>
      <c r="E96" s="101"/>
      <c r="F96" s="101"/>
      <c r="G96" s="101"/>
      <c r="H96" s="101"/>
    </row>
    <row r="97" ht="15.75" customHeight="1">
      <c r="A97" s="100"/>
      <c r="B97" s="98"/>
      <c r="C97" s="101"/>
      <c r="D97" s="101"/>
      <c r="E97" s="101"/>
      <c r="F97" s="101"/>
      <c r="G97" s="101"/>
      <c r="H97" s="101"/>
    </row>
    <row r="98" ht="15.75" customHeight="1">
      <c r="A98" s="100"/>
      <c r="B98" s="98"/>
      <c r="C98" s="101"/>
      <c r="D98" s="101"/>
      <c r="E98" s="101"/>
      <c r="F98" s="101"/>
      <c r="G98" s="101"/>
      <c r="H98" s="101"/>
    </row>
    <row r="99" ht="15.75" customHeight="1">
      <c r="A99" s="100"/>
      <c r="B99" s="98"/>
      <c r="C99" s="101"/>
      <c r="D99" s="101"/>
      <c r="E99" s="101"/>
      <c r="F99" s="101"/>
      <c r="G99" s="101"/>
      <c r="H99" s="101"/>
    </row>
    <row r="100" ht="15.75" customHeight="1">
      <c r="A100" s="100"/>
      <c r="B100" s="98"/>
      <c r="C100" s="101"/>
      <c r="D100" s="101"/>
      <c r="E100" s="101"/>
      <c r="F100" s="101"/>
      <c r="G100" s="101"/>
      <c r="H100" s="101"/>
    </row>
    <row r="101" ht="15.75" customHeight="1">
      <c r="A101" s="100"/>
      <c r="B101" s="98"/>
      <c r="C101" s="101"/>
      <c r="D101" s="101"/>
      <c r="E101" s="101"/>
      <c r="F101" s="101"/>
      <c r="G101" s="101"/>
      <c r="H101" s="101"/>
    </row>
    <row r="102" ht="15.75" customHeight="1">
      <c r="A102" s="100"/>
      <c r="B102" s="98"/>
      <c r="C102" s="101"/>
      <c r="D102" s="101"/>
      <c r="E102" s="101"/>
      <c r="F102" s="101"/>
      <c r="G102" s="101"/>
      <c r="H102" s="101"/>
    </row>
    <row r="103" ht="15.75" customHeight="1">
      <c r="A103" s="100"/>
      <c r="B103" s="98"/>
      <c r="C103" s="101"/>
      <c r="D103" s="101"/>
      <c r="E103" s="101"/>
      <c r="F103" s="101"/>
      <c r="G103" s="101"/>
      <c r="H103" s="101"/>
    </row>
    <row r="104" ht="15.75" customHeight="1">
      <c r="A104" s="100"/>
      <c r="B104" s="98"/>
      <c r="C104" s="101"/>
      <c r="D104" s="101"/>
      <c r="E104" s="101"/>
      <c r="F104" s="101"/>
      <c r="G104" s="101"/>
      <c r="H104" s="101"/>
    </row>
    <row r="105" ht="15.75" customHeight="1">
      <c r="A105" s="100"/>
      <c r="B105" s="98"/>
      <c r="C105" s="101"/>
      <c r="D105" s="101"/>
      <c r="E105" s="101"/>
      <c r="F105" s="101"/>
      <c r="G105" s="101"/>
      <c r="H105" s="101"/>
    </row>
    <row r="106" ht="15.75" customHeight="1">
      <c r="A106" s="100"/>
      <c r="B106" s="98"/>
      <c r="C106" s="101"/>
      <c r="D106" s="101"/>
      <c r="E106" s="101"/>
      <c r="F106" s="101"/>
      <c r="G106" s="101"/>
      <c r="H106" s="101"/>
    </row>
    <row r="107" ht="15.75" customHeight="1">
      <c r="A107" s="100"/>
      <c r="B107" s="98"/>
      <c r="C107" s="101"/>
      <c r="D107" s="101"/>
      <c r="E107" s="101"/>
      <c r="F107" s="101"/>
      <c r="G107" s="101"/>
      <c r="H107" s="101"/>
    </row>
    <row r="108" ht="15.75" customHeight="1">
      <c r="A108" s="100"/>
      <c r="B108" s="98"/>
      <c r="C108" s="101"/>
      <c r="D108" s="101"/>
      <c r="E108" s="101"/>
      <c r="F108" s="101"/>
      <c r="G108" s="101"/>
      <c r="H108" s="101"/>
    </row>
    <row r="109" ht="15.75" customHeight="1">
      <c r="A109" s="100"/>
      <c r="B109" s="98"/>
      <c r="C109" s="101"/>
      <c r="D109" s="101"/>
      <c r="E109" s="101"/>
      <c r="F109" s="101"/>
      <c r="G109" s="101"/>
      <c r="H109" s="101"/>
    </row>
    <row r="110" ht="15.75" customHeight="1">
      <c r="A110" s="100"/>
      <c r="B110" s="98"/>
      <c r="C110" s="101"/>
      <c r="D110" s="101"/>
      <c r="E110" s="101"/>
      <c r="F110" s="101"/>
      <c r="G110" s="101"/>
      <c r="H110" s="101"/>
    </row>
    <row r="111" ht="15.75" customHeight="1">
      <c r="A111" s="100"/>
      <c r="B111" s="98"/>
      <c r="C111" s="101"/>
      <c r="D111" s="101"/>
      <c r="E111" s="101"/>
      <c r="F111" s="101"/>
      <c r="G111" s="101"/>
      <c r="H111" s="101"/>
    </row>
    <row r="112" ht="15.75" customHeight="1">
      <c r="A112" s="100"/>
      <c r="B112" s="98"/>
      <c r="C112" s="101"/>
      <c r="D112" s="101"/>
      <c r="E112" s="101"/>
      <c r="F112" s="101"/>
      <c r="G112" s="101"/>
      <c r="H112" s="101"/>
    </row>
    <row r="113" ht="15.75" customHeight="1">
      <c r="A113" s="100"/>
      <c r="B113" s="98"/>
      <c r="C113" s="101"/>
      <c r="D113" s="101"/>
      <c r="E113" s="101"/>
      <c r="F113" s="101"/>
      <c r="G113" s="101"/>
      <c r="H113" s="101"/>
    </row>
    <row r="114" ht="15.75" customHeight="1">
      <c r="A114" s="100"/>
      <c r="B114" s="98"/>
      <c r="C114" s="101"/>
      <c r="D114" s="101"/>
      <c r="E114" s="101"/>
      <c r="F114" s="101"/>
      <c r="G114" s="101"/>
      <c r="H114" s="101"/>
    </row>
    <row r="115" ht="15.75" customHeight="1">
      <c r="A115" s="100"/>
      <c r="B115" s="98"/>
      <c r="C115" s="101"/>
      <c r="D115" s="101"/>
      <c r="E115" s="101"/>
      <c r="F115" s="101"/>
      <c r="G115" s="101"/>
      <c r="H115" s="101"/>
    </row>
    <row r="116" ht="15.75" customHeight="1">
      <c r="A116" s="100"/>
      <c r="B116" s="98"/>
      <c r="C116" s="101"/>
      <c r="D116" s="101"/>
      <c r="E116" s="101"/>
      <c r="F116" s="101"/>
      <c r="G116" s="101"/>
      <c r="H116" s="101"/>
    </row>
    <row r="117" ht="15.75" customHeight="1">
      <c r="A117" s="100"/>
      <c r="B117" s="98"/>
      <c r="C117" s="101"/>
      <c r="D117" s="101"/>
      <c r="E117" s="101"/>
      <c r="F117" s="101"/>
      <c r="G117" s="101"/>
      <c r="H117" s="101"/>
    </row>
    <row r="118" ht="15.75" customHeight="1">
      <c r="A118" s="100"/>
      <c r="B118" s="98"/>
      <c r="C118" s="101"/>
      <c r="D118" s="101"/>
      <c r="E118" s="101"/>
      <c r="F118" s="101"/>
      <c r="G118" s="101"/>
      <c r="H118" s="101"/>
    </row>
    <row r="119" ht="15.75" customHeight="1">
      <c r="A119" s="100"/>
      <c r="B119" s="98"/>
      <c r="C119" s="101"/>
      <c r="D119" s="101"/>
      <c r="E119" s="101"/>
      <c r="F119" s="101"/>
      <c r="G119" s="101"/>
      <c r="H119" s="101"/>
    </row>
    <row r="120" ht="15.75" customHeight="1">
      <c r="A120" s="100"/>
      <c r="B120" s="98"/>
      <c r="C120" s="101"/>
      <c r="D120" s="101"/>
      <c r="E120" s="101"/>
      <c r="F120" s="101"/>
      <c r="G120" s="101"/>
      <c r="H120" s="101"/>
    </row>
    <row r="121" ht="15.75" customHeight="1">
      <c r="A121" s="100"/>
      <c r="B121" s="98"/>
      <c r="C121" s="101"/>
      <c r="D121" s="101"/>
      <c r="E121" s="101"/>
      <c r="F121" s="101"/>
      <c r="G121" s="101"/>
      <c r="H121" s="101"/>
    </row>
    <row r="122" ht="15.75" customHeight="1">
      <c r="A122" s="100"/>
      <c r="B122" s="98"/>
      <c r="C122" s="101"/>
      <c r="D122" s="101"/>
      <c r="E122" s="101"/>
      <c r="F122" s="101"/>
      <c r="G122" s="101"/>
      <c r="H122" s="101"/>
    </row>
    <row r="123" ht="15.75" customHeight="1">
      <c r="A123" s="100"/>
      <c r="B123" s="98"/>
      <c r="C123" s="101"/>
      <c r="D123" s="101"/>
      <c r="E123" s="101"/>
      <c r="F123" s="101"/>
      <c r="G123" s="101"/>
      <c r="H123" s="101"/>
    </row>
    <row r="124" ht="15.75" customHeight="1">
      <c r="A124" s="100"/>
      <c r="B124" s="98"/>
      <c r="C124" s="101"/>
      <c r="D124" s="101"/>
      <c r="E124" s="101"/>
      <c r="F124" s="101"/>
      <c r="G124" s="101"/>
      <c r="H124" s="101"/>
    </row>
    <row r="125" ht="15.75" customHeight="1">
      <c r="A125" s="100"/>
      <c r="B125" s="98"/>
      <c r="C125" s="101"/>
      <c r="D125" s="101"/>
      <c r="E125" s="101"/>
      <c r="F125" s="101"/>
      <c r="G125" s="101"/>
      <c r="H125" s="101"/>
    </row>
    <row r="126" ht="15.75" customHeight="1">
      <c r="A126" s="100"/>
      <c r="B126" s="98"/>
      <c r="C126" s="101"/>
      <c r="D126" s="101"/>
      <c r="E126" s="101"/>
      <c r="F126" s="101"/>
      <c r="G126" s="101"/>
      <c r="H126" s="101"/>
    </row>
    <row r="127" ht="15.75" customHeight="1">
      <c r="A127" s="100"/>
      <c r="B127" s="98"/>
      <c r="C127" s="101"/>
      <c r="D127" s="101"/>
      <c r="E127" s="101"/>
      <c r="F127" s="101"/>
      <c r="G127" s="101"/>
      <c r="H127" s="101"/>
    </row>
    <row r="128" ht="15.75" customHeight="1">
      <c r="A128" s="100"/>
      <c r="B128" s="98"/>
      <c r="C128" s="101"/>
      <c r="D128" s="101"/>
      <c r="E128" s="101"/>
      <c r="F128" s="101"/>
      <c r="G128" s="101"/>
      <c r="H128" s="101"/>
    </row>
    <row r="129" ht="15.75" customHeight="1">
      <c r="A129" s="100"/>
      <c r="B129" s="98"/>
      <c r="C129" s="101"/>
      <c r="D129" s="101"/>
      <c r="E129" s="101"/>
      <c r="F129" s="101"/>
      <c r="G129" s="101"/>
      <c r="H129" s="101"/>
    </row>
    <row r="130" ht="15.75" customHeight="1">
      <c r="A130" s="100"/>
      <c r="B130" s="98"/>
      <c r="C130" s="101"/>
      <c r="D130" s="101"/>
      <c r="E130" s="101"/>
      <c r="F130" s="101"/>
      <c r="G130" s="101"/>
      <c r="H130" s="101"/>
    </row>
    <row r="131" ht="15.75" customHeight="1">
      <c r="A131" s="100"/>
      <c r="B131" s="98"/>
      <c r="C131" s="101"/>
      <c r="D131" s="101"/>
      <c r="E131" s="101"/>
      <c r="F131" s="101"/>
      <c r="G131" s="101"/>
      <c r="H131" s="101"/>
    </row>
    <row r="132" ht="15.75" customHeight="1">
      <c r="A132" s="100"/>
      <c r="B132" s="98"/>
      <c r="C132" s="101"/>
      <c r="D132" s="101"/>
      <c r="E132" s="101"/>
      <c r="F132" s="101"/>
      <c r="G132" s="101"/>
      <c r="H132" s="101"/>
    </row>
    <row r="133" ht="15.75" customHeight="1">
      <c r="A133" s="100"/>
      <c r="B133" s="98"/>
      <c r="C133" s="101"/>
      <c r="D133" s="101"/>
      <c r="E133" s="101"/>
      <c r="F133" s="101"/>
      <c r="G133" s="101"/>
      <c r="H133" s="101"/>
    </row>
    <row r="134" ht="15.75" customHeight="1">
      <c r="A134" s="100"/>
      <c r="B134" s="98"/>
      <c r="C134" s="101"/>
      <c r="D134" s="101"/>
      <c r="E134" s="101"/>
      <c r="F134" s="101"/>
      <c r="G134" s="101"/>
      <c r="H134" s="101"/>
    </row>
    <row r="135" ht="15.75" customHeight="1">
      <c r="A135" s="100"/>
      <c r="B135" s="98"/>
      <c r="C135" s="101"/>
      <c r="D135" s="101"/>
      <c r="E135" s="101"/>
      <c r="F135" s="101"/>
      <c r="G135" s="101"/>
      <c r="H135" s="101"/>
    </row>
    <row r="136" ht="15.75" customHeight="1">
      <c r="A136" s="100"/>
      <c r="B136" s="98"/>
      <c r="C136" s="101"/>
      <c r="D136" s="101"/>
      <c r="E136" s="101"/>
      <c r="F136" s="101"/>
      <c r="G136" s="101"/>
      <c r="H136" s="101"/>
    </row>
    <row r="137" ht="15.75" customHeight="1">
      <c r="A137" s="100"/>
      <c r="B137" s="98"/>
      <c r="C137" s="101"/>
      <c r="D137" s="101"/>
      <c r="E137" s="101"/>
      <c r="F137" s="101"/>
      <c r="G137" s="101"/>
      <c r="H137" s="101"/>
    </row>
    <row r="138" ht="15.75" customHeight="1">
      <c r="A138" s="100"/>
      <c r="B138" s="98"/>
      <c r="C138" s="101"/>
      <c r="D138" s="101"/>
      <c r="E138" s="101"/>
      <c r="F138" s="101"/>
      <c r="G138" s="101"/>
      <c r="H138" s="101"/>
    </row>
    <row r="139" ht="15.75" customHeight="1">
      <c r="A139" s="100"/>
      <c r="B139" s="98"/>
      <c r="C139" s="101"/>
      <c r="D139" s="101"/>
      <c r="E139" s="101"/>
      <c r="F139" s="101"/>
      <c r="G139" s="101"/>
      <c r="H139" s="101"/>
    </row>
    <row r="140" ht="15.75" customHeight="1">
      <c r="A140" s="100"/>
      <c r="B140" s="98"/>
      <c r="C140" s="101"/>
      <c r="D140" s="101"/>
      <c r="E140" s="101"/>
      <c r="F140" s="101"/>
      <c r="G140" s="101"/>
      <c r="H140" s="101"/>
    </row>
    <row r="141" ht="15.75" customHeight="1">
      <c r="A141" s="100"/>
      <c r="B141" s="98"/>
      <c r="C141" s="101"/>
      <c r="D141" s="101"/>
      <c r="E141" s="101"/>
      <c r="F141" s="101"/>
      <c r="G141" s="101"/>
      <c r="H141" s="101"/>
    </row>
    <row r="142" ht="15.75" customHeight="1">
      <c r="A142" s="100"/>
      <c r="B142" s="98"/>
      <c r="C142" s="101"/>
      <c r="D142" s="101"/>
      <c r="E142" s="101"/>
      <c r="F142" s="101"/>
      <c r="G142" s="101"/>
      <c r="H142" s="101"/>
    </row>
    <row r="143" ht="15.75" customHeight="1">
      <c r="A143" s="100"/>
      <c r="B143" s="98"/>
      <c r="C143" s="101"/>
      <c r="D143" s="101"/>
      <c r="E143" s="101"/>
      <c r="F143" s="101"/>
      <c r="G143" s="101"/>
      <c r="H143" s="101"/>
    </row>
    <row r="144" ht="15.75" customHeight="1">
      <c r="A144" s="100"/>
      <c r="B144" s="98"/>
      <c r="C144" s="101"/>
      <c r="D144" s="101"/>
      <c r="E144" s="101"/>
      <c r="F144" s="101"/>
      <c r="G144" s="101"/>
      <c r="H144" s="101"/>
    </row>
    <row r="145" ht="15.75" customHeight="1">
      <c r="A145" s="100"/>
      <c r="B145" s="98"/>
      <c r="C145" s="101"/>
      <c r="D145" s="101"/>
      <c r="E145" s="101"/>
      <c r="F145" s="101"/>
      <c r="G145" s="101"/>
      <c r="H145" s="101"/>
    </row>
    <row r="146" ht="15.75" customHeight="1">
      <c r="A146" s="100"/>
      <c r="B146" s="98"/>
      <c r="C146" s="101"/>
      <c r="D146" s="101"/>
      <c r="E146" s="101"/>
      <c r="F146" s="101"/>
      <c r="G146" s="101"/>
      <c r="H146" s="101"/>
    </row>
    <row r="147" ht="15.75" customHeight="1">
      <c r="A147" s="100"/>
      <c r="B147" s="98"/>
      <c r="C147" s="101"/>
      <c r="D147" s="101"/>
      <c r="E147" s="101"/>
      <c r="F147" s="101"/>
      <c r="G147" s="101"/>
      <c r="H147" s="101"/>
    </row>
    <row r="148" ht="15.75" customHeight="1">
      <c r="A148" s="100"/>
      <c r="B148" s="98"/>
      <c r="C148" s="101"/>
      <c r="D148" s="101"/>
      <c r="E148" s="101"/>
      <c r="F148" s="101"/>
      <c r="G148" s="101"/>
      <c r="H148" s="101"/>
    </row>
    <row r="149" ht="15.75" customHeight="1">
      <c r="A149" s="100"/>
      <c r="B149" s="98"/>
      <c r="C149" s="101"/>
      <c r="D149" s="101"/>
      <c r="E149" s="101"/>
      <c r="F149" s="101"/>
      <c r="G149" s="101"/>
      <c r="H149" s="101"/>
    </row>
    <row r="150" ht="15.75" customHeight="1">
      <c r="A150" s="100"/>
      <c r="B150" s="98"/>
      <c r="C150" s="101"/>
      <c r="D150" s="101"/>
      <c r="E150" s="101"/>
      <c r="F150" s="101"/>
      <c r="G150" s="101"/>
      <c r="H150" s="101"/>
    </row>
    <row r="151" ht="15.75" customHeight="1">
      <c r="A151" s="100"/>
      <c r="B151" s="98"/>
      <c r="C151" s="101"/>
      <c r="D151" s="101"/>
      <c r="E151" s="101"/>
      <c r="F151" s="101"/>
      <c r="G151" s="101"/>
      <c r="H151" s="101"/>
    </row>
    <row r="152" ht="15.75" customHeight="1">
      <c r="A152" s="100"/>
      <c r="B152" s="98"/>
      <c r="C152" s="101"/>
      <c r="D152" s="101"/>
      <c r="E152" s="101"/>
      <c r="F152" s="101"/>
      <c r="G152" s="101"/>
      <c r="H152" s="101"/>
    </row>
    <row r="153" ht="15.75" customHeight="1">
      <c r="A153" s="100"/>
      <c r="B153" s="98"/>
      <c r="C153" s="101"/>
      <c r="D153" s="101"/>
      <c r="E153" s="101"/>
      <c r="F153" s="101"/>
      <c r="G153" s="101"/>
      <c r="H153" s="101"/>
    </row>
    <row r="154" ht="15.75" customHeight="1">
      <c r="A154" s="100"/>
      <c r="B154" s="98"/>
      <c r="C154" s="101"/>
      <c r="D154" s="101"/>
      <c r="E154" s="101"/>
      <c r="F154" s="101"/>
      <c r="G154" s="101"/>
      <c r="H154" s="101"/>
    </row>
    <row r="155" ht="15.75" customHeight="1">
      <c r="A155" s="100"/>
      <c r="B155" s="98"/>
      <c r="C155" s="101"/>
      <c r="D155" s="101"/>
      <c r="E155" s="101"/>
      <c r="F155" s="101"/>
      <c r="G155" s="101"/>
      <c r="H155" s="101"/>
    </row>
    <row r="156" ht="15.75" customHeight="1">
      <c r="A156" s="100"/>
      <c r="B156" s="98"/>
      <c r="C156" s="101"/>
      <c r="D156" s="101"/>
      <c r="E156" s="101"/>
      <c r="F156" s="101"/>
      <c r="G156" s="101"/>
      <c r="H156" s="101"/>
    </row>
    <row r="157" ht="15.75" customHeight="1">
      <c r="A157" s="100"/>
      <c r="B157" s="98"/>
      <c r="C157" s="101"/>
      <c r="D157" s="101"/>
      <c r="E157" s="101"/>
      <c r="F157" s="101"/>
      <c r="G157" s="101"/>
      <c r="H157" s="101"/>
    </row>
    <row r="158" ht="15.75" customHeight="1">
      <c r="A158" s="100"/>
      <c r="B158" s="98"/>
      <c r="C158" s="101"/>
      <c r="D158" s="101"/>
      <c r="E158" s="101"/>
      <c r="F158" s="101"/>
      <c r="G158" s="101"/>
      <c r="H158" s="101"/>
    </row>
    <row r="159" ht="15.75" customHeight="1">
      <c r="A159" s="100"/>
      <c r="B159" s="98"/>
      <c r="C159" s="101"/>
      <c r="D159" s="101"/>
      <c r="E159" s="101"/>
      <c r="F159" s="101"/>
      <c r="G159" s="101"/>
      <c r="H159" s="101"/>
    </row>
    <row r="160" ht="15.75" customHeight="1">
      <c r="A160" s="100"/>
      <c r="B160" s="98"/>
      <c r="C160" s="101"/>
      <c r="D160" s="101"/>
      <c r="E160" s="101"/>
      <c r="F160" s="101"/>
      <c r="G160" s="101"/>
      <c r="H160" s="101"/>
    </row>
    <row r="161" ht="15.75" customHeight="1">
      <c r="A161" s="100"/>
      <c r="B161" s="98"/>
      <c r="C161" s="101"/>
      <c r="D161" s="101"/>
      <c r="E161" s="101"/>
      <c r="F161" s="101"/>
      <c r="G161" s="101"/>
      <c r="H161" s="101"/>
    </row>
    <row r="162" ht="15.75" customHeight="1">
      <c r="A162" s="100"/>
      <c r="B162" s="98"/>
      <c r="C162" s="101"/>
      <c r="D162" s="101"/>
      <c r="E162" s="101"/>
      <c r="F162" s="101"/>
      <c r="G162" s="101"/>
      <c r="H162" s="101"/>
    </row>
    <row r="163" ht="15.75" customHeight="1">
      <c r="A163" s="100"/>
      <c r="B163" s="98"/>
      <c r="C163" s="101"/>
      <c r="D163" s="101"/>
      <c r="E163" s="101"/>
      <c r="F163" s="101"/>
      <c r="G163" s="101"/>
      <c r="H163" s="101"/>
    </row>
    <row r="164" ht="15.75" customHeight="1">
      <c r="A164" s="100"/>
      <c r="B164" s="98"/>
      <c r="C164" s="101"/>
      <c r="D164" s="101"/>
      <c r="E164" s="101"/>
      <c r="F164" s="101"/>
      <c r="G164" s="101"/>
      <c r="H164" s="101"/>
    </row>
    <row r="165" ht="15.75" customHeight="1">
      <c r="A165" s="100"/>
      <c r="B165" s="98"/>
      <c r="C165" s="101"/>
      <c r="D165" s="101"/>
      <c r="E165" s="101"/>
      <c r="F165" s="101"/>
      <c r="G165" s="101"/>
      <c r="H165" s="101"/>
    </row>
    <row r="166" ht="15.75" customHeight="1">
      <c r="A166" s="100"/>
      <c r="B166" s="98"/>
      <c r="C166" s="101"/>
      <c r="D166" s="101"/>
      <c r="E166" s="101"/>
      <c r="F166" s="101"/>
      <c r="G166" s="101"/>
      <c r="H166" s="101"/>
    </row>
    <row r="167" ht="15.75" customHeight="1">
      <c r="A167" s="100"/>
      <c r="B167" s="98"/>
      <c r="C167" s="101"/>
      <c r="D167" s="101"/>
      <c r="E167" s="101"/>
      <c r="F167" s="101"/>
      <c r="G167" s="101"/>
      <c r="H167" s="101"/>
    </row>
    <row r="168" ht="15.75" customHeight="1">
      <c r="A168" s="100"/>
      <c r="B168" s="98"/>
      <c r="C168" s="101"/>
      <c r="D168" s="101"/>
      <c r="E168" s="101"/>
      <c r="F168" s="101"/>
      <c r="G168" s="101"/>
      <c r="H168" s="101"/>
    </row>
    <row r="169" ht="15.75" customHeight="1">
      <c r="A169" s="100"/>
      <c r="B169" s="98"/>
      <c r="C169" s="101"/>
      <c r="D169" s="101"/>
      <c r="E169" s="101"/>
      <c r="F169" s="101"/>
      <c r="G169" s="101"/>
      <c r="H169" s="101"/>
    </row>
    <row r="170" ht="15.75" customHeight="1">
      <c r="A170" s="100"/>
      <c r="B170" s="98"/>
      <c r="C170" s="101"/>
      <c r="D170" s="101"/>
      <c r="E170" s="101"/>
      <c r="F170" s="101"/>
      <c r="G170" s="101"/>
      <c r="H170" s="101"/>
    </row>
    <row r="171" ht="15.75" customHeight="1">
      <c r="A171" s="100"/>
      <c r="B171" s="98"/>
      <c r="C171" s="101"/>
      <c r="D171" s="101"/>
      <c r="E171" s="101"/>
      <c r="F171" s="101"/>
      <c r="G171" s="101"/>
      <c r="H171" s="101"/>
    </row>
    <row r="172" ht="15.75" customHeight="1">
      <c r="A172" s="100"/>
      <c r="B172" s="98"/>
      <c r="C172" s="101"/>
      <c r="D172" s="101"/>
      <c r="E172" s="101"/>
      <c r="F172" s="101"/>
      <c r="G172" s="101"/>
      <c r="H172" s="101"/>
    </row>
    <row r="173" ht="15.75" customHeight="1">
      <c r="A173" s="100"/>
      <c r="B173" s="98"/>
      <c r="C173" s="101"/>
      <c r="D173" s="101"/>
      <c r="E173" s="101"/>
      <c r="F173" s="101"/>
      <c r="G173" s="101"/>
      <c r="H173" s="101"/>
    </row>
    <row r="174" ht="15.75" customHeight="1">
      <c r="A174" s="100"/>
      <c r="B174" s="98"/>
      <c r="C174" s="101"/>
      <c r="D174" s="101"/>
      <c r="E174" s="101"/>
      <c r="F174" s="101"/>
      <c r="G174" s="101"/>
      <c r="H174" s="101"/>
    </row>
    <row r="175" ht="15.75" customHeight="1">
      <c r="A175" s="100"/>
      <c r="B175" s="98"/>
      <c r="C175" s="101"/>
      <c r="D175" s="101"/>
      <c r="E175" s="101"/>
      <c r="F175" s="101"/>
      <c r="G175" s="101"/>
      <c r="H175" s="101"/>
    </row>
    <row r="176" ht="15.75" customHeight="1">
      <c r="A176" s="100"/>
      <c r="B176" s="98"/>
      <c r="C176" s="101"/>
      <c r="D176" s="101"/>
      <c r="E176" s="101"/>
      <c r="F176" s="101"/>
      <c r="G176" s="101"/>
      <c r="H176" s="101"/>
    </row>
    <row r="177" ht="15.75" customHeight="1">
      <c r="A177" s="100"/>
      <c r="B177" s="98"/>
      <c r="C177" s="101"/>
      <c r="D177" s="101"/>
      <c r="E177" s="101"/>
      <c r="F177" s="101"/>
      <c r="G177" s="101"/>
      <c r="H177" s="101"/>
    </row>
    <row r="178" ht="15.75" customHeight="1">
      <c r="A178" s="100"/>
      <c r="B178" s="98"/>
      <c r="C178" s="101"/>
      <c r="D178" s="101"/>
      <c r="E178" s="101"/>
      <c r="F178" s="101"/>
      <c r="G178" s="101"/>
      <c r="H178" s="101"/>
    </row>
    <row r="179" ht="15.75" customHeight="1">
      <c r="A179" s="100"/>
      <c r="B179" s="98"/>
      <c r="C179" s="101"/>
      <c r="D179" s="101"/>
      <c r="E179" s="101"/>
      <c r="F179" s="101"/>
      <c r="G179" s="101"/>
      <c r="H179" s="101"/>
    </row>
    <row r="180" ht="15.75" customHeight="1">
      <c r="A180" s="100"/>
      <c r="B180" s="98"/>
      <c r="C180" s="101"/>
      <c r="D180" s="101"/>
      <c r="E180" s="101"/>
      <c r="F180" s="101"/>
      <c r="G180" s="101"/>
      <c r="H180" s="101"/>
    </row>
    <row r="181" ht="15.75" customHeight="1">
      <c r="A181" s="100"/>
      <c r="B181" s="98"/>
      <c r="C181" s="101"/>
      <c r="D181" s="101"/>
      <c r="E181" s="101"/>
      <c r="F181" s="101"/>
      <c r="G181" s="101"/>
      <c r="H181" s="101"/>
    </row>
    <row r="182" ht="15.75" customHeight="1">
      <c r="A182" s="100"/>
      <c r="B182" s="98"/>
      <c r="C182" s="101"/>
      <c r="D182" s="101"/>
      <c r="E182" s="101"/>
      <c r="F182" s="101"/>
      <c r="G182" s="101"/>
      <c r="H182" s="101"/>
    </row>
    <row r="183" ht="15.75" customHeight="1">
      <c r="A183" s="100"/>
      <c r="B183" s="98"/>
      <c r="C183" s="101"/>
      <c r="D183" s="101"/>
      <c r="E183" s="101"/>
      <c r="F183" s="101"/>
      <c r="G183" s="101"/>
      <c r="H183" s="101"/>
    </row>
    <row r="184" ht="15.75" customHeight="1">
      <c r="A184" s="100"/>
      <c r="B184" s="98"/>
      <c r="C184" s="101"/>
      <c r="D184" s="101"/>
      <c r="E184" s="101"/>
      <c r="F184" s="101"/>
      <c r="G184" s="101"/>
      <c r="H184" s="101"/>
    </row>
    <row r="185" ht="15.75" customHeight="1">
      <c r="A185" s="100"/>
      <c r="B185" s="98"/>
      <c r="C185" s="101"/>
      <c r="D185" s="101"/>
      <c r="E185" s="101"/>
      <c r="F185" s="101"/>
      <c r="G185" s="101"/>
      <c r="H185" s="101"/>
    </row>
    <row r="186" ht="15.75" customHeight="1">
      <c r="A186" s="100"/>
      <c r="B186" s="98"/>
      <c r="C186" s="101"/>
      <c r="D186" s="101"/>
      <c r="E186" s="101"/>
      <c r="F186" s="101"/>
      <c r="G186" s="101"/>
      <c r="H186" s="101"/>
    </row>
    <row r="187" ht="15.75" customHeight="1">
      <c r="A187" s="100"/>
      <c r="B187" s="98"/>
      <c r="C187" s="101"/>
      <c r="D187" s="101"/>
      <c r="E187" s="101"/>
      <c r="F187" s="101"/>
      <c r="G187" s="101"/>
      <c r="H187" s="101"/>
    </row>
    <row r="188" ht="15.75" customHeight="1">
      <c r="A188" s="100"/>
      <c r="B188" s="98"/>
      <c r="C188" s="101"/>
      <c r="D188" s="101"/>
      <c r="E188" s="101"/>
      <c r="F188" s="101"/>
      <c r="G188" s="101"/>
      <c r="H188" s="101"/>
    </row>
    <row r="189" ht="15.75" customHeight="1">
      <c r="A189" s="100"/>
      <c r="B189" s="98"/>
      <c r="C189" s="101"/>
      <c r="D189" s="101"/>
      <c r="E189" s="101"/>
      <c r="F189" s="101"/>
      <c r="G189" s="101"/>
      <c r="H189" s="101"/>
    </row>
    <row r="190" ht="15.75" customHeight="1">
      <c r="A190" s="100"/>
      <c r="B190" s="98"/>
      <c r="C190" s="101"/>
      <c r="D190" s="101"/>
      <c r="E190" s="101"/>
      <c r="F190" s="101"/>
      <c r="G190" s="101"/>
      <c r="H190" s="101"/>
    </row>
    <row r="191" ht="15.75" customHeight="1">
      <c r="A191" s="100"/>
      <c r="B191" s="98"/>
      <c r="C191" s="101"/>
      <c r="D191" s="101"/>
      <c r="E191" s="101"/>
      <c r="F191" s="101"/>
      <c r="G191" s="101"/>
      <c r="H191" s="101"/>
    </row>
    <row r="192" ht="15.75" customHeight="1">
      <c r="A192" s="100"/>
      <c r="B192" s="98"/>
      <c r="C192" s="101"/>
      <c r="D192" s="101"/>
      <c r="E192" s="101"/>
      <c r="F192" s="101"/>
      <c r="G192" s="101"/>
      <c r="H192" s="101"/>
    </row>
    <row r="193" ht="15.75" customHeight="1">
      <c r="A193" s="100"/>
      <c r="B193" s="98"/>
      <c r="C193" s="101"/>
      <c r="D193" s="101"/>
      <c r="E193" s="101"/>
      <c r="F193" s="101"/>
      <c r="G193" s="101"/>
      <c r="H193" s="101"/>
    </row>
    <row r="194" ht="15.75" customHeight="1">
      <c r="A194" s="100"/>
      <c r="B194" s="98"/>
      <c r="C194" s="101"/>
      <c r="D194" s="101"/>
      <c r="E194" s="101"/>
      <c r="F194" s="101"/>
      <c r="G194" s="101"/>
      <c r="H194" s="101"/>
    </row>
    <row r="195" ht="15.75" customHeight="1">
      <c r="A195" s="100"/>
      <c r="B195" s="98"/>
      <c r="C195" s="101"/>
      <c r="D195" s="101"/>
      <c r="E195" s="101"/>
      <c r="F195" s="101"/>
      <c r="G195" s="101"/>
      <c r="H195" s="101"/>
    </row>
    <row r="196" ht="15.75" customHeight="1">
      <c r="A196" s="100"/>
      <c r="B196" s="98"/>
      <c r="C196" s="101"/>
      <c r="D196" s="101"/>
      <c r="E196" s="101"/>
      <c r="F196" s="101"/>
      <c r="G196" s="101"/>
      <c r="H196" s="101"/>
    </row>
    <row r="197" ht="15.75" customHeight="1">
      <c r="A197" s="100"/>
      <c r="B197" s="98"/>
      <c r="C197" s="101"/>
      <c r="D197" s="101"/>
      <c r="E197" s="101"/>
      <c r="F197" s="101"/>
      <c r="G197" s="101"/>
      <c r="H197" s="101"/>
    </row>
    <row r="198" ht="15.75" customHeight="1">
      <c r="A198" s="100"/>
      <c r="B198" s="98"/>
      <c r="C198" s="101"/>
      <c r="D198" s="101"/>
      <c r="E198" s="101"/>
      <c r="F198" s="101"/>
      <c r="G198" s="101"/>
      <c r="H198" s="101"/>
    </row>
    <row r="199" ht="15.75" customHeight="1">
      <c r="A199" s="100"/>
      <c r="B199" s="98"/>
      <c r="C199" s="101"/>
      <c r="D199" s="101"/>
      <c r="E199" s="101"/>
      <c r="F199" s="101"/>
      <c r="G199" s="101"/>
      <c r="H199" s="101"/>
    </row>
    <row r="200" ht="15.75" customHeight="1">
      <c r="A200" s="100"/>
      <c r="B200" s="98"/>
      <c r="C200" s="101"/>
      <c r="D200" s="101"/>
      <c r="E200" s="101"/>
      <c r="F200" s="101"/>
      <c r="G200" s="101"/>
      <c r="H200" s="101"/>
    </row>
    <row r="201" ht="15.75" customHeight="1">
      <c r="A201" s="100"/>
      <c r="B201" s="98"/>
      <c r="C201" s="101"/>
      <c r="D201" s="101"/>
      <c r="E201" s="101"/>
      <c r="F201" s="101"/>
      <c r="G201" s="101"/>
      <c r="H201" s="101"/>
    </row>
    <row r="202" ht="15.75" customHeight="1">
      <c r="A202" s="100"/>
      <c r="B202" s="98"/>
      <c r="C202" s="101"/>
      <c r="D202" s="101"/>
      <c r="E202" s="101"/>
      <c r="F202" s="101"/>
      <c r="G202" s="101"/>
      <c r="H202" s="101"/>
    </row>
    <row r="203" ht="15.75" customHeight="1">
      <c r="A203" s="100"/>
      <c r="B203" s="98"/>
      <c r="C203" s="101"/>
      <c r="D203" s="101"/>
      <c r="E203" s="101"/>
      <c r="F203" s="101"/>
      <c r="G203" s="101"/>
      <c r="H203" s="101"/>
    </row>
    <row r="204" ht="15.75" customHeight="1">
      <c r="A204" s="100"/>
      <c r="B204" s="98"/>
      <c r="C204" s="101"/>
      <c r="D204" s="101"/>
      <c r="E204" s="101"/>
      <c r="F204" s="101"/>
      <c r="G204" s="101"/>
      <c r="H204" s="101"/>
    </row>
    <row r="205" ht="15.75" customHeight="1">
      <c r="A205" s="100"/>
      <c r="B205" s="98"/>
      <c r="C205" s="101"/>
      <c r="D205" s="101"/>
      <c r="E205" s="101"/>
      <c r="F205" s="101"/>
      <c r="G205" s="101"/>
      <c r="H205" s="101"/>
    </row>
    <row r="206" ht="15.75" customHeight="1">
      <c r="A206" s="100"/>
      <c r="B206" s="98"/>
      <c r="C206" s="101"/>
      <c r="D206" s="101"/>
      <c r="E206" s="101"/>
      <c r="F206" s="101"/>
      <c r="G206" s="101"/>
      <c r="H206" s="101"/>
    </row>
    <row r="207" ht="15.75" customHeight="1">
      <c r="A207" s="100"/>
      <c r="B207" s="98"/>
      <c r="C207" s="101"/>
      <c r="D207" s="101"/>
      <c r="E207" s="101"/>
      <c r="F207" s="101"/>
      <c r="G207" s="101"/>
      <c r="H207" s="101"/>
    </row>
    <row r="208" ht="15.75" customHeight="1">
      <c r="A208" s="100"/>
      <c r="B208" s="98"/>
      <c r="C208" s="101"/>
      <c r="D208" s="101"/>
      <c r="E208" s="101"/>
      <c r="F208" s="101"/>
      <c r="G208" s="101"/>
      <c r="H208" s="101"/>
    </row>
    <row r="209" ht="15.75" customHeight="1">
      <c r="A209" s="100"/>
      <c r="B209" s="98"/>
      <c r="C209" s="101"/>
      <c r="D209" s="101"/>
      <c r="E209" s="101"/>
      <c r="F209" s="101"/>
      <c r="G209" s="101"/>
      <c r="H209" s="101"/>
    </row>
    <row r="210" ht="15.75" customHeight="1">
      <c r="A210" s="100"/>
      <c r="B210" s="98"/>
      <c r="C210" s="101"/>
      <c r="D210" s="101"/>
      <c r="E210" s="101"/>
      <c r="F210" s="101"/>
      <c r="G210" s="101"/>
      <c r="H210" s="101"/>
    </row>
    <row r="211" ht="15.75" customHeight="1">
      <c r="A211" s="100"/>
      <c r="B211" s="98"/>
      <c r="C211" s="101"/>
      <c r="D211" s="101"/>
      <c r="E211" s="101"/>
      <c r="F211" s="101"/>
      <c r="G211" s="101"/>
      <c r="H211" s="101"/>
    </row>
    <row r="212" ht="15.75" customHeight="1">
      <c r="A212" s="100"/>
      <c r="B212" s="98"/>
      <c r="C212" s="101"/>
      <c r="D212" s="101"/>
      <c r="E212" s="101"/>
      <c r="F212" s="101"/>
      <c r="G212" s="101"/>
      <c r="H212" s="101"/>
    </row>
    <row r="213" ht="15.75" customHeight="1">
      <c r="A213" s="100"/>
      <c r="B213" s="98"/>
      <c r="C213" s="101"/>
      <c r="D213" s="101"/>
      <c r="E213" s="101"/>
      <c r="F213" s="101"/>
      <c r="G213" s="101"/>
      <c r="H213" s="101"/>
    </row>
    <row r="214" ht="15.75" customHeight="1">
      <c r="A214" s="100"/>
      <c r="B214" s="98"/>
      <c r="C214" s="101"/>
      <c r="D214" s="101"/>
      <c r="E214" s="101"/>
      <c r="F214" s="101"/>
      <c r="G214" s="101"/>
      <c r="H214" s="101"/>
    </row>
    <row r="215" ht="15.75" customHeight="1">
      <c r="A215" s="100"/>
      <c r="B215" s="98"/>
      <c r="C215" s="101"/>
      <c r="D215" s="101"/>
      <c r="E215" s="101"/>
      <c r="F215" s="101"/>
      <c r="G215" s="101"/>
      <c r="H215" s="101"/>
    </row>
    <row r="216" ht="15.75" customHeight="1">
      <c r="A216" s="100"/>
      <c r="B216" s="98"/>
      <c r="C216" s="101"/>
      <c r="D216" s="101"/>
      <c r="E216" s="101"/>
      <c r="F216" s="101"/>
      <c r="G216" s="101"/>
      <c r="H216" s="101"/>
    </row>
    <row r="217" ht="15.75" customHeight="1">
      <c r="A217" s="100"/>
      <c r="B217" s="98"/>
      <c r="C217" s="101"/>
      <c r="D217" s="101"/>
      <c r="E217" s="101"/>
      <c r="F217" s="101"/>
      <c r="G217" s="101"/>
      <c r="H217" s="101"/>
    </row>
    <row r="218" ht="15.75" customHeight="1">
      <c r="A218" s="100"/>
      <c r="B218" s="98"/>
      <c r="C218" s="101"/>
      <c r="D218" s="101"/>
      <c r="E218" s="101"/>
      <c r="F218" s="101"/>
      <c r="G218" s="101"/>
      <c r="H218" s="101"/>
    </row>
    <row r="219" ht="15.75" customHeight="1">
      <c r="A219" s="100"/>
      <c r="B219" s="98"/>
      <c r="C219" s="101"/>
      <c r="D219" s="101"/>
      <c r="E219" s="101"/>
      <c r="F219" s="101"/>
      <c r="G219" s="101"/>
      <c r="H219" s="101"/>
    </row>
    <row r="220" ht="15.75" customHeight="1">
      <c r="A220" s="100"/>
      <c r="B220" s="98"/>
      <c r="C220" s="101"/>
      <c r="D220" s="101"/>
      <c r="E220" s="101"/>
      <c r="F220" s="101"/>
      <c r="G220" s="101"/>
      <c r="H220" s="101"/>
    </row>
    <row r="221" ht="15.75" customHeight="1">
      <c r="A221" s="100"/>
      <c r="B221" s="98"/>
      <c r="C221" s="101"/>
      <c r="D221" s="101"/>
      <c r="E221" s="101"/>
      <c r="F221" s="101"/>
      <c r="G221" s="101"/>
      <c r="H221" s="101"/>
    </row>
    <row r="222" ht="15.75" customHeight="1">
      <c r="A222" s="100"/>
      <c r="B222" s="98"/>
      <c r="C222" s="101"/>
      <c r="D222" s="101"/>
      <c r="E222" s="101"/>
      <c r="F222" s="101"/>
      <c r="G222" s="101"/>
      <c r="H222" s="101"/>
    </row>
    <row r="223" ht="15.75" customHeight="1">
      <c r="A223" s="100"/>
      <c r="B223" s="98"/>
      <c r="C223" s="101"/>
      <c r="D223" s="101"/>
      <c r="E223" s="101"/>
      <c r="F223" s="101"/>
      <c r="G223" s="101"/>
      <c r="H223" s="101"/>
    </row>
    <row r="224" ht="15.75" customHeight="1">
      <c r="A224" s="100"/>
      <c r="B224" s="98"/>
      <c r="C224" s="101"/>
      <c r="D224" s="101"/>
      <c r="E224" s="101"/>
      <c r="F224" s="101"/>
      <c r="G224" s="101"/>
      <c r="H224" s="101"/>
    </row>
    <row r="225" ht="15.75" customHeight="1">
      <c r="A225" s="100"/>
      <c r="B225" s="98"/>
      <c r="C225" s="101"/>
      <c r="D225" s="101"/>
      <c r="E225" s="101"/>
      <c r="F225" s="101"/>
      <c r="G225" s="101"/>
      <c r="H225" s="101"/>
    </row>
    <row r="226" ht="15.75" customHeight="1">
      <c r="A226" s="100"/>
      <c r="B226" s="98"/>
      <c r="C226" s="101"/>
      <c r="D226" s="101"/>
      <c r="E226" s="101"/>
      <c r="F226" s="101"/>
      <c r="G226" s="101"/>
      <c r="H226" s="101"/>
    </row>
    <row r="227" ht="15.75" customHeight="1">
      <c r="A227" s="100"/>
      <c r="B227" s="98"/>
      <c r="C227" s="101"/>
      <c r="D227" s="101"/>
      <c r="E227" s="101"/>
      <c r="F227" s="101"/>
      <c r="G227" s="101"/>
      <c r="H227" s="101"/>
    </row>
    <row r="228" ht="15.75" customHeight="1">
      <c r="A228" s="100"/>
      <c r="B228" s="98"/>
      <c r="C228" s="101"/>
      <c r="D228" s="101"/>
      <c r="E228" s="101"/>
      <c r="F228" s="101"/>
      <c r="G228" s="101"/>
      <c r="H228" s="101"/>
    </row>
    <row r="229" ht="15.75" customHeight="1">
      <c r="A229" s="100"/>
      <c r="B229" s="98"/>
      <c r="C229" s="101"/>
      <c r="D229" s="101"/>
      <c r="E229" s="101"/>
      <c r="F229" s="101"/>
      <c r="G229" s="101"/>
      <c r="H229" s="101"/>
    </row>
    <row r="230" ht="15.75" customHeight="1">
      <c r="A230" s="100"/>
      <c r="B230" s="98"/>
      <c r="C230" s="101"/>
      <c r="D230" s="101"/>
      <c r="E230" s="101"/>
      <c r="F230" s="101"/>
      <c r="G230" s="101"/>
      <c r="H230" s="101"/>
    </row>
    <row r="231" ht="15.75" customHeight="1">
      <c r="A231" s="100"/>
      <c r="B231" s="98"/>
      <c r="C231" s="101"/>
      <c r="D231" s="101"/>
      <c r="E231" s="101"/>
      <c r="F231" s="101"/>
      <c r="G231" s="101"/>
      <c r="H231" s="101"/>
    </row>
    <row r="232" ht="15.75" customHeight="1">
      <c r="A232" s="100"/>
      <c r="B232" s="98"/>
      <c r="C232" s="101"/>
      <c r="D232" s="101"/>
      <c r="E232" s="101"/>
      <c r="F232" s="101"/>
      <c r="G232" s="101"/>
      <c r="H232" s="101"/>
    </row>
    <row r="233" ht="15.75" customHeight="1">
      <c r="A233" s="100"/>
      <c r="B233" s="98"/>
      <c r="C233" s="101"/>
      <c r="D233" s="101"/>
      <c r="E233" s="101"/>
      <c r="F233" s="101"/>
      <c r="G233" s="101"/>
      <c r="H233" s="101"/>
    </row>
    <row r="234" ht="15.75" customHeight="1">
      <c r="A234" s="100"/>
      <c r="B234" s="98"/>
      <c r="C234" s="101"/>
      <c r="D234" s="101"/>
      <c r="E234" s="101"/>
      <c r="F234" s="101"/>
      <c r="G234" s="101"/>
      <c r="H234" s="101"/>
    </row>
    <row r="235" ht="15.75" customHeight="1">
      <c r="A235" s="100"/>
      <c r="B235" s="98"/>
      <c r="C235" s="101"/>
      <c r="D235" s="101"/>
      <c r="E235" s="101"/>
      <c r="F235" s="101"/>
      <c r="G235" s="101"/>
      <c r="H235" s="101"/>
    </row>
    <row r="236" ht="15.75" customHeight="1">
      <c r="A236" s="100"/>
      <c r="B236" s="98"/>
      <c r="C236" s="101"/>
      <c r="D236" s="101"/>
      <c r="E236" s="101"/>
      <c r="F236" s="101"/>
      <c r="G236" s="101"/>
      <c r="H236" s="101"/>
    </row>
    <row r="237" ht="15.75" customHeight="1">
      <c r="A237" s="100"/>
      <c r="B237" s="98"/>
      <c r="C237" s="101"/>
      <c r="D237" s="101"/>
      <c r="E237" s="101"/>
      <c r="F237" s="101"/>
      <c r="G237" s="101"/>
      <c r="H237" s="101"/>
    </row>
    <row r="238" ht="15.75" customHeight="1">
      <c r="A238" s="100"/>
      <c r="B238" s="98"/>
      <c r="C238" s="101"/>
      <c r="D238" s="101"/>
      <c r="E238" s="101"/>
      <c r="F238" s="101"/>
      <c r="G238" s="101"/>
      <c r="H238" s="101"/>
    </row>
    <row r="239" ht="15.75" customHeight="1">
      <c r="A239" s="100"/>
      <c r="B239" s="98"/>
      <c r="C239" s="101"/>
      <c r="D239" s="101"/>
      <c r="E239" s="101"/>
      <c r="F239" s="101"/>
      <c r="G239" s="101"/>
      <c r="H239" s="101"/>
    </row>
    <row r="240" ht="15.75" customHeight="1">
      <c r="A240" s="100"/>
      <c r="B240" s="98"/>
      <c r="C240" s="101"/>
      <c r="D240" s="101"/>
      <c r="E240" s="101"/>
      <c r="F240" s="101"/>
      <c r="G240" s="101"/>
      <c r="H240" s="101"/>
    </row>
    <row r="241" ht="15.75" customHeight="1">
      <c r="A241" s="100"/>
      <c r="B241" s="98"/>
      <c r="C241" s="101"/>
      <c r="D241" s="101"/>
      <c r="E241" s="101"/>
      <c r="F241" s="101"/>
      <c r="G241" s="101"/>
      <c r="H241" s="101"/>
    </row>
    <row r="242" ht="15.75" customHeight="1">
      <c r="A242" s="100"/>
      <c r="B242" s="98"/>
      <c r="C242" s="101"/>
      <c r="D242" s="101"/>
      <c r="E242" s="101"/>
      <c r="F242" s="101"/>
      <c r="G242" s="101"/>
      <c r="H242" s="101"/>
    </row>
    <row r="243" ht="15.75" customHeight="1">
      <c r="A243" s="100"/>
      <c r="B243" s="98"/>
      <c r="C243" s="101"/>
      <c r="D243" s="101"/>
      <c r="E243" s="101"/>
      <c r="F243" s="101"/>
      <c r="G243" s="101"/>
      <c r="H243" s="10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2" width="5.75"/>
    <col customWidth="1" min="3" max="4" width="6.13"/>
    <col customWidth="1" min="5" max="5" width="6.38"/>
    <col customWidth="1" min="6" max="29" width="6.13"/>
  </cols>
  <sheetData>
    <row r="1" ht="15.75" customHeight="1">
      <c r="A1" s="97" t="s">
        <v>6509</v>
      </c>
      <c r="B1" s="98" t="s">
        <v>3</v>
      </c>
      <c r="C1" s="99">
        <f>IFERROR(__xludf.DUMMYFUNCTION("TRANSPOSE(UNIQUE(SORTN(FILTER( UASCAN!D:D,UASCAN!G:G=3),1,1,0,1)))"),44621.0)</f>
        <v>44621</v>
      </c>
      <c r="D1" s="99">
        <f>IFERROR(__xludf.DUMMYFUNCTION("""COMPUTED_VALUE"""),44623.0)</f>
        <v>44623</v>
      </c>
      <c r="E1" s="99">
        <f>IFERROR(__xludf.DUMMYFUNCTION("""COMPUTED_VALUE"""),44627.0)</f>
        <v>44627</v>
      </c>
      <c r="F1" s="99">
        <f>IFERROR(__xludf.DUMMYFUNCTION("""COMPUTED_VALUE"""),44628.0)</f>
        <v>44628</v>
      </c>
      <c r="G1" s="99">
        <f>IFERROR(__xludf.DUMMYFUNCTION("""COMPUTED_VALUE"""),44630.0)</f>
        <v>44630</v>
      </c>
      <c r="H1" s="99">
        <f>IFERROR(__xludf.DUMMYFUNCTION("""COMPUTED_VALUE"""),44631.0)</f>
        <v>44631</v>
      </c>
      <c r="I1" s="99">
        <f>IFERROR(__xludf.DUMMYFUNCTION("""COMPUTED_VALUE"""),44634.0)</f>
        <v>44634</v>
      </c>
      <c r="J1" s="99">
        <f>IFERROR(__xludf.DUMMYFUNCTION("""COMPUTED_VALUE"""),44635.0)</f>
        <v>44635</v>
      </c>
      <c r="K1" s="99">
        <f>IFERROR(__xludf.DUMMYFUNCTION("""COMPUTED_VALUE"""),44637.0)</f>
        <v>44637</v>
      </c>
      <c r="L1" s="99">
        <f>IFERROR(__xludf.DUMMYFUNCTION("""COMPUTED_VALUE"""),44622.0)</f>
        <v>44622</v>
      </c>
      <c r="M1" s="99">
        <f>IFERROR(__xludf.DUMMYFUNCTION("""COMPUTED_VALUE"""),44638.0)</f>
        <v>44638</v>
      </c>
      <c r="N1" s="99">
        <f>IFERROR(__xludf.DUMMYFUNCTION("""COMPUTED_VALUE"""),44641.0)</f>
        <v>44641</v>
      </c>
      <c r="O1" s="99">
        <f>IFERROR(__xludf.DUMMYFUNCTION("""COMPUTED_VALUE"""),44642.0)</f>
        <v>44642</v>
      </c>
      <c r="P1" s="99">
        <f>IFERROR(__xludf.DUMMYFUNCTION("""COMPUTED_VALUE"""),44643.0)</f>
        <v>44643</v>
      </c>
      <c r="Q1" s="99">
        <f>IFERROR(__xludf.DUMMYFUNCTION("""COMPUTED_VALUE"""),44644.0)</f>
        <v>44644</v>
      </c>
      <c r="R1" s="99">
        <f>IFERROR(__xludf.DUMMYFUNCTION("""COMPUTED_VALUE"""),44645.0)</f>
        <v>44645</v>
      </c>
      <c r="S1" s="99">
        <f>IFERROR(__xludf.DUMMYFUNCTION("""COMPUTED_VALUE"""),44648.0)</f>
        <v>44648</v>
      </c>
      <c r="T1" s="99">
        <f>IFERROR(__xludf.DUMMYFUNCTION("""COMPUTED_VALUE"""),44649.0)</f>
        <v>44649</v>
      </c>
      <c r="U1" s="99">
        <f>IFERROR(__xludf.DUMMYFUNCTION("""COMPUTED_VALUE"""),44650.0)</f>
        <v>44650</v>
      </c>
      <c r="V1" s="99">
        <f>IFERROR(__xludf.DUMMYFUNCTION("""COMPUTED_VALUE"""),44651.0)</f>
        <v>44651</v>
      </c>
      <c r="W1" s="102"/>
      <c r="X1" s="102"/>
      <c r="Y1" s="102"/>
      <c r="Z1" s="102"/>
      <c r="AA1" s="102"/>
      <c r="AB1" s="102"/>
      <c r="AC1" s="102"/>
    </row>
    <row r="2" ht="15.75" customHeight="1">
      <c r="A2" s="100">
        <f>SUM(C2:AC2)</f>
        <v>552</v>
      </c>
      <c r="B2" s="98" t="s">
        <v>6510</v>
      </c>
      <c r="C2" s="98">
        <f>IFERROR(__xludf.DUMMYFUNCTION("COUNTUNIQUE(C3:C1002)"),31.0)</f>
        <v>31</v>
      </c>
      <c r="D2" s="98">
        <f>IFERROR(__xludf.DUMMYFUNCTION("COUNTUNIQUE(D3:D1002)"),2.0)</f>
        <v>2</v>
      </c>
      <c r="E2" s="98">
        <f>IFERROR(__xludf.DUMMYFUNCTION("COUNTUNIQUE(E3:E1002)"),38.0)</f>
        <v>38</v>
      </c>
      <c r="F2" s="98">
        <f>IFERROR(__xludf.DUMMYFUNCTION("COUNTUNIQUE(F3:F1002)"),25.0)</f>
        <v>25</v>
      </c>
      <c r="G2" s="98">
        <f>IFERROR(__xludf.DUMMYFUNCTION("COUNTUNIQUE(G3:G1002)"),28.0)</f>
        <v>28</v>
      </c>
      <c r="H2" s="98">
        <f>IFERROR(__xludf.DUMMYFUNCTION("COUNTUNIQUE(H3:H1002)"),30.0)</f>
        <v>30</v>
      </c>
      <c r="I2" s="98">
        <f>IFERROR(__xludf.DUMMYFUNCTION("COUNTUNIQUE(I3:I1002)"),20.0)</f>
        <v>20</v>
      </c>
      <c r="J2" s="98">
        <f>IFERROR(__xludf.DUMMYFUNCTION("COUNTUNIQUE(J3:J1002)"),34.0)</f>
        <v>34</v>
      </c>
      <c r="K2" s="98">
        <f>IFERROR(__xludf.DUMMYFUNCTION("COUNTUNIQUE(K3:K1002)"),23.0)</f>
        <v>23</v>
      </c>
      <c r="L2" s="98">
        <f>IFERROR(__xludf.DUMMYFUNCTION("COUNTUNIQUE(L3:L1002)"),33.0)</f>
        <v>33</v>
      </c>
      <c r="M2" s="98">
        <f>IFERROR(__xludf.DUMMYFUNCTION("COUNTUNIQUE(M3:M1002)"),33.0)</f>
        <v>33</v>
      </c>
      <c r="N2" s="98">
        <f>IFERROR(__xludf.DUMMYFUNCTION("COUNTUNIQUE(N3:N1002)"),48.0)</f>
        <v>48</v>
      </c>
      <c r="O2" s="98">
        <f>IFERROR(__xludf.DUMMYFUNCTION("COUNTUNIQUE(O3:O1002)"),35.0)</f>
        <v>35</v>
      </c>
      <c r="P2" s="98">
        <f>IFERROR(__xludf.DUMMYFUNCTION("COUNTUNIQUE(P3:P1002)"),29.0)</f>
        <v>29</v>
      </c>
      <c r="Q2" s="98">
        <f>IFERROR(__xludf.DUMMYFUNCTION("COUNTUNIQUE(Q3:Q1002)"),32.0)</f>
        <v>32</v>
      </c>
      <c r="R2" s="98">
        <f>IFERROR(__xludf.DUMMYFUNCTION("COUNTUNIQUE(R3:R1002)"),22.0)</f>
        <v>22</v>
      </c>
      <c r="S2" s="98">
        <f>IFERROR(__xludf.DUMMYFUNCTION("COUNTUNIQUE(S3:S1002)"),35.0)</f>
        <v>35</v>
      </c>
      <c r="T2" s="98">
        <f>IFERROR(__xludf.DUMMYFUNCTION("COUNTUNIQUE(T3:T1002)"),25.0)</f>
        <v>25</v>
      </c>
      <c r="U2" s="98">
        <f>IFERROR(__xludf.DUMMYFUNCTION("COUNTUNIQUE(U3:U1002)"),15.0)</f>
        <v>15</v>
      </c>
      <c r="V2" s="98">
        <f>IFERROR(__xludf.DUMMYFUNCTION("COUNTUNIQUE(V3:V1002)"),14.0)</f>
        <v>14</v>
      </c>
      <c r="W2" s="100"/>
      <c r="X2" s="100"/>
      <c r="Y2" s="100"/>
      <c r="Z2" s="100"/>
      <c r="AA2" s="100"/>
      <c r="AB2" s="100"/>
      <c r="AC2" s="100"/>
    </row>
    <row r="3" ht="15.75" customHeight="1">
      <c r="A3" s="100"/>
      <c r="B3" s="98"/>
      <c r="C3" s="101">
        <f>IFERROR(__xludf.DUMMYFUNCTION("transpose(SPLIT(UNIQUE(SORTN(FILTER( SCAN!$C:$C,SCAN!$D:$D=C$1),1,1,0,FALSE)), "",""))"),18011.0)</f>
        <v>18011</v>
      </c>
      <c r="D3" s="101" t="str">
        <f>IFERROR(__xludf.DUMMYFUNCTION("transpose(SPLIT(UNIQUE(SORTN(FILTER( SCAN!$C:$C,SCAN!$D:$D=D$1),1,1,0,FALSE)), "",""))"),"#REF!")</f>
        <v>#REF!</v>
      </c>
      <c r="E3" s="101">
        <f>IFERROR(__xludf.DUMMYFUNCTION("transpose(SPLIT(UNIQUE(SORTN(FILTER( SCAN!$C:$C,SCAN!$D:$D=E$1),1,1,0,FALSE)), "",""))"),15891.0)</f>
        <v>15891</v>
      </c>
      <c r="F3" s="101">
        <f>IFERROR(__xludf.DUMMYFUNCTION("transpose(SPLIT(UNIQUE(SORTN(FILTER( SCAN!$C:$C,SCAN!$D:$D=F$1),1,1,0,FALSE)), "",""))"),11852.0)</f>
        <v>11852</v>
      </c>
      <c r="G3" s="101">
        <f>IFERROR(__xludf.DUMMYFUNCTION("transpose(SPLIT(UNIQUE(SORTN(FILTER( SCAN!$C:$C,SCAN!$D:$D=G$1),1,1,0,FALSE)), "",""))"),18307.0)</f>
        <v>18307</v>
      </c>
      <c r="H3" s="101">
        <f>IFERROR(__xludf.DUMMYFUNCTION("transpose(SPLIT(UNIQUE(SORTN(FILTER( SCAN!$C:$C,SCAN!$D:$D=H$1),1,1,0,FALSE)), "",""))"),9623.0)</f>
        <v>9623</v>
      </c>
      <c r="I3" s="101">
        <f>IFERROR(__xludf.DUMMYFUNCTION("transpose(SPLIT(UNIQUE(SORTN(FILTER( SCAN!$C:$C,SCAN!$D:$D=I$1),1,1,0,FALSE)), "",""))"),15771.0)</f>
        <v>15771</v>
      </c>
      <c r="J3" s="101">
        <f>IFERROR(__xludf.DUMMYFUNCTION("transpose(SPLIT(UNIQUE(SORTN(FILTER( SCAN!$C:$C,SCAN!$D:$D=J$1),1,1,0,FALSE)), "",""))"),16239.0)</f>
        <v>16239</v>
      </c>
      <c r="K3" s="101">
        <f>IFERROR(__xludf.DUMMYFUNCTION("transpose(SPLIT(UNIQUE(SORTN(FILTER( SCAN!$C:$C,SCAN!$D:$D=K$1),1,1,0,FALSE)), "",""))"),9200.0)</f>
        <v>9200</v>
      </c>
      <c r="L3" s="101">
        <f>IFERROR(__xludf.DUMMYFUNCTION("transpose(SPLIT(UNIQUE(SORTN(FILTER( SCAN!$C:$C,SCAN!$D:$D=L$1),1,1,0,FALSE)), "",""))"),12167.0)</f>
        <v>12167</v>
      </c>
      <c r="M3" s="101">
        <f>IFERROR(__xludf.DUMMYFUNCTION("transpose(SPLIT(UNIQUE(SORTN(FILTER( SCAN!$C:$C,SCAN!$D:$D=M$1),1,1,0,FALSE)), "",""))"),15461.0)</f>
        <v>15461</v>
      </c>
      <c r="N3" s="101">
        <f>IFERROR(__xludf.DUMMYFUNCTION("transpose(SPLIT(UNIQUE(SORTN(FILTER( SCAN!$C:$C,SCAN!$D:$D=N$1),1,1,0,FALSE)), "",""))"),9957.0)</f>
        <v>9957</v>
      </c>
      <c r="O3" s="101">
        <f>IFERROR(__xludf.DUMMYFUNCTION("transpose(SPLIT(UNIQUE(SORTN(FILTER( SCAN!$C:$C,SCAN!$D:$D=O$1),1,1,0,FALSE)), "",""))"),18302.0)</f>
        <v>18302</v>
      </c>
      <c r="P3" s="101">
        <f>IFERROR(__xludf.DUMMYFUNCTION("transpose(SPLIT(UNIQUE(SORTN(FILTER( SCAN!$C:$C,SCAN!$D:$D=P$1),1,1,0,FALSE)), "",""))"),10395.0)</f>
        <v>10395</v>
      </c>
      <c r="Q3" s="101">
        <f>IFERROR(__xludf.DUMMYFUNCTION("transpose(SPLIT(UNIQUE(SORTN(FILTER( SCAN!$C:$C,SCAN!$D:$D=Q$1),1,1,0,FALSE)), "",""))"),15998.0)</f>
        <v>15998</v>
      </c>
      <c r="R3" s="101">
        <f>IFERROR(__xludf.DUMMYFUNCTION("transpose(SPLIT(UNIQUE(SORTN(FILTER( SCAN!$C:$C,SCAN!$D:$D=R$1),1,1,0,FALSE)), "",""))"),11025.0)</f>
        <v>11025</v>
      </c>
      <c r="S3" s="101">
        <f>IFERROR(__xludf.DUMMYFUNCTION("transpose(SPLIT(UNIQUE(SORTN(FILTER( SCAN!$C:$C,SCAN!$D:$D=S$1),1,1,0,FALSE)), "",""))"),14388.0)</f>
        <v>14388</v>
      </c>
      <c r="T3" s="101">
        <f>IFERROR(__xludf.DUMMYFUNCTION("transpose(SPLIT(UNIQUE(SORTN(FILTER( SCAN!$C:$C,SCAN!$D:$D=T$1),1,1,0,FALSE)), "",""))"),9583.0)</f>
        <v>9583</v>
      </c>
      <c r="U3" s="101">
        <f>IFERROR(__xludf.DUMMYFUNCTION("transpose(SPLIT(UNIQUE(SORTN(FILTER( SCAN!$C:$C,SCAN!$D:$D=U$1),1,1,0,FALSE)), "",""))"),15845.0)</f>
        <v>15845</v>
      </c>
      <c r="V3" s="101">
        <f>IFERROR(__xludf.DUMMYFUNCTION("transpose(SPLIT(UNIQUE(SORTN(FILTER( SCAN!$C:$C,SCAN!$D:$D=V$1),1,1,0,FALSE)), "",""))"),18043.0)</f>
        <v>18043</v>
      </c>
      <c r="W3" s="103"/>
      <c r="X3" s="103"/>
      <c r="Y3" s="103"/>
      <c r="Z3" s="103"/>
      <c r="AA3" s="103"/>
      <c r="AB3" s="103"/>
      <c r="AC3" s="103"/>
    </row>
    <row r="4" ht="15.75" customHeight="1">
      <c r="A4" s="100"/>
      <c r="B4" s="98"/>
      <c r="C4" s="101">
        <f>IFERROR(__xludf.DUMMYFUNCTION("""COMPUTED_VALUE"""),15785.0)</f>
        <v>15785</v>
      </c>
      <c r="D4" s="101"/>
      <c r="E4" s="101">
        <f>IFERROR(__xludf.DUMMYFUNCTION("""COMPUTED_VALUE"""),15892.0)</f>
        <v>15892</v>
      </c>
      <c r="F4" s="101">
        <f>IFERROR(__xludf.DUMMYFUNCTION("""COMPUTED_VALUE"""),17761.0)</f>
        <v>17761</v>
      </c>
      <c r="G4" s="101">
        <f>IFERROR(__xludf.DUMMYFUNCTION("""COMPUTED_VALUE"""),18332.0)</f>
        <v>18332</v>
      </c>
      <c r="H4" s="101">
        <f>IFERROR(__xludf.DUMMYFUNCTION("""COMPUTED_VALUE"""),12675.0)</f>
        <v>12675</v>
      </c>
      <c r="I4" s="101">
        <f>IFERROR(__xludf.DUMMYFUNCTION("""COMPUTED_VALUE"""),13798.0)</f>
        <v>13798</v>
      </c>
      <c r="J4" s="101">
        <f>IFERROR(__xludf.DUMMYFUNCTION("""COMPUTED_VALUE"""),16923.0)</f>
        <v>16923</v>
      </c>
      <c r="K4" s="101">
        <f>IFERROR(__xludf.DUMMYFUNCTION("""COMPUTED_VALUE"""),14897.0)</f>
        <v>14897</v>
      </c>
      <c r="L4" s="101">
        <f>IFERROR(__xludf.DUMMYFUNCTION("""COMPUTED_VALUE"""),16560.0)</f>
        <v>16560</v>
      </c>
      <c r="M4" s="101">
        <f>IFERROR(__xludf.DUMMYFUNCTION("""COMPUTED_VALUE"""),14200.0)</f>
        <v>14200</v>
      </c>
      <c r="N4" s="101">
        <f>IFERROR(__xludf.DUMMYFUNCTION("""COMPUTED_VALUE"""),14520.0)</f>
        <v>14520</v>
      </c>
      <c r="O4" s="101">
        <f>IFERROR(__xludf.DUMMYFUNCTION("""COMPUTED_VALUE"""),18360.0)</f>
        <v>18360</v>
      </c>
      <c r="P4" s="101">
        <f>IFERROR(__xludf.DUMMYFUNCTION("""COMPUTED_VALUE"""),12489.0)</f>
        <v>12489</v>
      </c>
      <c r="Q4" s="101">
        <f>IFERROR(__xludf.DUMMYFUNCTION("""COMPUTED_VALUE"""),9800.0)</f>
        <v>9800</v>
      </c>
      <c r="R4" s="101">
        <f>IFERROR(__xludf.DUMMYFUNCTION("""COMPUTED_VALUE"""),15786.0)</f>
        <v>15786</v>
      </c>
      <c r="S4" s="101">
        <f>IFERROR(__xludf.DUMMYFUNCTION("""COMPUTED_VALUE"""),10115.0)</f>
        <v>10115</v>
      </c>
      <c r="T4" s="101">
        <f>IFERROR(__xludf.DUMMYFUNCTION("""COMPUTED_VALUE"""),17432.0)</f>
        <v>17432</v>
      </c>
      <c r="U4" s="101">
        <f>IFERROR(__xludf.DUMMYFUNCTION("""COMPUTED_VALUE"""),15407.0)</f>
        <v>15407</v>
      </c>
      <c r="V4" s="101">
        <f>IFERROR(__xludf.DUMMYFUNCTION("""COMPUTED_VALUE"""),18410.0)</f>
        <v>18410</v>
      </c>
      <c r="W4" s="103"/>
      <c r="X4" s="103"/>
      <c r="Y4" s="103"/>
      <c r="Z4" s="103"/>
      <c r="AA4" s="103"/>
      <c r="AB4" s="103"/>
      <c r="AC4" s="103"/>
    </row>
    <row r="5" ht="15.75" customHeight="1">
      <c r="A5" s="97" t="s">
        <v>6511</v>
      </c>
      <c r="B5" s="98"/>
      <c r="C5" s="101">
        <f>IFERROR(__xludf.DUMMYFUNCTION("""COMPUTED_VALUE"""),14276.0)</f>
        <v>14276</v>
      </c>
      <c r="D5" s="101"/>
      <c r="E5" s="101">
        <f>IFERROR(__xludf.DUMMYFUNCTION("""COMPUTED_VALUE"""),15368.0)</f>
        <v>15368</v>
      </c>
      <c r="F5" s="101">
        <f>IFERROR(__xludf.DUMMYFUNCTION("""COMPUTED_VALUE"""),13180.0)</f>
        <v>13180</v>
      </c>
      <c r="G5" s="101">
        <f>IFERROR(__xludf.DUMMYFUNCTION("""COMPUTED_VALUE"""),9998.0)</f>
        <v>9998</v>
      </c>
      <c r="H5" s="101">
        <f>IFERROR(__xludf.DUMMYFUNCTION("""COMPUTED_VALUE"""),14668.0)</f>
        <v>14668</v>
      </c>
      <c r="I5" s="101">
        <f>IFERROR(__xludf.DUMMYFUNCTION("""COMPUTED_VALUE"""),16246.0)</f>
        <v>16246</v>
      </c>
      <c r="J5" s="101">
        <f>IFERROR(__xludf.DUMMYFUNCTION("""COMPUTED_VALUE"""),9309.0)</f>
        <v>9309</v>
      </c>
      <c r="K5" s="101">
        <f>IFERROR(__xludf.DUMMYFUNCTION("""COMPUTED_VALUE"""),18350.0)</f>
        <v>18350</v>
      </c>
      <c r="L5" s="101">
        <f>IFERROR(__xludf.DUMMYFUNCTION("""COMPUTED_VALUE"""),16037.0)</f>
        <v>16037</v>
      </c>
      <c r="M5" s="101">
        <f>IFERROR(__xludf.DUMMYFUNCTION("""COMPUTED_VALUE"""),17639.0)</f>
        <v>17639</v>
      </c>
      <c r="N5" s="101">
        <f>IFERROR(__xludf.DUMMYFUNCTION("""COMPUTED_VALUE"""),16664.0)</f>
        <v>16664</v>
      </c>
      <c r="O5" s="101">
        <f>IFERROR(__xludf.DUMMYFUNCTION("""COMPUTED_VALUE"""),18426.0)</f>
        <v>18426</v>
      </c>
      <c r="P5" s="101">
        <f>IFERROR(__xludf.DUMMYFUNCTION("""COMPUTED_VALUE"""),17186.0)</f>
        <v>17186</v>
      </c>
      <c r="Q5" s="101">
        <f>IFERROR(__xludf.DUMMYFUNCTION("""COMPUTED_VALUE"""),16562.0)</f>
        <v>16562</v>
      </c>
      <c r="R5" s="101">
        <f>IFERROR(__xludf.DUMMYFUNCTION("""COMPUTED_VALUE"""),13528.0)</f>
        <v>13528</v>
      </c>
      <c r="S5" s="101">
        <f>IFERROR(__xludf.DUMMYFUNCTION("""COMPUTED_VALUE"""),10626.0)</f>
        <v>10626</v>
      </c>
      <c r="T5" s="101">
        <f>IFERROR(__xludf.DUMMYFUNCTION("""COMPUTED_VALUE"""),9234.0)</f>
        <v>9234</v>
      </c>
      <c r="U5" s="101">
        <f>IFERROR(__xludf.DUMMYFUNCTION("""COMPUTED_VALUE"""),18502.0)</f>
        <v>18502</v>
      </c>
      <c r="V5" s="101">
        <f>IFERROR(__xludf.DUMMYFUNCTION("""COMPUTED_VALUE"""),16473.0)</f>
        <v>16473</v>
      </c>
      <c r="W5" s="103"/>
      <c r="X5" s="103"/>
      <c r="Y5" s="103"/>
      <c r="Z5" s="103"/>
      <c r="AA5" s="103"/>
      <c r="AB5" s="103"/>
      <c r="AC5" s="103"/>
    </row>
    <row r="6" ht="15.75" customHeight="1">
      <c r="A6" s="97">
        <v>4.0</v>
      </c>
      <c r="B6" s="98"/>
      <c r="C6" s="101">
        <f>IFERROR(__xludf.DUMMYFUNCTION("""COMPUTED_VALUE"""),9218.0)</f>
        <v>9218</v>
      </c>
      <c r="D6" s="101"/>
      <c r="E6" s="101">
        <f>IFERROR(__xludf.DUMMYFUNCTION("""COMPUTED_VALUE"""),14862.0)</f>
        <v>14862</v>
      </c>
      <c r="F6" s="101">
        <f>IFERROR(__xludf.DUMMYFUNCTION("""COMPUTED_VALUE"""),17076.0)</f>
        <v>17076</v>
      </c>
      <c r="G6" s="101">
        <f>IFERROR(__xludf.DUMMYFUNCTION("""COMPUTED_VALUE"""),18292.0)</f>
        <v>18292</v>
      </c>
      <c r="H6" s="101">
        <f>IFERROR(__xludf.DUMMYFUNCTION("""COMPUTED_VALUE"""),9858.0)</f>
        <v>9858</v>
      </c>
      <c r="I6" s="101">
        <f>IFERROR(__xludf.DUMMYFUNCTION("""COMPUTED_VALUE"""),11959.0)</f>
        <v>11959</v>
      </c>
      <c r="J6" s="101">
        <f>IFERROR(__xludf.DUMMYFUNCTION("""COMPUTED_VALUE"""),18297.0)</f>
        <v>18297</v>
      </c>
      <c r="K6" s="101">
        <f>IFERROR(__xludf.DUMMYFUNCTION("""COMPUTED_VALUE"""),9892.0)</f>
        <v>9892</v>
      </c>
      <c r="L6" s="101">
        <f>IFERROR(__xludf.DUMMYFUNCTION("""COMPUTED_VALUE"""),15521.0)</f>
        <v>15521</v>
      </c>
      <c r="M6" s="101">
        <f>IFERROR(__xludf.DUMMYFUNCTION("""COMPUTED_VALUE"""),12566.0)</f>
        <v>12566</v>
      </c>
      <c r="N6" s="101">
        <f>IFERROR(__xludf.DUMMYFUNCTION("""COMPUTED_VALUE"""),11476.0)</f>
        <v>11476</v>
      </c>
      <c r="O6" s="101">
        <f>IFERROR(__xludf.DUMMYFUNCTION("""COMPUTED_VALUE"""),18439.0)</f>
        <v>18439</v>
      </c>
      <c r="P6" s="101">
        <f>IFERROR(__xludf.DUMMYFUNCTION("""COMPUTED_VALUE"""),9878.0)</f>
        <v>9878</v>
      </c>
      <c r="Q6" s="101">
        <f>IFERROR(__xludf.DUMMYFUNCTION("""COMPUTED_VALUE"""),18440.0)</f>
        <v>18440</v>
      </c>
      <c r="R6" s="101">
        <f>IFERROR(__xludf.DUMMYFUNCTION("""COMPUTED_VALUE"""),12849.0)</f>
        <v>12849</v>
      </c>
      <c r="S6" s="101">
        <f>IFERROR(__xludf.DUMMYFUNCTION("""COMPUTED_VALUE"""),12659.0)</f>
        <v>12659</v>
      </c>
      <c r="T6" s="101">
        <f>IFERROR(__xludf.DUMMYFUNCTION("""COMPUTED_VALUE"""),17722.0)</f>
        <v>17722</v>
      </c>
      <c r="U6" s="101">
        <f>IFERROR(__xludf.DUMMYFUNCTION("""COMPUTED_VALUE"""),17539.0)</f>
        <v>17539</v>
      </c>
      <c r="V6" s="101">
        <f>IFERROR(__xludf.DUMMYFUNCTION("""COMPUTED_VALUE"""),18572.0)</f>
        <v>18572</v>
      </c>
      <c r="W6" s="103"/>
      <c r="X6" s="103"/>
      <c r="Y6" s="103"/>
      <c r="Z6" s="103"/>
      <c r="AA6" s="103"/>
      <c r="AB6" s="103"/>
      <c r="AC6" s="103"/>
    </row>
    <row r="7" ht="15.75" customHeight="1">
      <c r="A7" s="97">
        <v>9.0</v>
      </c>
      <c r="B7" s="98"/>
      <c r="C7" s="101">
        <f>IFERROR(__xludf.DUMMYFUNCTION("""COMPUTED_VALUE"""),16958.0)</f>
        <v>16958</v>
      </c>
      <c r="D7" s="101"/>
      <c r="E7" s="101">
        <f>IFERROR(__xludf.DUMMYFUNCTION("""COMPUTED_VALUE"""),16167.0)</f>
        <v>16167</v>
      </c>
      <c r="F7" s="101">
        <f>IFERROR(__xludf.DUMMYFUNCTION("""COMPUTED_VALUE"""),13273.0)</f>
        <v>13273</v>
      </c>
      <c r="G7" s="101">
        <f>IFERROR(__xludf.DUMMYFUNCTION("""COMPUTED_VALUE"""),9810.0)</f>
        <v>9810</v>
      </c>
      <c r="H7" s="101">
        <f>IFERROR(__xludf.DUMMYFUNCTION("""COMPUTED_VALUE"""),11881.0)</f>
        <v>11881</v>
      </c>
      <c r="I7" s="101">
        <f>IFERROR(__xludf.DUMMYFUNCTION("""COMPUTED_VALUE"""),9760.0)</f>
        <v>9760</v>
      </c>
      <c r="J7" s="101">
        <f>IFERROR(__xludf.DUMMYFUNCTION("""COMPUTED_VALUE"""),18313.0)</f>
        <v>18313</v>
      </c>
      <c r="K7" s="101">
        <f>IFERROR(__xludf.DUMMYFUNCTION("""COMPUTED_VALUE"""),14076.0)</f>
        <v>14076</v>
      </c>
      <c r="L7" s="101">
        <f>IFERROR(__xludf.DUMMYFUNCTION("""COMPUTED_VALUE"""),10477.0)</f>
        <v>10477</v>
      </c>
      <c r="M7" s="101">
        <f>IFERROR(__xludf.DUMMYFUNCTION("""COMPUTED_VALUE"""),14816.0)</f>
        <v>14816</v>
      </c>
      <c r="N7" s="101">
        <f>IFERROR(__xludf.DUMMYFUNCTION("""COMPUTED_VALUE"""),11471.0)</f>
        <v>11471</v>
      </c>
      <c r="O7" s="101">
        <f>IFERROR(__xludf.DUMMYFUNCTION("""COMPUTED_VALUE"""),18437.0)</f>
        <v>18437</v>
      </c>
      <c r="P7" s="101">
        <f>IFERROR(__xludf.DUMMYFUNCTION("""COMPUTED_VALUE"""),9143.0)</f>
        <v>9143</v>
      </c>
      <c r="Q7" s="101">
        <f>IFERROR(__xludf.DUMMYFUNCTION("""COMPUTED_VALUE"""),13422.0)</f>
        <v>13422</v>
      </c>
      <c r="R7" s="101">
        <f>IFERROR(__xludf.DUMMYFUNCTION("""COMPUTED_VALUE"""),14821.0)</f>
        <v>14821</v>
      </c>
      <c r="S7" s="101">
        <f>IFERROR(__xludf.DUMMYFUNCTION("""COMPUTED_VALUE"""),9807.0)</f>
        <v>9807</v>
      </c>
      <c r="T7" s="101">
        <f>IFERROR(__xludf.DUMMYFUNCTION("""COMPUTED_VALUE"""),9278.0)</f>
        <v>9278</v>
      </c>
      <c r="U7" s="101">
        <f>IFERROR(__xludf.DUMMYFUNCTION("""COMPUTED_VALUE"""),10882.0)</f>
        <v>10882</v>
      </c>
      <c r="V7" s="101">
        <f>IFERROR(__xludf.DUMMYFUNCTION("""COMPUTED_VALUE"""),18574.0)</f>
        <v>18574</v>
      </c>
      <c r="W7" s="103"/>
      <c r="X7" s="103"/>
      <c r="Y7" s="103"/>
      <c r="Z7" s="103"/>
      <c r="AA7" s="103"/>
      <c r="AB7" s="103"/>
      <c r="AC7" s="103"/>
    </row>
    <row r="8" ht="15.75" customHeight="1">
      <c r="A8" s="97">
        <v>16.0</v>
      </c>
      <c r="B8" s="98"/>
      <c r="C8" s="101">
        <f>IFERROR(__xludf.DUMMYFUNCTION("""COMPUTED_VALUE"""),11827.0)</f>
        <v>11827</v>
      </c>
      <c r="D8" s="101"/>
      <c r="E8" s="101">
        <f>IFERROR(__xludf.DUMMYFUNCTION("""COMPUTED_VALUE"""),16677.0)</f>
        <v>16677</v>
      </c>
      <c r="F8" s="101">
        <f>IFERROR(__xludf.DUMMYFUNCTION("""COMPUTED_VALUE"""),17513.0)</f>
        <v>17513</v>
      </c>
      <c r="G8" s="101">
        <f>IFERROR(__xludf.DUMMYFUNCTION("""COMPUTED_VALUE"""),13512.0)</f>
        <v>13512</v>
      </c>
      <c r="H8" s="101">
        <f>IFERROR(__xludf.DUMMYFUNCTION("""COMPUTED_VALUE"""),15555.0)</f>
        <v>15555</v>
      </c>
      <c r="I8" s="101">
        <f>IFERROR(__xludf.DUMMYFUNCTION("""COMPUTED_VALUE"""),17367.0)</f>
        <v>17367</v>
      </c>
      <c r="J8" s="101">
        <f>IFERROR(__xludf.DUMMYFUNCTION("""COMPUTED_VALUE"""),16310.0)</f>
        <v>16310</v>
      </c>
      <c r="K8" s="101">
        <f>IFERROR(__xludf.DUMMYFUNCTION("""COMPUTED_VALUE"""),18394.0)</f>
        <v>18394</v>
      </c>
      <c r="L8" s="101">
        <f>IFERROR(__xludf.DUMMYFUNCTION("""COMPUTED_VALUE"""),17055.0)</f>
        <v>17055</v>
      </c>
      <c r="M8" s="101">
        <f>IFERROR(__xludf.DUMMYFUNCTION("""COMPUTED_VALUE"""),15972.0)</f>
        <v>15972</v>
      </c>
      <c r="N8" s="101">
        <f>IFERROR(__xludf.DUMMYFUNCTION("""COMPUTED_VALUE"""),15591.0)</f>
        <v>15591</v>
      </c>
      <c r="O8" s="101">
        <f>IFERROR(__xludf.DUMMYFUNCTION("""COMPUTED_VALUE"""),13719.0)</f>
        <v>13719</v>
      </c>
      <c r="P8" s="101">
        <f>IFERROR(__xludf.DUMMYFUNCTION("""COMPUTED_VALUE"""),13880.0)</f>
        <v>13880</v>
      </c>
      <c r="Q8" s="101">
        <f>IFERROR(__xludf.DUMMYFUNCTION("""COMPUTED_VALUE"""),9586.0)</f>
        <v>9586</v>
      </c>
      <c r="R8" s="101">
        <f>IFERROR(__xludf.DUMMYFUNCTION("""COMPUTED_VALUE"""),10355.0)</f>
        <v>10355</v>
      </c>
      <c r="S8" s="101">
        <f>IFERROR(__xludf.DUMMYFUNCTION("""COMPUTED_VALUE"""),12724.0)</f>
        <v>12724</v>
      </c>
      <c r="T8" s="101">
        <f>IFERROR(__xludf.DUMMYFUNCTION("""COMPUTED_VALUE"""),17801.0)</f>
        <v>17801</v>
      </c>
      <c r="U8" s="101">
        <f>IFERROR(__xludf.DUMMYFUNCTION("""COMPUTED_VALUE"""),18444.0)</f>
        <v>18444</v>
      </c>
      <c r="V8" s="101">
        <f>IFERROR(__xludf.DUMMYFUNCTION("""COMPUTED_VALUE"""),18521.0)</f>
        <v>18521</v>
      </c>
      <c r="W8" s="103"/>
      <c r="X8" s="103"/>
      <c r="Y8" s="103"/>
      <c r="Z8" s="103"/>
      <c r="AA8" s="103"/>
      <c r="AB8" s="103"/>
      <c r="AC8" s="103"/>
    </row>
    <row r="9" ht="15.75" customHeight="1">
      <c r="A9" s="100"/>
      <c r="B9" s="98"/>
      <c r="C9" s="101">
        <f>IFERROR(__xludf.DUMMYFUNCTION("""COMPUTED_VALUE"""),18182.0)</f>
        <v>18182</v>
      </c>
      <c r="D9" s="101"/>
      <c r="E9" s="101">
        <f>IFERROR(__xludf.DUMMYFUNCTION("""COMPUTED_VALUE"""),15621.0)</f>
        <v>15621</v>
      </c>
      <c r="F9" s="101">
        <f>IFERROR(__xludf.DUMMYFUNCTION("""COMPUTED_VALUE"""),11303.0)</f>
        <v>11303</v>
      </c>
      <c r="G9" s="101">
        <f>IFERROR(__xludf.DUMMYFUNCTION("""COMPUTED_VALUE"""),18290.0)</f>
        <v>18290</v>
      </c>
      <c r="H9" s="101">
        <f>IFERROR(__xludf.DUMMYFUNCTION("""COMPUTED_VALUE"""),12752.0)</f>
        <v>12752</v>
      </c>
      <c r="I9" s="101">
        <f>IFERROR(__xludf.DUMMYFUNCTION("""COMPUTED_VALUE"""),10273.0)</f>
        <v>10273</v>
      </c>
      <c r="J9" s="101">
        <f>IFERROR(__xludf.DUMMYFUNCTION("""COMPUTED_VALUE"""),15207.0)</f>
        <v>15207</v>
      </c>
      <c r="K9" s="101">
        <f>IFERROR(__xludf.DUMMYFUNCTION("""COMPUTED_VALUE"""),16312.0)</f>
        <v>16312</v>
      </c>
      <c r="L9" s="101">
        <f>IFERROR(__xludf.DUMMYFUNCTION("""COMPUTED_VALUE"""),10732.0)</f>
        <v>10732</v>
      </c>
      <c r="M9" s="101">
        <f>IFERROR(__xludf.DUMMYFUNCTION("""COMPUTED_VALUE"""),9976.0)</f>
        <v>9976</v>
      </c>
      <c r="N9" s="101">
        <f>IFERROR(__xludf.DUMMYFUNCTION("""COMPUTED_VALUE"""),14587.0)</f>
        <v>14587</v>
      </c>
      <c r="O9" s="101">
        <f>IFERROR(__xludf.DUMMYFUNCTION("""COMPUTED_VALUE"""),14916.0)</f>
        <v>14916</v>
      </c>
      <c r="P9" s="101">
        <f>IFERROR(__xludf.DUMMYFUNCTION("""COMPUTED_VALUE"""),15606.0)</f>
        <v>15606</v>
      </c>
      <c r="Q9" s="101">
        <f>IFERROR(__xludf.DUMMYFUNCTION("""COMPUTED_VALUE"""),18487.0)</f>
        <v>18487</v>
      </c>
      <c r="R9" s="101">
        <f>IFERROR(__xludf.DUMMYFUNCTION("""COMPUTED_VALUE"""),16527.0)</f>
        <v>16527</v>
      </c>
      <c r="S9" s="101">
        <f>IFERROR(__xludf.DUMMYFUNCTION("""COMPUTED_VALUE"""),10941.0)</f>
        <v>10941</v>
      </c>
      <c r="T9" s="101">
        <f>IFERROR(__xludf.DUMMYFUNCTION("""COMPUTED_VALUE"""),14066.0)</f>
        <v>14066</v>
      </c>
      <c r="U9" s="101">
        <f>IFERROR(__xludf.DUMMYFUNCTION("""COMPUTED_VALUE"""),14183.0)</f>
        <v>14183</v>
      </c>
      <c r="V9" s="101">
        <f>IFERROR(__xludf.DUMMYFUNCTION("""COMPUTED_VALUE"""),14826.0)</f>
        <v>14826</v>
      </c>
      <c r="W9" s="103"/>
      <c r="X9" s="103"/>
      <c r="Y9" s="103"/>
      <c r="Z9" s="103"/>
      <c r="AA9" s="103"/>
      <c r="AB9" s="103"/>
      <c r="AC9" s="103"/>
    </row>
    <row r="10" ht="15.75" customHeight="1">
      <c r="A10" s="100"/>
      <c r="B10" s="98"/>
      <c r="C10" s="101">
        <f>IFERROR(__xludf.DUMMYFUNCTION("""COMPUTED_VALUE"""),14079.0)</f>
        <v>14079</v>
      </c>
      <c r="D10" s="104">
        <v>1.1637744E7</v>
      </c>
      <c r="E10" s="101">
        <f>IFERROR(__xludf.DUMMYFUNCTION("""COMPUTED_VALUE"""),18215.0)</f>
        <v>18215</v>
      </c>
      <c r="F10" s="101">
        <f>IFERROR(__xludf.DUMMYFUNCTION("""COMPUTED_VALUE"""),17714.0)</f>
        <v>17714</v>
      </c>
      <c r="G10" s="101">
        <f>IFERROR(__xludf.DUMMYFUNCTION("""COMPUTED_VALUE"""),15668.0)</f>
        <v>15668</v>
      </c>
      <c r="H10" s="101">
        <f>IFERROR(__xludf.DUMMYFUNCTION("""COMPUTED_VALUE"""),10154.0)</f>
        <v>10154</v>
      </c>
      <c r="I10" s="101">
        <f>IFERROR(__xludf.DUMMYFUNCTION("""COMPUTED_VALUE"""),15657.0)</f>
        <v>15657</v>
      </c>
      <c r="J10" s="101">
        <f>IFERROR(__xludf.DUMMYFUNCTION("""COMPUTED_VALUE"""),12274.0)</f>
        <v>12274</v>
      </c>
      <c r="K10" s="101">
        <f>IFERROR(__xludf.DUMMYFUNCTION("""COMPUTED_VALUE"""),15620.0)</f>
        <v>15620</v>
      </c>
      <c r="L10" s="101">
        <f>IFERROR(__xludf.DUMMYFUNCTION("""COMPUTED_VALUE"""),9775.0)</f>
        <v>9775</v>
      </c>
      <c r="M10" s="101">
        <f>IFERROR(__xludf.DUMMYFUNCTION("""COMPUTED_VALUE"""),9308.0)</f>
        <v>9308</v>
      </c>
      <c r="N10" s="101">
        <f>IFERROR(__xludf.DUMMYFUNCTION("""COMPUTED_VALUE"""),12275.0)</f>
        <v>12275</v>
      </c>
      <c r="O10" s="101">
        <f>IFERROR(__xludf.DUMMYFUNCTION("""COMPUTED_VALUE"""),18415.0)</f>
        <v>18415</v>
      </c>
      <c r="P10" s="101">
        <f>IFERROR(__xludf.DUMMYFUNCTION("""COMPUTED_VALUE"""),11252.0)</f>
        <v>11252</v>
      </c>
      <c r="Q10" s="101">
        <f>IFERROR(__xludf.DUMMYFUNCTION("""COMPUTED_VALUE"""),16983.0)</f>
        <v>16983</v>
      </c>
      <c r="R10" s="101">
        <f>IFERROR(__xludf.DUMMYFUNCTION("""COMPUTED_VALUE"""),16365.0)</f>
        <v>16365</v>
      </c>
      <c r="S10" s="101">
        <f>IFERROR(__xludf.DUMMYFUNCTION("""COMPUTED_VALUE"""),16128.0)</f>
        <v>16128</v>
      </c>
      <c r="T10" s="101">
        <f>IFERROR(__xludf.DUMMYFUNCTION("""COMPUTED_VALUE"""),18495.0)</f>
        <v>18495</v>
      </c>
      <c r="U10" s="101">
        <f>IFERROR(__xludf.DUMMYFUNCTION("""COMPUTED_VALUE"""),15502.0)</f>
        <v>15502</v>
      </c>
      <c r="V10" s="101">
        <f>IFERROR(__xludf.DUMMYFUNCTION("""COMPUTED_VALUE"""),17540.0)</f>
        <v>17540</v>
      </c>
      <c r="W10" s="103"/>
      <c r="X10" s="103"/>
      <c r="Y10" s="103"/>
      <c r="Z10" s="103"/>
      <c r="AA10" s="103"/>
      <c r="AB10" s="103"/>
      <c r="AC10" s="103"/>
    </row>
    <row r="11" ht="15.75" customHeight="1">
      <c r="A11" s="100"/>
      <c r="B11" s="98"/>
      <c r="C11" s="101">
        <f>IFERROR(__xludf.DUMMYFUNCTION("""COMPUTED_VALUE"""),11037.0)</f>
        <v>11037</v>
      </c>
      <c r="D11" s="101"/>
      <c r="E11" s="101">
        <f>IFERROR(__xludf.DUMMYFUNCTION("""COMPUTED_VALUE"""),18273.0)</f>
        <v>18273</v>
      </c>
      <c r="F11" s="101">
        <f>IFERROR(__xludf.DUMMYFUNCTION("""COMPUTED_VALUE"""),16502.0)</f>
        <v>16502</v>
      </c>
      <c r="G11" s="101">
        <f>IFERROR(__xludf.DUMMYFUNCTION("""COMPUTED_VALUE"""),17557.0)</f>
        <v>17557</v>
      </c>
      <c r="H11" s="101">
        <f>IFERROR(__xludf.DUMMYFUNCTION("""COMPUTED_VALUE"""),9284.0)</f>
        <v>9284</v>
      </c>
      <c r="I11" s="101">
        <f>IFERROR(__xludf.DUMMYFUNCTION("""COMPUTED_VALUE"""),15002.0)</f>
        <v>15002</v>
      </c>
      <c r="J11" s="101">
        <f>IFERROR(__xludf.DUMMYFUNCTION("""COMPUTED_VALUE"""),9303.0)</f>
        <v>9303</v>
      </c>
      <c r="K11" s="101">
        <f>IFERROR(__xludf.DUMMYFUNCTION("""COMPUTED_VALUE"""),16433.0)</f>
        <v>16433</v>
      </c>
      <c r="L11" s="101">
        <f>IFERROR(__xludf.DUMMYFUNCTION("""COMPUTED_VALUE"""),15600.0)</f>
        <v>15600</v>
      </c>
      <c r="M11" s="101">
        <f>IFERROR(__xludf.DUMMYFUNCTION("""COMPUTED_VALUE"""),14486.0)</f>
        <v>14486</v>
      </c>
      <c r="N11" s="101">
        <f>IFERROR(__xludf.DUMMYFUNCTION("""COMPUTED_VALUE"""),17470.0)</f>
        <v>17470</v>
      </c>
      <c r="O11" s="101">
        <f>IFERROR(__xludf.DUMMYFUNCTION("""COMPUTED_VALUE"""),12787.0)</f>
        <v>12787</v>
      </c>
      <c r="P11" s="101">
        <f>IFERROR(__xludf.DUMMYFUNCTION("""COMPUTED_VALUE"""),10416.0)</f>
        <v>10416</v>
      </c>
      <c r="Q11" s="101">
        <f>IFERROR(__xludf.DUMMYFUNCTION("""COMPUTED_VALUE"""),15665.0)</f>
        <v>15665</v>
      </c>
      <c r="R11" s="101">
        <f>IFERROR(__xludf.DUMMYFUNCTION("""COMPUTED_VALUE"""),13432.0)</f>
        <v>13432</v>
      </c>
      <c r="S11" s="101">
        <f>IFERROR(__xludf.DUMMYFUNCTION("""COMPUTED_VALUE"""),14924.0)</f>
        <v>14924</v>
      </c>
      <c r="T11" s="101">
        <f>IFERROR(__xludf.DUMMYFUNCTION("""COMPUTED_VALUE"""),9299.0)</f>
        <v>9299</v>
      </c>
      <c r="U11" s="101">
        <f>IFERROR(__xludf.DUMMYFUNCTION("""COMPUTED_VALUE"""),18570.0)</f>
        <v>18570</v>
      </c>
      <c r="V11" s="101">
        <f>IFERROR(__xludf.DUMMYFUNCTION("""COMPUTED_VALUE"""),13536.0)</f>
        <v>13536</v>
      </c>
      <c r="W11" s="103"/>
      <c r="X11" s="103"/>
      <c r="Y11" s="103"/>
      <c r="Z11" s="103"/>
      <c r="AA11" s="103"/>
      <c r="AB11" s="103"/>
      <c r="AC11" s="103"/>
    </row>
    <row r="12" ht="15.75" customHeight="1">
      <c r="A12" s="100"/>
      <c r="B12" s="98"/>
      <c r="C12" s="101">
        <f>IFERROR(__xludf.DUMMYFUNCTION("""COMPUTED_VALUE"""),11131.0)</f>
        <v>11131</v>
      </c>
      <c r="D12" s="101"/>
      <c r="E12" s="101">
        <f>IFERROR(__xludf.DUMMYFUNCTION("""COMPUTED_VALUE"""),18267.0)</f>
        <v>18267</v>
      </c>
      <c r="F12" s="101">
        <f>IFERROR(__xludf.DUMMYFUNCTION("""COMPUTED_VALUE"""),17472.0)</f>
        <v>17472</v>
      </c>
      <c r="G12" s="101">
        <f>IFERROR(__xludf.DUMMYFUNCTION("""COMPUTED_VALUE"""),16106.0)</f>
        <v>16106</v>
      </c>
      <c r="H12" s="101">
        <f>IFERROR(__xludf.DUMMYFUNCTION("""COMPUTED_VALUE"""),9945.0)</f>
        <v>9945</v>
      </c>
      <c r="I12" s="101">
        <f>IFERROR(__xludf.DUMMYFUNCTION("""COMPUTED_VALUE"""),15167.0)</f>
        <v>15167</v>
      </c>
      <c r="J12" s="101">
        <f>IFERROR(__xludf.DUMMYFUNCTION("""COMPUTED_VALUE"""),18323.0)</f>
        <v>18323</v>
      </c>
      <c r="K12" s="101">
        <f>IFERROR(__xludf.DUMMYFUNCTION("""COMPUTED_VALUE"""),12792.0)</f>
        <v>12792</v>
      </c>
      <c r="L12" s="101">
        <f>IFERROR(__xludf.DUMMYFUNCTION("""COMPUTED_VALUE"""),9241.0)</f>
        <v>9241</v>
      </c>
      <c r="M12" s="101">
        <f>IFERROR(__xludf.DUMMYFUNCTION("""COMPUTED_VALUE"""),12303.0)</f>
        <v>12303</v>
      </c>
      <c r="N12" s="101">
        <f>IFERROR(__xludf.DUMMYFUNCTION("""COMPUTED_VALUE"""),13579.0)</f>
        <v>13579</v>
      </c>
      <c r="O12" s="101">
        <f>IFERROR(__xludf.DUMMYFUNCTION("""COMPUTED_VALUE"""),18361.0)</f>
        <v>18361</v>
      </c>
      <c r="P12" s="101">
        <f>IFERROR(__xludf.DUMMYFUNCTION("""COMPUTED_VALUE"""),15192.0)</f>
        <v>15192</v>
      </c>
      <c r="Q12" s="101">
        <f>IFERROR(__xludf.DUMMYFUNCTION("""COMPUTED_VALUE"""),18498.0)</f>
        <v>18498</v>
      </c>
      <c r="R12" s="101">
        <f>IFERROR(__xludf.DUMMYFUNCTION("""COMPUTED_VALUE"""),9683.0)</f>
        <v>9683</v>
      </c>
      <c r="S12" s="101">
        <f>IFERROR(__xludf.DUMMYFUNCTION("""COMPUTED_VALUE"""),13152.0)</f>
        <v>13152</v>
      </c>
      <c r="T12" s="101">
        <f>IFERROR(__xludf.DUMMYFUNCTION("""COMPUTED_VALUE"""),18468.0)</f>
        <v>18468</v>
      </c>
      <c r="U12" s="101">
        <f>IFERROR(__xludf.DUMMYFUNCTION("""COMPUTED_VALUE"""),13885.0)</f>
        <v>13885</v>
      </c>
      <c r="V12" s="101">
        <f>IFERROR(__xludf.DUMMYFUNCTION("""COMPUTED_VALUE"""),17549.0)</f>
        <v>17549</v>
      </c>
      <c r="W12" s="103"/>
      <c r="X12" s="103"/>
      <c r="Y12" s="103"/>
      <c r="Z12" s="103"/>
      <c r="AA12" s="103"/>
      <c r="AB12" s="103"/>
      <c r="AC12" s="103"/>
    </row>
    <row r="13" ht="15.75" customHeight="1">
      <c r="A13" s="100"/>
      <c r="B13" s="98"/>
      <c r="C13" s="101">
        <f>IFERROR(__xludf.DUMMYFUNCTION("""COMPUTED_VALUE"""),11163.0)</f>
        <v>11163</v>
      </c>
      <c r="D13" s="101"/>
      <c r="E13" s="101">
        <f>IFERROR(__xludf.DUMMYFUNCTION("""COMPUTED_VALUE"""),16914.0)</f>
        <v>16914</v>
      </c>
      <c r="F13" s="101">
        <f>IFERROR(__xludf.DUMMYFUNCTION("""COMPUTED_VALUE"""),15479.0)</f>
        <v>15479</v>
      </c>
      <c r="G13" s="101">
        <f>IFERROR(__xludf.DUMMYFUNCTION("""COMPUTED_VALUE"""),11152.0)</f>
        <v>11152</v>
      </c>
      <c r="H13" s="101">
        <f>IFERROR(__xludf.DUMMYFUNCTION("""COMPUTED_VALUE"""),10176.0)</f>
        <v>10176</v>
      </c>
      <c r="I13" s="101">
        <f>IFERROR(__xludf.DUMMYFUNCTION("""COMPUTED_VALUE"""),10114.0)</f>
        <v>10114</v>
      </c>
      <c r="J13" s="101">
        <f>IFERROR(__xludf.DUMMYFUNCTION("""COMPUTED_VALUE"""),18310.0)</f>
        <v>18310</v>
      </c>
      <c r="K13" s="101">
        <f>IFERROR(__xludf.DUMMYFUNCTION("""COMPUTED_VALUE"""),18368.0)</f>
        <v>18368</v>
      </c>
      <c r="L13" s="101">
        <f>IFERROR(__xludf.DUMMYFUNCTION("""COMPUTED_VALUE"""),13084.0)</f>
        <v>13084</v>
      </c>
      <c r="M13" s="101">
        <f>IFERROR(__xludf.DUMMYFUNCTION("""COMPUTED_VALUE"""),13118.0)</f>
        <v>13118</v>
      </c>
      <c r="N13" s="101">
        <f>IFERROR(__xludf.DUMMYFUNCTION("""COMPUTED_VALUE"""),9139.0)</f>
        <v>9139</v>
      </c>
      <c r="O13" s="101">
        <f>IFERROR(__xludf.DUMMYFUNCTION("""COMPUTED_VALUE"""),18401.0)</f>
        <v>18401</v>
      </c>
      <c r="P13" s="101">
        <f>IFERROR(__xludf.DUMMYFUNCTION("""COMPUTED_VALUE"""),9986.0)</f>
        <v>9986</v>
      </c>
      <c r="Q13" s="101">
        <f>IFERROR(__xludf.DUMMYFUNCTION("""COMPUTED_VALUE"""),13946.0)</f>
        <v>13946</v>
      </c>
      <c r="R13" s="101">
        <f>IFERROR(__xludf.DUMMYFUNCTION("""COMPUTED_VALUE"""),16320.0)</f>
        <v>16320</v>
      </c>
      <c r="S13" s="101">
        <f>IFERROR(__xludf.DUMMYFUNCTION("""COMPUTED_VALUE"""),16703.0)</f>
        <v>16703</v>
      </c>
      <c r="T13" s="101">
        <f>IFERROR(__xludf.DUMMYFUNCTION("""COMPUTED_VALUE"""),18455.0)</f>
        <v>18455</v>
      </c>
      <c r="U13" s="101">
        <f>IFERROR(__xludf.DUMMYFUNCTION("""COMPUTED_VALUE"""),16119.0)</f>
        <v>16119</v>
      </c>
      <c r="V13" s="101">
        <f>IFERROR(__xludf.DUMMYFUNCTION("""COMPUTED_VALUE"""),9300.0)</f>
        <v>9300</v>
      </c>
      <c r="W13" s="103"/>
      <c r="X13" s="103"/>
      <c r="Y13" s="103"/>
      <c r="Z13" s="103"/>
      <c r="AA13" s="103"/>
      <c r="AB13" s="103"/>
      <c r="AC13" s="103"/>
    </row>
    <row r="14" ht="15.75" customHeight="1">
      <c r="A14" s="100"/>
      <c r="B14" s="98"/>
      <c r="C14" s="101">
        <f>IFERROR(__xludf.DUMMYFUNCTION("""COMPUTED_VALUE"""),18220.0)</f>
        <v>18220</v>
      </c>
      <c r="D14" s="101"/>
      <c r="E14" s="101">
        <f>IFERROR(__xludf.DUMMYFUNCTION("""COMPUTED_VALUE"""),18295.0)</f>
        <v>18295</v>
      </c>
      <c r="F14" s="101">
        <f>IFERROR(__xludf.DUMMYFUNCTION("""COMPUTED_VALUE"""),10495.0)</f>
        <v>10495</v>
      </c>
      <c r="G14" s="101">
        <f>IFERROR(__xludf.DUMMYFUNCTION("""COMPUTED_VALUE"""),16574.0)</f>
        <v>16574</v>
      </c>
      <c r="H14" s="101">
        <f>IFERROR(__xludf.DUMMYFUNCTION("""COMPUTED_VALUE"""),11034.0)</f>
        <v>11034</v>
      </c>
      <c r="I14" s="101">
        <f>IFERROR(__xludf.DUMMYFUNCTION("""COMPUTED_VALUE"""),15335.0)</f>
        <v>15335</v>
      </c>
      <c r="J14" s="101">
        <f>IFERROR(__xludf.DUMMYFUNCTION("""COMPUTED_VALUE"""),18403.0)</f>
        <v>18403</v>
      </c>
      <c r="K14" s="101">
        <f>IFERROR(__xludf.DUMMYFUNCTION("""COMPUTED_VALUE"""),12131.0)</f>
        <v>12131</v>
      </c>
      <c r="L14" s="101">
        <f>IFERROR(__xludf.DUMMYFUNCTION("""COMPUTED_VALUE"""),13331.0)</f>
        <v>13331</v>
      </c>
      <c r="M14" s="101">
        <f>IFERROR(__xludf.DUMMYFUNCTION("""COMPUTED_VALUE"""),14434.0)</f>
        <v>14434</v>
      </c>
      <c r="N14" s="101">
        <f>IFERROR(__xludf.DUMMYFUNCTION("""COMPUTED_VALUE"""),10718.0)</f>
        <v>10718</v>
      </c>
      <c r="O14" s="101">
        <f>IFERROR(__xludf.DUMMYFUNCTION("""COMPUTED_VALUE"""),17728.0)</f>
        <v>17728</v>
      </c>
      <c r="P14" s="101">
        <f>IFERROR(__xludf.DUMMYFUNCTION("""COMPUTED_VALUE"""),10316.0)</f>
        <v>10316</v>
      </c>
      <c r="Q14" s="101">
        <f>IFERROR(__xludf.DUMMYFUNCTION("""COMPUTED_VALUE"""),10604.0)</f>
        <v>10604</v>
      </c>
      <c r="R14" s="101">
        <f>IFERROR(__xludf.DUMMYFUNCTION("""COMPUTED_VALUE"""),9903.0)</f>
        <v>9903</v>
      </c>
      <c r="S14" s="101">
        <f>IFERROR(__xludf.DUMMYFUNCTION("""COMPUTED_VALUE"""),10109.0)</f>
        <v>10109</v>
      </c>
      <c r="T14" s="101">
        <f>IFERROR(__xludf.DUMMYFUNCTION("""COMPUTED_VALUE"""),18405.0)</f>
        <v>18405</v>
      </c>
      <c r="U14" s="101">
        <f>IFERROR(__xludf.DUMMYFUNCTION("""COMPUTED_VALUE"""),14120.0)</f>
        <v>14120</v>
      </c>
      <c r="V14" s="101">
        <f>IFERROR(__xludf.DUMMYFUNCTION("""COMPUTED_VALUE"""),17421.0)</f>
        <v>17421</v>
      </c>
      <c r="W14" s="103"/>
      <c r="X14" s="103"/>
      <c r="Y14" s="103"/>
      <c r="Z14" s="103"/>
      <c r="AA14" s="103"/>
      <c r="AB14" s="103"/>
      <c r="AC14" s="103"/>
    </row>
    <row r="15" ht="15.75" customHeight="1">
      <c r="A15" s="100"/>
      <c r="B15" s="98"/>
      <c r="C15" s="101">
        <f>IFERROR(__xludf.DUMMYFUNCTION("""COMPUTED_VALUE"""),9950.0)</f>
        <v>9950</v>
      </c>
      <c r="D15" s="101"/>
      <c r="E15" s="101">
        <f>IFERROR(__xludf.DUMMYFUNCTION("""COMPUTED_VALUE"""),11192.0)</f>
        <v>11192</v>
      </c>
      <c r="F15" s="101">
        <f>IFERROR(__xludf.DUMMYFUNCTION("""COMPUTED_VALUE"""),15337.0)</f>
        <v>15337</v>
      </c>
      <c r="G15" s="101">
        <f>IFERROR(__xludf.DUMMYFUNCTION("""COMPUTED_VALUE"""),10100.0)</f>
        <v>10100</v>
      </c>
      <c r="H15" s="101">
        <f>IFERROR(__xludf.DUMMYFUNCTION("""COMPUTED_VALUE"""),14019.0)</f>
        <v>14019</v>
      </c>
      <c r="I15" s="101">
        <f>IFERROR(__xludf.DUMMYFUNCTION("""COMPUTED_VALUE"""),14411.0)</f>
        <v>14411</v>
      </c>
      <c r="J15" s="101">
        <f>IFERROR(__xludf.DUMMYFUNCTION("""COMPUTED_VALUE"""),18212.0)</f>
        <v>18212</v>
      </c>
      <c r="K15" s="101">
        <f>IFERROR(__xludf.DUMMYFUNCTION("""COMPUTED_VALUE"""),16822.0)</f>
        <v>16822</v>
      </c>
      <c r="L15" s="101">
        <f>IFERROR(__xludf.DUMMYFUNCTION("""COMPUTED_VALUE"""),17068.0)</f>
        <v>17068</v>
      </c>
      <c r="M15" s="101">
        <f>IFERROR(__xludf.DUMMYFUNCTION("""COMPUTED_VALUE"""),12134.0)</f>
        <v>12134</v>
      </c>
      <c r="N15" s="101">
        <f>IFERROR(__xludf.DUMMYFUNCTION("""COMPUTED_VALUE"""),13673.0)</f>
        <v>13673</v>
      </c>
      <c r="O15" s="101">
        <f>IFERROR(__xludf.DUMMYFUNCTION("""COMPUTED_VALUE"""),15584.0)</f>
        <v>15584</v>
      </c>
      <c r="P15" s="101">
        <f>IFERROR(__xludf.DUMMYFUNCTION("""COMPUTED_VALUE"""),14870.0)</f>
        <v>14870</v>
      </c>
      <c r="Q15" s="101">
        <f>IFERROR(__xludf.DUMMYFUNCTION("""COMPUTED_VALUE"""),17626.0)</f>
        <v>17626</v>
      </c>
      <c r="R15" s="101">
        <f>IFERROR(__xludf.DUMMYFUNCTION("""COMPUTED_VALUE"""),9676.0)</f>
        <v>9676</v>
      </c>
      <c r="S15" s="101">
        <f>IFERROR(__xludf.DUMMYFUNCTION("""COMPUTED_VALUE"""),9861.0)</f>
        <v>9861</v>
      </c>
      <c r="T15" s="101">
        <f>IFERROR(__xludf.DUMMYFUNCTION("""COMPUTED_VALUE"""),18370.0)</f>
        <v>18370</v>
      </c>
      <c r="U15" s="101">
        <f>IFERROR(__xludf.DUMMYFUNCTION("""COMPUTED_VALUE"""),18518.0)</f>
        <v>18518</v>
      </c>
      <c r="V15" s="101">
        <f>IFERROR(__xludf.DUMMYFUNCTION("""COMPUTED_VALUE"""),11903.0)</f>
        <v>11903</v>
      </c>
      <c r="W15" s="103"/>
      <c r="X15" s="103"/>
      <c r="Y15" s="103"/>
      <c r="Z15" s="103"/>
      <c r="AA15" s="103"/>
      <c r="AB15" s="103"/>
      <c r="AC15" s="103"/>
    </row>
    <row r="16" ht="15.75" customHeight="1">
      <c r="A16" s="100"/>
      <c r="B16" s="98"/>
      <c r="C16" s="101">
        <f>IFERROR(__xludf.DUMMYFUNCTION("""COMPUTED_VALUE"""),13853.0)</f>
        <v>13853</v>
      </c>
      <c r="D16" s="101"/>
      <c r="E16" s="101">
        <f>IFERROR(__xludf.DUMMYFUNCTION("""COMPUTED_VALUE"""),18136.0)</f>
        <v>18136</v>
      </c>
      <c r="F16" s="101">
        <f>IFERROR(__xludf.DUMMYFUNCTION("""COMPUTED_VALUE"""),12884.0)</f>
        <v>12884</v>
      </c>
      <c r="G16" s="101">
        <f>IFERROR(__xludf.DUMMYFUNCTION("""COMPUTED_VALUE"""),16442.0)</f>
        <v>16442</v>
      </c>
      <c r="H16" s="101">
        <f>IFERROR(__xludf.DUMMYFUNCTION("""COMPUTED_VALUE"""),17844.0)</f>
        <v>17844</v>
      </c>
      <c r="I16" s="101">
        <f>IFERROR(__xludf.DUMMYFUNCTION("""COMPUTED_VALUE"""),9197.0)</f>
        <v>9197</v>
      </c>
      <c r="J16" s="101">
        <f>IFERROR(__xludf.DUMMYFUNCTION("""COMPUTED_VALUE"""),18299.0)</f>
        <v>18299</v>
      </c>
      <c r="K16" s="101">
        <f>IFERROR(__xludf.DUMMYFUNCTION("""COMPUTED_VALUE"""),1.138917025E9)</f>
        <v>1138917025</v>
      </c>
      <c r="L16" s="101">
        <f>IFERROR(__xludf.DUMMYFUNCTION("""COMPUTED_VALUE"""),18237.0)</f>
        <v>18237</v>
      </c>
      <c r="M16" s="101">
        <f>IFERROR(__xludf.DUMMYFUNCTION("""COMPUTED_VALUE"""),14267.0)</f>
        <v>14267</v>
      </c>
      <c r="N16" s="101">
        <f>IFERROR(__xludf.DUMMYFUNCTION("""COMPUTED_VALUE"""),16245.0)</f>
        <v>16245</v>
      </c>
      <c r="O16" s="101">
        <f>IFERROR(__xludf.DUMMYFUNCTION("""COMPUTED_VALUE"""),18081.0)</f>
        <v>18081</v>
      </c>
      <c r="P16" s="101">
        <f>IFERROR(__xludf.DUMMYFUNCTION("""COMPUTED_VALUE"""),17391.0)</f>
        <v>17391</v>
      </c>
      <c r="Q16" s="101">
        <f>IFERROR(__xludf.DUMMYFUNCTION("""COMPUTED_VALUE"""),15910.0)</f>
        <v>15910</v>
      </c>
      <c r="R16" s="101">
        <f>IFERROR(__xludf.DUMMYFUNCTION("""COMPUTED_VALUE"""),17079.0)</f>
        <v>17079</v>
      </c>
      <c r="S16" s="101">
        <f>IFERROR(__xludf.DUMMYFUNCTION("""COMPUTED_VALUE"""),15375.0)</f>
        <v>15375</v>
      </c>
      <c r="T16" s="101">
        <f>IFERROR(__xludf.DUMMYFUNCTION("""COMPUTED_VALUE"""),11761.0)</f>
        <v>11761</v>
      </c>
      <c r="U16" s="101">
        <f>IFERROR(__xludf.DUMMYFUNCTION("""COMPUTED_VALUE"""),18486.0)</f>
        <v>18486</v>
      </c>
      <c r="V16" s="101">
        <f>IFERROR(__xludf.DUMMYFUNCTION("""COMPUTED_VALUE"""),16295.0)</f>
        <v>16295</v>
      </c>
      <c r="W16" s="103"/>
      <c r="X16" s="103"/>
      <c r="Y16" s="103"/>
      <c r="Z16" s="103"/>
      <c r="AA16" s="103"/>
      <c r="AB16" s="103"/>
      <c r="AC16" s="103"/>
    </row>
    <row r="17" ht="15.75" customHeight="1">
      <c r="A17" s="100"/>
      <c r="B17" s="98"/>
      <c r="C17" s="101">
        <f>IFERROR(__xludf.DUMMYFUNCTION("""COMPUTED_VALUE"""),16219.0)</f>
        <v>16219</v>
      </c>
      <c r="D17" s="101"/>
      <c r="E17" s="101">
        <f>IFERROR(__xludf.DUMMYFUNCTION("""COMPUTED_VALUE"""),18242.0)</f>
        <v>18242</v>
      </c>
      <c r="F17" s="101">
        <f>IFERROR(__xludf.DUMMYFUNCTION("""COMPUTED_VALUE"""),17606.0)</f>
        <v>17606</v>
      </c>
      <c r="G17" s="101">
        <f>IFERROR(__xludf.DUMMYFUNCTION("""COMPUTED_VALUE"""),14406.0)</f>
        <v>14406</v>
      </c>
      <c r="H17" s="101">
        <f>IFERROR(__xludf.DUMMYFUNCTION("""COMPUTED_VALUE"""),16763.0)</f>
        <v>16763</v>
      </c>
      <c r="I17" s="101">
        <f>IFERROR(__xludf.DUMMYFUNCTION("""COMPUTED_VALUE"""),11171.0)</f>
        <v>11171</v>
      </c>
      <c r="J17" s="101">
        <f>IFERROR(__xludf.DUMMYFUNCTION("""COMPUTED_VALUE"""),18122.0)</f>
        <v>18122</v>
      </c>
      <c r="K17" s="101">
        <f>IFERROR(__xludf.DUMMYFUNCTION("""COMPUTED_VALUE"""),9361.0)</f>
        <v>9361</v>
      </c>
      <c r="L17" s="101">
        <f>IFERROR(__xludf.DUMMYFUNCTION("""COMPUTED_VALUE"""),10708.0)</f>
        <v>10708</v>
      </c>
      <c r="M17" s="101">
        <f>IFERROR(__xludf.DUMMYFUNCTION("""COMPUTED_VALUE"""),14054.0)</f>
        <v>14054</v>
      </c>
      <c r="N17" s="101">
        <f>IFERROR(__xludf.DUMMYFUNCTION("""COMPUTED_VALUE"""),17597.0)</f>
        <v>17597</v>
      </c>
      <c r="O17" s="101">
        <f>IFERROR(__xludf.DUMMYFUNCTION("""COMPUTED_VALUE"""),14810.0)</f>
        <v>14810</v>
      </c>
      <c r="P17" s="101">
        <f>IFERROR(__xludf.DUMMYFUNCTION("""COMPUTED_VALUE"""),16427.0)</f>
        <v>16427</v>
      </c>
      <c r="Q17" s="101">
        <f>IFERROR(__xludf.DUMMYFUNCTION("""COMPUTED_VALUE"""),15923.0)</f>
        <v>15923</v>
      </c>
      <c r="R17" s="101">
        <f>IFERROR(__xludf.DUMMYFUNCTION("""COMPUTED_VALUE"""),18066.0)</f>
        <v>18066</v>
      </c>
      <c r="S17" s="101">
        <f>IFERROR(__xludf.DUMMYFUNCTION("""COMPUTED_VALUE"""),15957.0)</f>
        <v>15957</v>
      </c>
      <c r="T17" s="101">
        <f>IFERROR(__xludf.DUMMYFUNCTION("""COMPUTED_VALUE"""),18419.0)</f>
        <v>18419</v>
      </c>
      <c r="U17" s="101">
        <f>IFERROR(__xludf.DUMMYFUNCTION("""COMPUTED_VALUE"""),15412.0)</f>
        <v>15412</v>
      </c>
      <c r="V17" s="101"/>
      <c r="W17" s="103"/>
      <c r="X17" s="103"/>
      <c r="Y17" s="103"/>
      <c r="Z17" s="103"/>
      <c r="AA17" s="103"/>
      <c r="AB17" s="103"/>
      <c r="AC17" s="103"/>
    </row>
    <row r="18" ht="15.75" customHeight="1">
      <c r="A18" s="100"/>
      <c r="B18" s="98"/>
      <c r="C18" s="101">
        <f>IFERROR(__xludf.DUMMYFUNCTION("""COMPUTED_VALUE"""),12697.0)</f>
        <v>12697</v>
      </c>
      <c r="D18" s="101"/>
      <c r="E18" s="101">
        <f>IFERROR(__xludf.DUMMYFUNCTION("""COMPUTED_VALUE"""),9426.0)</f>
        <v>9426</v>
      </c>
      <c r="F18" s="101">
        <f>IFERROR(__xludf.DUMMYFUNCTION("""COMPUTED_VALUE"""),14275.0)</f>
        <v>14275</v>
      </c>
      <c r="G18" s="101">
        <f>IFERROR(__xludf.DUMMYFUNCTION("""COMPUTED_VALUE"""),16928.0)</f>
        <v>16928</v>
      </c>
      <c r="H18" s="101">
        <f>IFERROR(__xludf.DUMMYFUNCTION("""COMPUTED_VALUE"""),16995.0)</f>
        <v>16995</v>
      </c>
      <c r="I18" s="101">
        <f>IFERROR(__xludf.DUMMYFUNCTION("""COMPUTED_VALUE"""),13078.0)</f>
        <v>13078</v>
      </c>
      <c r="J18" s="101">
        <f>IFERROR(__xludf.DUMMYFUNCTION("""COMPUTED_VALUE"""),9420.0)</f>
        <v>9420</v>
      </c>
      <c r="K18" s="101">
        <f>IFERROR(__xludf.DUMMYFUNCTION("""COMPUTED_VALUE"""),15914.0)</f>
        <v>15914</v>
      </c>
      <c r="L18" s="101">
        <f>IFERROR(__xludf.DUMMYFUNCTION("""COMPUTED_VALUE"""),15789.0)</f>
        <v>15789</v>
      </c>
      <c r="M18" s="101">
        <f>IFERROR(__xludf.DUMMYFUNCTION("""COMPUTED_VALUE"""),10818.0)</f>
        <v>10818</v>
      </c>
      <c r="N18" s="101">
        <f>IFERROR(__xludf.DUMMYFUNCTION("""COMPUTED_VALUE"""),15571.0)</f>
        <v>15571</v>
      </c>
      <c r="O18" s="101">
        <f>IFERROR(__xludf.DUMMYFUNCTION("""COMPUTED_VALUE"""),18464.0)</f>
        <v>18464</v>
      </c>
      <c r="P18" s="101">
        <f>IFERROR(__xludf.DUMMYFUNCTION("""COMPUTED_VALUE"""),15378.0)</f>
        <v>15378</v>
      </c>
      <c r="Q18" s="101">
        <f>IFERROR(__xludf.DUMMYFUNCTION("""COMPUTED_VALUE"""),16345.0)</f>
        <v>16345</v>
      </c>
      <c r="R18" s="101">
        <f>IFERROR(__xludf.DUMMYFUNCTION("""COMPUTED_VALUE"""),16421.0)</f>
        <v>16421</v>
      </c>
      <c r="S18" s="101">
        <f>IFERROR(__xludf.DUMMYFUNCTION("""COMPUTED_VALUE"""),12614.0)</f>
        <v>12614</v>
      </c>
      <c r="T18" s="101">
        <f>IFERROR(__xludf.DUMMYFUNCTION("""COMPUTED_VALUE"""),18412.0)</f>
        <v>18412</v>
      </c>
      <c r="U18" s="101"/>
      <c r="V18" s="101"/>
      <c r="W18" s="103"/>
      <c r="X18" s="103"/>
      <c r="Y18" s="103"/>
      <c r="Z18" s="103"/>
      <c r="AA18" s="103"/>
      <c r="AB18" s="103"/>
      <c r="AC18" s="103"/>
    </row>
    <row r="19" ht="15.75" customHeight="1">
      <c r="A19" s="100"/>
      <c r="B19" s="98"/>
      <c r="C19" s="101">
        <f>IFERROR(__xludf.DUMMYFUNCTION("""COMPUTED_VALUE"""),13205.0)</f>
        <v>13205</v>
      </c>
      <c r="D19" s="101"/>
      <c r="E19" s="101">
        <f>IFERROR(__xludf.DUMMYFUNCTION("""COMPUTED_VALUE"""),18145.0)</f>
        <v>18145</v>
      </c>
      <c r="F19" s="101">
        <f>IFERROR(__xludf.DUMMYFUNCTION("""COMPUTED_VALUE"""),16483.0)</f>
        <v>16483</v>
      </c>
      <c r="G19" s="101">
        <f>IFERROR(__xludf.DUMMYFUNCTION("""COMPUTED_VALUE"""),15683.0)</f>
        <v>15683</v>
      </c>
      <c r="H19" s="101">
        <f>IFERROR(__xludf.DUMMYFUNCTION("""COMPUTED_VALUE"""),17812.0)</f>
        <v>17812</v>
      </c>
      <c r="I19" s="101">
        <f>IFERROR(__xludf.DUMMYFUNCTION("""COMPUTED_VALUE"""),16542.0)</f>
        <v>16542</v>
      </c>
      <c r="J19" s="101">
        <f>IFERROR(__xludf.DUMMYFUNCTION("""COMPUTED_VALUE"""),17947.0)</f>
        <v>17947</v>
      </c>
      <c r="K19" s="101">
        <f>IFERROR(__xludf.DUMMYFUNCTION("""COMPUTED_VALUE"""),13830.0)</f>
        <v>13830</v>
      </c>
      <c r="L19" s="101">
        <f>IFERROR(__xludf.DUMMYFUNCTION("""COMPUTED_VALUE"""),13428.0)</f>
        <v>13428</v>
      </c>
      <c r="M19" s="101">
        <f>IFERROR(__xludf.DUMMYFUNCTION("""COMPUTED_VALUE"""),13355.0)</f>
        <v>13355</v>
      </c>
      <c r="N19" s="101">
        <f>IFERROR(__xludf.DUMMYFUNCTION("""COMPUTED_VALUE"""),14373.0)</f>
        <v>14373</v>
      </c>
      <c r="O19" s="101">
        <f>IFERROR(__xludf.DUMMYFUNCTION("""COMPUTED_VALUE"""),15145.0)</f>
        <v>15145</v>
      </c>
      <c r="P19" s="101">
        <f>IFERROR(__xludf.DUMMYFUNCTION("""COMPUTED_VALUE"""),18386.0)</f>
        <v>18386</v>
      </c>
      <c r="Q19" s="101">
        <f>IFERROR(__xludf.DUMMYFUNCTION("""COMPUTED_VALUE"""),13023.0)</f>
        <v>13023</v>
      </c>
      <c r="R19" s="101">
        <f>IFERROR(__xludf.DUMMYFUNCTION("""COMPUTED_VALUE"""),12040.0)</f>
        <v>12040</v>
      </c>
      <c r="S19" s="101">
        <f>IFERROR(__xludf.DUMMYFUNCTION("""COMPUTED_VALUE"""),14612.0)</f>
        <v>14612</v>
      </c>
      <c r="T19" s="101">
        <f>IFERROR(__xludf.DUMMYFUNCTION("""COMPUTED_VALUE"""),10445.0)</f>
        <v>10445</v>
      </c>
      <c r="U19" s="101"/>
      <c r="V19" s="101"/>
      <c r="W19" s="103"/>
      <c r="X19" s="103"/>
      <c r="Y19" s="103"/>
      <c r="Z19" s="103"/>
      <c r="AA19" s="103"/>
      <c r="AB19" s="103"/>
      <c r="AC19" s="103"/>
    </row>
    <row r="20" ht="15.75" customHeight="1">
      <c r="A20" s="100"/>
      <c r="B20" s="98"/>
      <c r="C20" s="101">
        <f>IFERROR(__xludf.DUMMYFUNCTION("""COMPUTED_VALUE"""),18150.0)</f>
        <v>18150</v>
      </c>
      <c r="D20" s="101"/>
      <c r="E20" s="101">
        <f>IFERROR(__xludf.DUMMYFUNCTION("""COMPUTED_VALUE"""),9479.0)</f>
        <v>9479</v>
      </c>
      <c r="F20" s="101">
        <f>IFERROR(__xludf.DUMMYFUNCTION("""COMPUTED_VALUE"""),13405.0)</f>
        <v>13405</v>
      </c>
      <c r="G20" s="101">
        <f>IFERROR(__xludf.DUMMYFUNCTION("""COMPUTED_VALUE"""),9170.0)</f>
        <v>9170</v>
      </c>
      <c r="H20" s="101">
        <f>IFERROR(__xludf.DUMMYFUNCTION("""COMPUTED_VALUE"""),11084.0)</f>
        <v>11084</v>
      </c>
      <c r="I20" s="101">
        <f>IFERROR(__xludf.DUMMYFUNCTION("""COMPUTED_VALUE"""),11856.0)</f>
        <v>11856</v>
      </c>
      <c r="J20" s="101">
        <f>IFERROR(__xludf.DUMMYFUNCTION("""COMPUTED_VALUE"""),16873.0)</f>
        <v>16873</v>
      </c>
      <c r="K20" s="101">
        <f>IFERROR(__xludf.DUMMYFUNCTION("""COMPUTED_VALUE"""),17259.0)</f>
        <v>17259</v>
      </c>
      <c r="L20" s="101">
        <f>IFERROR(__xludf.DUMMYFUNCTION("""COMPUTED_VALUE"""),17042.0)</f>
        <v>17042</v>
      </c>
      <c r="M20" s="101">
        <f>IFERROR(__xludf.DUMMYFUNCTION("""COMPUTED_VALUE"""),14384.0)</f>
        <v>14384</v>
      </c>
      <c r="N20" s="101">
        <f>IFERROR(__xludf.DUMMYFUNCTION("""COMPUTED_VALUE"""),15654.0)</f>
        <v>15654</v>
      </c>
      <c r="O20" s="101">
        <f>IFERROR(__xludf.DUMMYFUNCTION("""COMPUTED_VALUE"""),10323.0)</f>
        <v>10323</v>
      </c>
      <c r="P20" s="101">
        <f>IFERROR(__xludf.DUMMYFUNCTION("""COMPUTED_VALUE"""),18225.0)</f>
        <v>18225</v>
      </c>
      <c r="Q20" s="101">
        <f>IFERROR(__xludf.DUMMYFUNCTION("""COMPUTED_VALUE"""),18364.0)</f>
        <v>18364</v>
      </c>
      <c r="R20" s="101">
        <f>IFERROR(__xludf.DUMMYFUNCTION("""COMPUTED_VALUE"""),17777.0)</f>
        <v>17777</v>
      </c>
      <c r="S20" s="101">
        <f>IFERROR(__xludf.DUMMYFUNCTION("""COMPUTED_VALUE"""),17591.0)</f>
        <v>17591</v>
      </c>
      <c r="T20" s="101">
        <f>IFERROR(__xludf.DUMMYFUNCTION("""COMPUTED_VALUE"""),18375.0)</f>
        <v>18375</v>
      </c>
      <c r="U20" s="101"/>
      <c r="V20" s="101"/>
      <c r="W20" s="103"/>
      <c r="X20" s="103"/>
      <c r="Y20" s="103"/>
      <c r="Z20" s="103"/>
      <c r="AA20" s="103"/>
      <c r="AB20" s="103"/>
      <c r="AC20" s="103"/>
    </row>
    <row r="21" ht="15.75" customHeight="1">
      <c r="A21" s="100"/>
      <c r="B21" s="98"/>
      <c r="C21" s="101">
        <f>IFERROR(__xludf.DUMMYFUNCTION("""COMPUTED_VALUE"""),14729.0)</f>
        <v>14729</v>
      </c>
      <c r="D21" s="101"/>
      <c r="E21" s="101">
        <f>IFERROR(__xludf.DUMMYFUNCTION("""COMPUTED_VALUE"""),9377.0)</f>
        <v>9377</v>
      </c>
      <c r="F21" s="101">
        <f>IFERROR(__xludf.DUMMYFUNCTION("""COMPUTED_VALUE"""),15689.0)</f>
        <v>15689</v>
      </c>
      <c r="G21" s="101">
        <f>IFERROR(__xludf.DUMMYFUNCTION("""COMPUTED_VALUE"""),17635.0)</f>
        <v>17635</v>
      </c>
      <c r="H21" s="101">
        <f>IFERROR(__xludf.DUMMYFUNCTION("""COMPUTED_VALUE"""),12938.0)</f>
        <v>12938</v>
      </c>
      <c r="I21" s="101">
        <f>IFERROR(__xludf.DUMMYFUNCTION("""COMPUTED_VALUE"""),9538.0)</f>
        <v>9538</v>
      </c>
      <c r="J21" s="101">
        <f>IFERROR(__xludf.DUMMYFUNCTION("""COMPUTED_VALUE"""),16000.0)</f>
        <v>16000</v>
      </c>
      <c r="K21" s="101">
        <f>IFERROR(__xludf.DUMMYFUNCTION("""COMPUTED_VALUE"""),17388.0)</f>
        <v>17388</v>
      </c>
      <c r="L21" s="101">
        <f>IFERROR(__xludf.DUMMYFUNCTION("""COMPUTED_VALUE"""),14178.0)</f>
        <v>14178</v>
      </c>
      <c r="M21" s="101">
        <f>IFERROR(__xludf.DUMMYFUNCTION("""COMPUTED_VALUE"""),15298.0)</f>
        <v>15298</v>
      </c>
      <c r="N21" s="101">
        <f>IFERROR(__xludf.DUMMYFUNCTION("""COMPUTED_VALUE"""),12795.0)</f>
        <v>12795</v>
      </c>
      <c r="O21" s="101">
        <f>IFERROR(__xludf.DUMMYFUNCTION("""COMPUTED_VALUE"""),10466.0)</f>
        <v>10466</v>
      </c>
      <c r="P21" s="101">
        <f>IFERROR(__xludf.DUMMYFUNCTION("""COMPUTED_VALUE"""),13383.0)</f>
        <v>13383</v>
      </c>
      <c r="Q21" s="101">
        <f>IFERROR(__xludf.DUMMYFUNCTION("""COMPUTED_VALUE"""),17956.0)</f>
        <v>17956</v>
      </c>
      <c r="R21" s="101">
        <f>IFERROR(__xludf.DUMMYFUNCTION("""COMPUTED_VALUE"""),17869.0)</f>
        <v>17869</v>
      </c>
      <c r="S21" s="101">
        <f>IFERROR(__xludf.DUMMYFUNCTION("""COMPUTED_VALUE"""),16548.0)</f>
        <v>16548</v>
      </c>
      <c r="T21" s="101">
        <f>IFERROR(__xludf.DUMMYFUNCTION("""COMPUTED_VALUE"""),18509.0)</f>
        <v>18509</v>
      </c>
      <c r="U21" s="101"/>
      <c r="V21" s="101"/>
      <c r="W21" s="103"/>
      <c r="X21" s="103"/>
      <c r="Y21" s="103"/>
      <c r="Z21" s="103"/>
      <c r="AA21" s="103"/>
      <c r="AB21" s="103"/>
      <c r="AC21" s="103"/>
    </row>
    <row r="22" ht="15.75" customHeight="1">
      <c r="A22" s="100"/>
      <c r="B22" s="98"/>
      <c r="C22" s="101">
        <f>IFERROR(__xludf.DUMMYFUNCTION("""COMPUTED_VALUE"""),10444.0)</f>
        <v>10444</v>
      </c>
      <c r="D22" s="101"/>
      <c r="E22" s="101">
        <f>IFERROR(__xludf.DUMMYFUNCTION("""COMPUTED_VALUE"""),15791.0)</f>
        <v>15791</v>
      </c>
      <c r="F22" s="101">
        <f>IFERROR(__xludf.DUMMYFUNCTION("""COMPUTED_VALUE"""),11065.0)</f>
        <v>11065</v>
      </c>
      <c r="G22" s="101">
        <f>IFERROR(__xludf.DUMMYFUNCTION("""COMPUTED_VALUE"""),15544.0)</f>
        <v>15544</v>
      </c>
      <c r="H22" s="101">
        <f>IFERROR(__xludf.DUMMYFUNCTION("""COMPUTED_VALUE"""),14571.0)</f>
        <v>14571</v>
      </c>
      <c r="I22" s="101">
        <f>IFERROR(__xludf.DUMMYFUNCTION("""COMPUTED_VALUE"""),16044.0)</f>
        <v>16044</v>
      </c>
      <c r="J22" s="101">
        <f>IFERROR(__xludf.DUMMYFUNCTION("""COMPUTED_VALUE"""),16325.0)</f>
        <v>16325</v>
      </c>
      <c r="K22" s="101">
        <f>IFERROR(__xludf.DUMMYFUNCTION("""COMPUTED_VALUE"""),17127.0)</f>
        <v>17127</v>
      </c>
      <c r="L22" s="101">
        <f>IFERROR(__xludf.DUMMYFUNCTION("""COMPUTED_VALUE"""),11416.0)</f>
        <v>11416</v>
      </c>
      <c r="M22" s="101">
        <f>IFERROR(__xludf.DUMMYFUNCTION("""COMPUTED_VALUE"""),12876.0)</f>
        <v>12876</v>
      </c>
      <c r="N22" s="101">
        <f>IFERROR(__xludf.DUMMYFUNCTION("""COMPUTED_VALUE"""),17434.0)</f>
        <v>17434</v>
      </c>
      <c r="O22" s="101">
        <f>IFERROR(__xludf.DUMMYFUNCTION("""COMPUTED_VALUE"""),13839.0)</f>
        <v>13839</v>
      </c>
      <c r="P22" s="101">
        <f>IFERROR(__xludf.DUMMYFUNCTION("""COMPUTED_VALUE"""),16262.0)</f>
        <v>16262</v>
      </c>
      <c r="Q22" s="101">
        <f>IFERROR(__xludf.DUMMYFUNCTION("""COMPUTED_VALUE"""),15485.0)</f>
        <v>15485</v>
      </c>
      <c r="R22" s="101">
        <f>IFERROR(__xludf.DUMMYFUNCTION("""COMPUTED_VALUE"""),15712.0)</f>
        <v>15712</v>
      </c>
      <c r="S22" s="101">
        <f>IFERROR(__xludf.DUMMYFUNCTION("""COMPUTED_VALUE"""),18476.0)</f>
        <v>18476</v>
      </c>
      <c r="T22" s="101">
        <f>IFERROR(__xludf.DUMMYFUNCTION("""COMPUTED_VALUE"""),18453.0)</f>
        <v>18453</v>
      </c>
      <c r="U22" s="101"/>
      <c r="V22" s="101"/>
      <c r="W22" s="103"/>
      <c r="X22" s="103"/>
      <c r="Y22" s="103"/>
      <c r="Z22" s="103"/>
      <c r="AA22" s="103"/>
      <c r="AB22" s="103"/>
      <c r="AC22" s="103"/>
    </row>
    <row r="23" ht="15.75" customHeight="1">
      <c r="A23" s="100"/>
      <c r="B23" s="98"/>
      <c r="C23" s="101">
        <f>IFERROR(__xludf.DUMMYFUNCTION("""COMPUTED_VALUE"""),16373.0)</f>
        <v>16373</v>
      </c>
      <c r="D23" s="101"/>
      <c r="E23" s="101">
        <f>IFERROR(__xludf.DUMMYFUNCTION("""COMPUTED_VALUE"""),11865.0)</f>
        <v>11865</v>
      </c>
      <c r="F23" s="101">
        <f>IFERROR(__xludf.DUMMYFUNCTION("""COMPUTED_VALUE"""),13167.0)</f>
        <v>13167</v>
      </c>
      <c r="G23" s="101">
        <f>IFERROR(__xludf.DUMMYFUNCTION("""COMPUTED_VALUE"""),12572.0)</f>
        <v>12572</v>
      </c>
      <c r="H23" s="101">
        <f>IFERROR(__xludf.DUMMYFUNCTION("""COMPUTED_VALUE"""),10277.0)</f>
        <v>10277</v>
      </c>
      <c r="I23" s="101"/>
      <c r="J23" s="101">
        <f>IFERROR(__xludf.DUMMYFUNCTION("""COMPUTED_VALUE"""),16156.0)</f>
        <v>16156</v>
      </c>
      <c r="K23" s="101">
        <f>IFERROR(__xludf.DUMMYFUNCTION("""COMPUTED_VALUE"""),14602.0)</f>
        <v>14602</v>
      </c>
      <c r="L23" s="101">
        <f>IFERROR(__xludf.DUMMYFUNCTION("""COMPUTED_VALUE"""),12888.0)</f>
        <v>12888</v>
      </c>
      <c r="M23" s="101">
        <f>IFERROR(__xludf.DUMMYFUNCTION("""COMPUTED_VALUE"""),9244.0)</f>
        <v>9244</v>
      </c>
      <c r="N23" s="101">
        <f>IFERROR(__xludf.DUMMYFUNCTION("""COMPUTED_VALUE"""),18256.0)</f>
        <v>18256</v>
      </c>
      <c r="O23" s="101">
        <f>IFERROR(__xludf.DUMMYFUNCTION("""COMPUTED_VALUE"""),15984.0)</f>
        <v>15984</v>
      </c>
      <c r="P23" s="101">
        <f>IFERROR(__xludf.DUMMYFUNCTION("""COMPUTED_VALUE"""),18399.0)</f>
        <v>18399</v>
      </c>
      <c r="Q23" s="101">
        <f>IFERROR(__xludf.DUMMYFUNCTION("""COMPUTED_VALUE"""),14955.0)</f>
        <v>14955</v>
      </c>
      <c r="R23" s="101">
        <f>IFERROR(__xludf.DUMMYFUNCTION("""COMPUTED_VALUE"""),15175.0)</f>
        <v>15175</v>
      </c>
      <c r="S23" s="101">
        <f>IFERROR(__xludf.DUMMYFUNCTION("""COMPUTED_VALUE"""),17876.0)</f>
        <v>17876</v>
      </c>
      <c r="T23" s="101">
        <f>IFERROR(__xludf.DUMMYFUNCTION("""COMPUTED_VALUE"""),18245.0)</f>
        <v>18245</v>
      </c>
      <c r="U23" s="101"/>
      <c r="V23" s="101"/>
      <c r="W23" s="103"/>
      <c r="X23" s="103"/>
      <c r="Y23" s="103"/>
      <c r="Z23" s="103"/>
      <c r="AA23" s="103"/>
      <c r="AB23" s="103"/>
      <c r="AC23" s="103"/>
    </row>
    <row r="24" ht="15.75" customHeight="1">
      <c r="A24" s="100"/>
      <c r="B24" s="98"/>
      <c r="C24" s="101">
        <f>IFERROR(__xludf.DUMMYFUNCTION("""COMPUTED_VALUE"""),13734.0)</f>
        <v>13734</v>
      </c>
      <c r="D24" s="101"/>
      <c r="E24" s="101">
        <f>IFERROR(__xludf.DUMMYFUNCTION("""COMPUTED_VALUE"""),17461.0)</f>
        <v>17461</v>
      </c>
      <c r="F24" s="101">
        <f>IFERROR(__xludf.DUMMYFUNCTION("""COMPUTED_VALUE"""),14682.0)</f>
        <v>14682</v>
      </c>
      <c r="G24" s="101">
        <f>IFERROR(__xludf.DUMMYFUNCTION("""COMPUTED_VALUE"""),17726.0)</f>
        <v>17726</v>
      </c>
      <c r="H24" s="101">
        <f>IFERROR(__xludf.DUMMYFUNCTION("""COMPUTED_VALUE"""),11218.0)</f>
        <v>11218</v>
      </c>
      <c r="I24" s="101"/>
      <c r="J24" s="101">
        <f>IFERROR(__xludf.DUMMYFUNCTION("""COMPUTED_VALUE"""),10697.0)</f>
        <v>10697</v>
      </c>
      <c r="K24" s="101">
        <f>IFERROR(__xludf.DUMMYFUNCTION("""COMPUTED_VALUE"""),15763.0)</f>
        <v>15763</v>
      </c>
      <c r="L24" s="101">
        <f>IFERROR(__xludf.DUMMYFUNCTION("""COMPUTED_VALUE"""),17704.0)</f>
        <v>17704</v>
      </c>
      <c r="M24" s="101">
        <f>IFERROR(__xludf.DUMMYFUNCTION("""COMPUTED_VALUE"""),9534.0)</f>
        <v>9534</v>
      </c>
      <c r="N24" s="101">
        <f>IFERROR(__xludf.DUMMYFUNCTION("""COMPUTED_VALUE"""),18312.0)</f>
        <v>18312</v>
      </c>
      <c r="O24" s="101">
        <f>IFERROR(__xludf.DUMMYFUNCTION("""COMPUTED_VALUE"""),15328.0)</f>
        <v>15328</v>
      </c>
      <c r="P24" s="101">
        <f>IFERROR(__xludf.DUMMYFUNCTION("""COMPUTED_VALUE"""),14691.0)</f>
        <v>14691</v>
      </c>
      <c r="Q24" s="101">
        <f>IFERROR(__xludf.DUMMYFUNCTION("""COMPUTED_VALUE"""),18435.0)</f>
        <v>18435</v>
      </c>
      <c r="R24" s="101">
        <f>IFERROR(__xludf.DUMMYFUNCTION("""COMPUTED_VALUE"""),14186.0)</f>
        <v>14186</v>
      </c>
      <c r="S24" s="101">
        <f>IFERROR(__xludf.DUMMYFUNCTION("""COMPUTED_VALUE"""),18366.0)</f>
        <v>18366</v>
      </c>
      <c r="T24" s="101">
        <f>IFERROR(__xludf.DUMMYFUNCTION("""COMPUTED_VALUE"""),13522.0)</f>
        <v>13522</v>
      </c>
      <c r="U24" s="101"/>
      <c r="V24" s="101"/>
      <c r="W24" s="103"/>
      <c r="X24" s="103"/>
      <c r="Y24" s="103"/>
      <c r="Z24" s="103"/>
      <c r="AA24" s="103"/>
      <c r="AB24" s="103"/>
      <c r="AC24" s="103"/>
    </row>
    <row r="25" ht="15.75" customHeight="1">
      <c r="A25" s="100"/>
      <c r="B25" s="98"/>
      <c r="C25" s="101">
        <f>IFERROR(__xludf.DUMMYFUNCTION("""COMPUTED_VALUE"""),11773.0)</f>
        <v>11773</v>
      </c>
      <c r="D25" s="101"/>
      <c r="E25" s="101">
        <f>IFERROR(__xludf.DUMMYFUNCTION("""COMPUTED_VALUE"""),15176.0)</f>
        <v>15176</v>
      </c>
      <c r="F25" s="101">
        <f>IFERROR(__xludf.DUMMYFUNCTION("""COMPUTED_VALUE"""),9220.0)</f>
        <v>9220</v>
      </c>
      <c r="G25" s="101">
        <f>IFERROR(__xludf.DUMMYFUNCTION("""COMPUTED_VALUE"""),15803.0)</f>
        <v>15803</v>
      </c>
      <c r="H25" s="101">
        <f>IFERROR(__xludf.DUMMYFUNCTION("""COMPUTED_VALUE"""),9170.0)</f>
        <v>9170</v>
      </c>
      <c r="I25" s="101"/>
      <c r="J25" s="101">
        <f>IFERROR(__xludf.DUMMYFUNCTION("""COMPUTED_VALUE"""),13293.0)</f>
        <v>13293</v>
      </c>
      <c r="K25" s="101">
        <f>IFERROR(__xludf.DUMMYFUNCTION("""COMPUTED_VALUE"""),9488.0)</f>
        <v>9488</v>
      </c>
      <c r="L25" s="101">
        <f>IFERROR(__xludf.DUMMYFUNCTION("""COMPUTED_VALUE"""),15790.0)</f>
        <v>15790</v>
      </c>
      <c r="M25" s="101">
        <f>IFERROR(__xludf.DUMMYFUNCTION("""COMPUTED_VALUE"""),12225.0)</f>
        <v>12225</v>
      </c>
      <c r="N25" s="101">
        <f>IFERROR(__xludf.DUMMYFUNCTION("""COMPUTED_VALUE"""),9204.0)</f>
        <v>9204</v>
      </c>
      <c r="O25" s="101">
        <f>IFERROR(__xludf.DUMMYFUNCTION("""COMPUTED_VALUE"""),17321.0)</f>
        <v>17321</v>
      </c>
      <c r="P25" s="101">
        <f>IFERROR(__xludf.DUMMYFUNCTION("""COMPUTED_VALUE"""),18288.0)</f>
        <v>18288</v>
      </c>
      <c r="Q25" s="101">
        <f>IFERROR(__xludf.DUMMYFUNCTION("""COMPUTED_VALUE"""),9235.0)</f>
        <v>9235</v>
      </c>
      <c r="R25" s="101"/>
      <c r="S25" s="101">
        <f>IFERROR(__xludf.DUMMYFUNCTION("""COMPUTED_VALUE"""),18195.0)</f>
        <v>18195</v>
      </c>
      <c r="T25" s="101">
        <f>IFERROR(__xludf.DUMMYFUNCTION("""COMPUTED_VALUE"""),18491.0)</f>
        <v>18491</v>
      </c>
      <c r="U25" s="101"/>
      <c r="V25" s="101"/>
      <c r="W25" s="103"/>
      <c r="X25" s="103"/>
      <c r="Y25" s="103"/>
      <c r="Z25" s="103"/>
      <c r="AA25" s="103"/>
      <c r="AB25" s="103"/>
      <c r="AC25" s="103"/>
    </row>
    <row r="26" ht="15.75" customHeight="1">
      <c r="A26" s="100"/>
      <c r="B26" s="98"/>
      <c r="C26" s="101">
        <f>IFERROR(__xludf.DUMMYFUNCTION("""COMPUTED_VALUE"""),17166.0)</f>
        <v>17166</v>
      </c>
      <c r="D26" s="101"/>
      <c r="E26" s="101">
        <f>IFERROR(__xludf.DUMMYFUNCTION("""COMPUTED_VALUE"""),15642.0)</f>
        <v>15642</v>
      </c>
      <c r="F26" s="101">
        <f>IFERROR(__xludf.DUMMYFUNCTION("""COMPUTED_VALUE"""),9726.0)</f>
        <v>9726</v>
      </c>
      <c r="G26" s="101">
        <f>IFERROR(__xludf.DUMMYFUNCTION("""COMPUTED_VALUE"""),9245.0)</f>
        <v>9245</v>
      </c>
      <c r="H26" s="101">
        <f>IFERROR(__xludf.DUMMYFUNCTION("""COMPUTED_VALUE"""),13299.0)</f>
        <v>13299</v>
      </c>
      <c r="I26" s="101"/>
      <c r="J26" s="101">
        <f>IFERROR(__xludf.DUMMYFUNCTION("""COMPUTED_VALUE"""),11562.0)</f>
        <v>11562</v>
      </c>
      <c r="K26" s="101"/>
      <c r="L26" s="101">
        <f>IFERROR(__xludf.DUMMYFUNCTION("""COMPUTED_VALUE"""),14502.0)</f>
        <v>14502</v>
      </c>
      <c r="M26" s="101">
        <f>IFERROR(__xludf.DUMMYFUNCTION("""COMPUTED_VALUE"""),10047.0)</f>
        <v>10047</v>
      </c>
      <c r="N26" s="101">
        <f>IFERROR(__xludf.DUMMYFUNCTION("""COMPUTED_VALUE"""),13861.0)</f>
        <v>13861</v>
      </c>
      <c r="O26" s="101">
        <f>IFERROR(__xludf.DUMMYFUNCTION("""COMPUTED_VALUE"""),17092.0)</f>
        <v>17092</v>
      </c>
      <c r="P26" s="101">
        <f>IFERROR(__xludf.DUMMYFUNCTION("""COMPUTED_VALUE"""),15255.0)</f>
        <v>15255</v>
      </c>
      <c r="Q26" s="101">
        <f>IFERROR(__xludf.DUMMYFUNCTION("""COMPUTED_VALUE"""),16481.0)</f>
        <v>16481</v>
      </c>
      <c r="R26" s="101"/>
      <c r="S26" s="101">
        <f>IFERROR(__xludf.DUMMYFUNCTION("""COMPUTED_VALUE"""),18355.0)</f>
        <v>18355</v>
      </c>
      <c r="T26" s="101">
        <f>IFERROR(__xludf.DUMMYFUNCTION("""COMPUTED_VALUE"""),13779.0)</f>
        <v>13779</v>
      </c>
      <c r="U26" s="101"/>
      <c r="V26" s="101"/>
      <c r="W26" s="103"/>
      <c r="X26" s="103"/>
      <c r="Y26" s="103"/>
      <c r="Z26" s="103"/>
      <c r="AA26" s="103"/>
      <c r="AB26" s="103"/>
      <c r="AC26" s="103"/>
    </row>
    <row r="27" ht="15.75" customHeight="1">
      <c r="A27" s="100"/>
      <c r="B27" s="98"/>
      <c r="C27" s="101">
        <f>IFERROR(__xludf.DUMMYFUNCTION("""COMPUTED_VALUE"""),18218.0)</f>
        <v>18218</v>
      </c>
      <c r="D27" s="101"/>
      <c r="E27" s="101">
        <f>IFERROR(__xludf.DUMMYFUNCTION("""COMPUTED_VALUE"""),16166.0)</f>
        <v>16166</v>
      </c>
      <c r="F27" s="101">
        <f>IFERROR(__xludf.DUMMYFUNCTION("""COMPUTED_VALUE"""),10016.0)</f>
        <v>10016</v>
      </c>
      <c r="G27" s="101">
        <f>IFERROR(__xludf.DUMMYFUNCTION("""COMPUTED_VALUE"""),16993.0)</f>
        <v>16993</v>
      </c>
      <c r="H27" s="101">
        <f>IFERROR(__xludf.DUMMYFUNCTION("""COMPUTED_VALUE"""),17343.0)</f>
        <v>17343</v>
      </c>
      <c r="I27" s="101"/>
      <c r="J27" s="101">
        <f>IFERROR(__xludf.DUMMYFUNCTION("""COMPUTED_VALUE"""),9779.0)</f>
        <v>9779</v>
      </c>
      <c r="K27" s="101"/>
      <c r="L27" s="101">
        <f>IFERROR(__xludf.DUMMYFUNCTION("""COMPUTED_VALUE"""),18244.0)</f>
        <v>18244</v>
      </c>
      <c r="M27" s="101">
        <f>IFERROR(__xludf.DUMMYFUNCTION("""COMPUTED_VALUE"""),9897.0)</f>
        <v>9897</v>
      </c>
      <c r="N27" s="101">
        <f>IFERROR(__xludf.DUMMYFUNCTION("""COMPUTED_VALUE"""),18337.0)</f>
        <v>18337</v>
      </c>
      <c r="O27" s="101">
        <f>IFERROR(__xludf.DUMMYFUNCTION("""COMPUTED_VALUE"""),17854.0)</f>
        <v>17854</v>
      </c>
      <c r="P27" s="101">
        <f>IFERROR(__xludf.DUMMYFUNCTION("""COMPUTED_VALUE"""),18474.0)</f>
        <v>18474</v>
      </c>
      <c r="Q27" s="101">
        <f>IFERROR(__xludf.DUMMYFUNCTION("""COMPUTED_VALUE"""),10442.0)</f>
        <v>10442</v>
      </c>
      <c r="R27" s="101"/>
      <c r="S27" s="101">
        <f>IFERROR(__xludf.DUMMYFUNCTION("""COMPUTED_VALUE"""),18333.0)</f>
        <v>18333</v>
      </c>
      <c r="T27" s="101">
        <f>IFERROR(__xludf.DUMMYFUNCTION("""COMPUTED_VALUE"""),18438.0)</f>
        <v>18438</v>
      </c>
      <c r="U27" s="101"/>
      <c r="V27" s="101"/>
      <c r="W27" s="103"/>
      <c r="X27" s="103"/>
      <c r="Y27" s="103"/>
      <c r="Z27" s="103"/>
      <c r="AA27" s="103"/>
      <c r="AB27" s="103"/>
      <c r="AC27" s="103"/>
    </row>
    <row r="28" ht="15.75" customHeight="1">
      <c r="A28" s="100"/>
      <c r="B28" s="98"/>
      <c r="C28" s="101">
        <f>IFERROR(__xludf.DUMMYFUNCTION("""COMPUTED_VALUE"""),11162.0)</f>
        <v>11162</v>
      </c>
      <c r="D28" s="101"/>
      <c r="E28" s="101">
        <f>IFERROR(__xludf.DUMMYFUNCTION("""COMPUTED_VALUE"""),16425.0)</f>
        <v>16425</v>
      </c>
      <c r="F28" s="101"/>
      <c r="G28" s="101">
        <f>IFERROR(__xludf.DUMMYFUNCTION("""COMPUTED_VALUE"""),11174.0)</f>
        <v>11174</v>
      </c>
      <c r="H28" s="101">
        <f>IFERROR(__xludf.DUMMYFUNCTION("""COMPUTED_VALUE"""),9141.0)</f>
        <v>9141</v>
      </c>
      <c r="I28" s="101"/>
      <c r="J28" s="101">
        <f>IFERROR(__xludf.DUMMYFUNCTION("""COMPUTED_VALUE"""),9259.0)</f>
        <v>9259</v>
      </c>
      <c r="K28" s="101"/>
      <c r="L28" s="101">
        <f>IFERROR(__xludf.DUMMYFUNCTION("""COMPUTED_VALUE"""),13225.0)</f>
        <v>13225</v>
      </c>
      <c r="M28" s="101">
        <f>IFERROR(__xludf.DUMMYFUNCTION("""COMPUTED_VALUE"""),16476.0)</f>
        <v>16476</v>
      </c>
      <c r="N28" s="101">
        <f>IFERROR(__xludf.DUMMYFUNCTION("""COMPUTED_VALUE"""),10817.0)</f>
        <v>10817</v>
      </c>
      <c r="O28" s="101">
        <f>IFERROR(__xludf.DUMMYFUNCTION("""COMPUTED_VALUE"""),10593.0)</f>
        <v>10593</v>
      </c>
      <c r="P28" s="101">
        <f>IFERROR(__xludf.DUMMYFUNCTION("""COMPUTED_VALUE"""),12902.0)</f>
        <v>12902</v>
      </c>
      <c r="Q28" s="101">
        <f>IFERROR(__xludf.DUMMYFUNCTION("""COMPUTED_VALUE"""),10754.0)</f>
        <v>10754</v>
      </c>
      <c r="R28" s="101"/>
      <c r="S28" s="101">
        <f>IFERROR(__xludf.DUMMYFUNCTION("""COMPUTED_VALUE"""),15575.0)</f>
        <v>15575</v>
      </c>
      <c r="T28" s="101"/>
      <c r="U28" s="101"/>
      <c r="V28" s="101"/>
      <c r="W28" s="103"/>
      <c r="X28" s="103"/>
      <c r="Y28" s="103"/>
      <c r="Z28" s="103"/>
      <c r="AA28" s="103"/>
      <c r="AB28" s="103"/>
      <c r="AC28" s="103"/>
    </row>
    <row r="29" ht="15.75" customHeight="1">
      <c r="A29" s="100"/>
      <c r="B29" s="98"/>
      <c r="C29" s="101">
        <f>IFERROR(__xludf.DUMMYFUNCTION("""COMPUTED_VALUE"""),15702.0)</f>
        <v>15702</v>
      </c>
      <c r="D29" s="101"/>
      <c r="E29" s="101">
        <f>IFERROR(__xludf.DUMMYFUNCTION("""COMPUTED_VALUE"""),15602.0)</f>
        <v>15602</v>
      </c>
      <c r="F29" s="101"/>
      <c r="G29" s="101">
        <f>IFERROR(__xludf.DUMMYFUNCTION("""COMPUTED_VALUE"""),16299.0)</f>
        <v>16299</v>
      </c>
      <c r="H29" s="101">
        <f>IFERROR(__xludf.DUMMYFUNCTION("""COMPUTED_VALUE"""),17706.0)</f>
        <v>17706</v>
      </c>
      <c r="I29" s="101"/>
      <c r="J29" s="101">
        <f>IFERROR(__xludf.DUMMYFUNCTION("""COMPUTED_VALUE"""),15716.0)</f>
        <v>15716</v>
      </c>
      <c r="K29" s="101"/>
      <c r="L29" s="101">
        <f>IFERROR(__xludf.DUMMYFUNCTION("""COMPUTED_VALUE"""),17318.0)</f>
        <v>17318</v>
      </c>
      <c r="M29" s="101">
        <f>IFERROR(__xludf.DUMMYFUNCTION("""COMPUTED_VALUE"""),15099.0)</f>
        <v>15099</v>
      </c>
      <c r="N29" s="101">
        <f>IFERROR(__xludf.DUMMYFUNCTION("""COMPUTED_VALUE"""),9217.0)</f>
        <v>9217</v>
      </c>
      <c r="O29" s="101">
        <f>IFERROR(__xludf.DUMMYFUNCTION("""COMPUTED_VALUE"""),16974.0)</f>
        <v>16974</v>
      </c>
      <c r="P29" s="101">
        <f>IFERROR(__xludf.DUMMYFUNCTION("""COMPUTED_VALUE"""),18489.0)</f>
        <v>18489</v>
      </c>
      <c r="Q29" s="101">
        <f>IFERROR(__xludf.DUMMYFUNCTION("""COMPUTED_VALUE"""),13488.0)</f>
        <v>13488</v>
      </c>
      <c r="R29" s="101"/>
      <c r="S29" s="101">
        <f>IFERROR(__xludf.DUMMYFUNCTION("""COMPUTED_VALUE"""),18473.0)</f>
        <v>18473</v>
      </c>
      <c r="T29" s="101"/>
      <c r="U29" s="101"/>
      <c r="V29" s="101"/>
      <c r="W29" s="103"/>
      <c r="X29" s="103"/>
      <c r="Y29" s="103"/>
      <c r="Z29" s="103"/>
      <c r="AA29" s="103"/>
      <c r="AB29" s="103"/>
      <c r="AC29" s="103"/>
    </row>
    <row r="30" ht="15.75" customHeight="1">
      <c r="A30" s="100"/>
      <c r="B30" s="98"/>
      <c r="C30" s="101">
        <f>IFERROR(__xludf.DUMMYFUNCTION("""COMPUTED_VALUE"""),9820.0)</f>
        <v>9820</v>
      </c>
      <c r="D30" s="101"/>
      <c r="E30" s="101">
        <f>IFERROR(__xludf.DUMMYFUNCTION("""COMPUTED_VALUE"""),14126.0)</f>
        <v>14126</v>
      </c>
      <c r="F30" s="101"/>
      <c r="G30" s="101">
        <f>IFERROR(__xludf.DUMMYFUNCTION("""COMPUTED_VALUE"""),11792.0)</f>
        <v>11792</v>
      </c>
      <c r="H30" s="101">
        <f>IFERROR(__xludf.DUMMYFUNCTION("""COMPUTED_VALUE"""),13892.0)</f>
        <v>13892</v>
      </c>
      <c r="I30" s="101"/>
      <c r="J30" s="101">
        <f>IFERROR(__xludf.DUMMYFUNCTION("""COMPUTED_VALUE"""),11357.0)</f>
        <v>11357</v>
      </c>
      <c r="K30" s="101"/>
      <c r="L30" s="101">
        <f>IFERROR(__xludf.DUMMYFUNCTION("""COMPUTED_VALUE"""),17022.0)</f>
        <v>17022</v>
      </c>
      <c r="M30" s="101">
        <f>IFERROR(__xludf.DUMMYFUNCTION("""COMPUTED_VALUE"""),9153.0)</f>
        <v>9153</v>
      </c>
      <c r="N30" s="101">
        <f>IFERROR(__xludf.DUMMYFUNCTION("""COMPUTED_VALUE"""),18463.0)</f>
        <v>18463</v>
      </c>
      <c r="O30" s="101">
        <f>IFERROR(__xludf.DUMMYFUNCTION("""COMPUTED_VALUE"""),12071.0)</f>
        <v>12071</v>
      </c>
      <c r="P30" s="101">
        <f>IFERROR(__xludf.DUMMYFUNCTION("""COMPUTED_VALUE"""),17064.0)</f>
        <v>17064</v>
      </c>
      <c r="Q30" s="101">
        <f>IFERROR(__xludf.DUMMYFUNCTION("""COMPUTED_VALUE"""),15430.0)</f>
        <v>15430</v>
      </c>
      <c r="R30" s="101"/>
      <c r="S30" s="101">
        <f>IFERROR(__xludf.DUMMYFUNCTION("""COMPUTED_VALUE"""),18420.0)</f>
        <v>18420</v>
      </c>
      <c r="T30" s="101"/>
      <c r="U30" s="101"/>
      <c r="V30" s="101"/>
      <c r="W30" s="103"/>
      <c r="X30" s="103"/>
      <c r="Y30" s="103"/>
      <c r="Z30" s="103"/>
      <c r="AA30" s="103"/>
      <c r="AB30" s="103"/>
      <c r="AC30" s="103"/>
    </row>
    <row r="31" ht="15.75" customHeight="1">
      <c r="A31" s="100"/>
      <c r="B31" s="98"/>
      <c r="C31" s="101">
        <f>IFERROR(__xludf.DUMMYFUNCTION("""COMPUTED_VALUE"""),16039.0)</f>
        <v>16039</v>
      </c>
      <c r="D31" s="101"/>
      <c r="E31" s="101">
        <f>IFERROR(__xludf.DUMMYFUNCTION("""COMPUTED_VALUE"""),13970.0)</f>
        <v>13970</v>
      </c>
      <c r="F31" s="101"/>
      <c r="G31" s="101"/>
      <c r="H31" s="101">
        <f>IFERROR(__xludf.DUMMYFUNCTION("""COMPUTED_VALUE"""),15216.0)</f>
        <v>15216</v>
      </c>
      <c r="I31" s="101"/>
      <c r="J31" s="101">
        <f>IFERROR(__xludf.DUMMYFUNCTION("""COMPUTED_VALUE"""),15697.0)</f>
        <v>15697</v>
      </c>
      <c r="K31" s="101"/>
      <c r="L31" s="101">
        <f>IFERROR(__xludf.DUMMYFUNCTION("""COMPUTED_VALUE"""),15272.0)</f>
        <v>15272</v>
      </c>
      <c r="M31" s="101">
        <f>IFERROR(__xludf.DUMMYFUNCTION("""COMPUTED_VALUE"""),12088.0)</f>
        <v>12088</v>
      </c>
      <c r="N31" s="101">
        <f>IFERROR(__xludf.DUMMYFUNCTION("""COMPUTED_VALUE"""),18282.0)</f>
        <v>18282</v>
      </c>
      <c r="O31" s="101">
        <f>IFERROR(__xludf.DUMMYFUNCTION("""COMPUTED_VALUE"""),17405.0)</f>
        <v>17405</v>
      </c>
      <c r="P31" s="101">
        <f>IFERROR(__xludf.DUMMYFUNCTION("""COMPUTED_VALUE"""),18465.0)</f>
        <v>18465</v>
      </c>
      <c r="Q31" s="101">
        <f>IFERROR(__xludf.DUMMYFUNCTION("""COMPUTED_VALUE"""),18485.0)</f>
        <v>18485</v>
      </c>
      <c r="R31" s="101"/>
      <c r="S31" s="101">
        <f>IFERROR(__xludf.DUMMYFUNCTION("""COMPUTED_VALUE"""),18461.0)</f>
        <v>18461</v>
      </c>
      <c r="T31" s="101"/>
      <c r="U31" s="101"/>
      <c r="V31" s="101"/>
      <c r="W31" s="103"/>
      <c r="X31" s="103"/>
      <c r="Y31" s="103"/>
      <c r="Z31" s="103"/>
      <c r="AA31" s="103"/>
      <c r="AB31" s="103"/>
      <c r="AC31" s="103"/>
    </row>
    <row r="32" ht="15.75" customHeight="1">
      <c r="A32" s="100"/>
      <c r="B32" s="98"/>
      <c r="C32" s="101">
        <f>IFERROR(__xludf.DUMMYFUNCTION("""COMPUTED_VALUE"""),18164.0)</f>
        <v>18164</v>
      </c>
      <c r="D32" s="101"/>
      <c r="E32" s="101">
        <f>IFERROR(__xludf.DUMMYFUNCTION("""COMPUTED_VALUE"""),10607.0)</f>
        <v>10607</v>
      </c>
      <c r="F32" s="101"/>
      <c r="G32" s="101"/>
      <c r="H32" s="101">
        <f>IFERROR(__xludf.DUMMYFUNCTION("""COMPUTED_VALUE"""),10525.0)</f>
        <v>10525</v>
      </c>
      <c r="I32" s="101"/>
      <c r="J32" s="101">
        <f>IFERROR(__xludf.DUMMYFUNCTION("""COMPUTED_VALUE"""),17476.0)</f>
        <v>17476</v>
      </c>
      <c r="K32" s="101"/>
      <c r="L32" s="101">
        <f>IFERROR(__xludf.DUMMYFUNCTION("""COMPUTED_VALUE"""),10801.0)</f>
        <v>10801</v>
      </c>
      <c r="M32" s="101">
        <f>IFERROR(__xludf.DUMMYFUNCTION("""COMPUTED_VALUE"""),15831.0)</f>
        <v>15831</v>
      </c>
      <c r="N32" s="101">
        <f>IFERROR(__xludf.DUMMYFUNCTION("""COMPUTED_VALUE"""),18317.0)</f>
        <v>18317</v>
      </c>
      <c r="O32" s="101">
        <f>IFERROR(__xludf.DUMMYFUNCTION("""COMPUTED_VALUE"""),15604.0)</f>
        <v>15604</v>
      </c>
      <c r="P32" s="101"/>
      <c r="Q32" s="101">
        <f>IFERROR(__xludf.DUMMYFUNCTION("""COMPUTED_VALUE"""),17345.0)</f>
        <v>17345</v>
      </c>
      <c r="R32" s="101"/>
      <c r="S32" s="101">
        <f>IFERROR(__xludf.DUMMYFUNCTION("""COMPUTED_VALUE"""),17529.0)</f>
        <v>17529</v>
      </c>
      <c r="T32" s="101"/>
      <c r="U32" s="101"/>
      <c r="V32" s="101"/>
      <c r="W32" s="103"/>
      <c r="X32" s="103"/>
      <c r="Y32" s="103"/>
      <c r="Z32" s="103"/>
      <c r="AA32" s="103"/>
      <c r="AB32" s="103"/>
      <c r="AC32" s="103"/>
    </row>
    <row r="33" ht="15.75" customHeight="1">
      <c r="A33" s="100"/>
      <c r="B33" s="98"/>
      <c r="C33" s="101">
        <f>IFERROR(__xludf.DUMMYFUNCTION("""COMPUTED_VALUE"""),11365.0)</f>
        <v>11365</v>
      </c>
      <c r="D33" s="101"/>
      <c r="E33" s="101">
        <f>IFERROR(__xludf.DUMMYFUNCTION("""COMPUTED_VALUE"""),18250.0)</f>
        <v>18250</v>
      </c>
      <c r="F33" s="101"/>
      <c r="G33" s="101"/>
      <c r="H33" s="101"/>
      <c r="I33" s="101"/>
      <c r="J33" s="101">
        <f>IFERROR(__xludf.DUMMYFUNCTION("""COMPUTED_VALUE"""),16488.0)</f>
        <v>16488</v>
      </c>
      <c r="K33" s="101"/>
      <c r="L33" s="101">
        <f>IFERROR(__xludf.DUMMYFUNCTION("""COMPUTED_VALUE"""),11870.0)</f>
        <v>11870</v>
      </c>
      <c r="M33" s="101">
        <f>IFERROR(__xludf.DUMMYFUNCTION("""COMPUTED_VALUE"""),16449.0)</f>
        <v>16449</v>
      </c>
      <c r="N33" s="101">
        <f>IFERROR(__xludf.DUMMYFUNCTION("""COMPUTED_VALUE"""),18281.0)</f>
        <v>18281</v>
      </c>
      <c r="O33" s="101">
        <f>IFERROR(__xludf.DUMMYFUNCTION("""COMPUTED_VALUE"""),16294.0)</f>
        <v>16294</v>
      </c>
      <c r="P33" s="101"/>
      <c r="Q33" s="101">
        <f>IFERROR(__xludf.DUMMYFUNCTION("""COMPUTED_VALUE"""),17553.0)</f>
        <v>17553</v>
      </c>
      <c r="R33" s="101"/>
      <c r="S33" s="101">
        <f>IFERROR(__xludf.DUMMYFUNCTION("""COMPUTED_VALUE"""),10583.0)</f>
        <v>10583</v>
      </c>
      <c r="T33" s="101"/>
      <c r="U33" s="101"/>
      <c r="V33" s="101"/>
      <c r="W33" s="103"/>
      <c r="X33" s="103"/>
      <c r="Y33" s="103"/>
      <c r="Z33" s="103"/>
      <c r="AA33" s="103"/>
      <c r="AB33" s="103"/>
      <c r="AC33" s="103"/>
    </row>
    <row r="34" ht="15.75" customHeight="1">
      <c r="A34" s="100"/>
      <c r="B34" s="98"/>
      <c r="C34" s="101"/>
      <c r="D34" s="101"/>
      <c r="E34" s="101">
        <f>IFERROR(__xludf.DUMMYFUNCTION("""COMPUTED_VALUE"""),16443.0)</f>
        <v>16443</v>
      </c>
      <c r="F34" s="101"/>
      <c r="G34" s="101"/>
      <c r="H34" s="101"/>
      <c r="I34" s="101"/>
      <c r="J34" s="101">
        <f>IFERROR(__xludf.DUMMYFUNCTION("""COMPUTED_VALUE"""),12083.0)</f>
        <v>12083</v>
      </c>
      <c r="K34" s="101"/>
      <c r="L34" s="101">
        <f>IFERROR(__xludf.DUMMYFUNCTION("""COMPUTED_VALUE"""),10945.0)</f>
        <v>10945</v>
      </c>
      <c r="M34" s="101">
        <f>IFERROR(__xludf.DUMMYFUNCTION("""COMPUTED_VALUE"""),10623.0)</f>
        <v>10623</v>
      </c>
      <c r="N34" s="101">
        <f>IFERROR(__xludf.DUMMYFUNCTION("""COMPUTED_VALUE"""),14257.0)</f>
        <v>14257</v>
      </c>
      <c r="O34" s="101">
        <f>IFERROR(__xludf.DUMMYFUNCTION("""COMPUTED_VALUE"""),11223.0)</f>
        <v>11223</v>
      </c>
      <c r="P34" s="101"/>
      <c r="Q34" s="101">
        <f>IFERROR(__xludf.DUMMYFUNCTION("""COMPUTED_VALUE"""),14578.0)</f>
        <v>14578</v>
      </c>
      <c r="R34" s="101"/>
      <c r="S34" s="101">
        <f>IFERROR(__xludf.DUMMYFUNCTION("""COMPUTED_VALUE"""),10472.0)</f>
        <v>10472</v>
      </c>
      <c r="T34" s="101"/>
      <c r="U34" s="101"/>
      <c r="V34" s="101"/>
      <c r="W34" s="103"/>
      <c r="X34" s="103"/>
      <c r="Y34" s="103"/>
      <c r="Z34" s="103"/>
      <c r="AA34" s="103"/>
      <c r="AB34" s="103"/>
      <c r="AC34" s="103"/>
    </row>
    <row r="35" ht="15.75" customHeight="1">
      <c r="A35" s="100"/>
      <c r="B35" s="98"/>
      <c r="C35" s="101"/>
      <c r="D35" s="101"/>
      <c r="E35" s="101">
        <f>IFERROR(__xludf.DUMMYFUNCTION("""COMPUTED_VALUE"""),16117.0)</f>
        <v>16117</v>
      </c>
      <c r="F35" s="101"/>
      <c r="G35" s="101"/>
      <c r="H35" s="101"/>
      <c r="I35" s="101"/>
      <c r="J35" s="101">
        <f>IFERROR(__xludf.DUMMYFUNCTION("""COMPUTED_VALUE"""),11026.0)</f>
        <v>11026</v>
      </c>
      <c r="K35" s="101"/>
      <c r="L35" s="101">
        <f>IFERROR(__xludf.DUMMYFUNCTION("""COMPUTED_VALUE"""),11012.0)</f>
        <v>11012</v>
      </c>
      <c r="M35" s="101">
        <f>IFERROR(__xludf.DUMMYFUNCTION("""COMPUTED_VALUE"""),15647.0)</f>
        <v>15647</v>
      </c>
      <c r="N35" s="101">
        <f>IFERROR(__xludf.DUMMYFUNCTION("""COMPUTED_VALUE"""),12577.0)</f>
        <v>12577</v>
      </c>
      <c r="O35" s="101">
        <f>IFERROR(__xludf.DUMMYFUNCTION("""COMPUTED_VALUE"""),16685.0)</f>
        <v>16685</v>
      </c>
      <c r="P35" s="101"/>
      <c r="Q35" s="101"/>
      <c r="R35" s="101"/>
      <c r="S35" s="101">
        <f>IFERROR(__xludf.DUMMYFUNCTION("""COMPUTED_VALUE"""),18452.0)</f>
        <v>18452</v>
      </c>
      <c r="T35" s="101"/>
      <c r="U35" s="101"/>
      <c r="V35" s="101"/>
      <c r="W35" s="103"/>
      <c r="X35" s="103"/>
      <c r="Y35" s="103"/>
      <c r="Z35" s="103"/>
      <c r="AA35" s="103"/>
      <c r="AB35" s="103"/>
      <c r="AC35" s="103"/>
    </row>
    <row r="36" ht="15.75" customHeight="1">
      <c r="A36" s="100"/>
      <c r="B36" s="98"/>
      <c r="C36" s="101"/>
      <c r="D36" s="101"/>
      <c r="E36" s="101">
        <f>IFERROR(__xludf.DUMMYFUNCTION("""COMPUTED_VALUE"""),10185.0)</f>
        <v>10185</v>
      </c>
      <c r="F36" s="101"/>
      <c r="G36" s="101"/>
      <c r="H36" s="101"/>
      <c r="I36" s="101"/>
      <c r="J36" s="101">
        <f>IFERROR(__xludf.DUMMYFUNCTION("""COMPUTED_VALUE"""),16807.0)</f>
        <v>16807</v>
      </c>
      <c r="K36" s="101"/>
      <c r="L36" s="101"/>
      <c r="M36" s="101"/>
      <c r="N36" s="101">
        <f>IFERROR(__xludf.DUMMYFUNCTION("""COMPUTED_VALUE"""),13440.0)</f>
        <v>13440</v>
      </c>
      <c r="O36" s="101">
        <f>IFERROR(__xludf.DUMMYFUNCTION("""COMPUTED_VALUE"""),11207.0)</f>
        <v>11207</v>
      </c>
      <c r="P36" s="101"/>
      <c r="Q36" s="101"/>
      <c r="R36" s="101"/>
      <c r="S36" s="101">
        <f>IFERROR(__xludf.DUMMYFUNCTION("""COMPUTED_VALUE"""),18454.0)</f>
        <v>18454</v>
      </c>
      <c r="T36" s="101"/>
      <c r="U36" s="101"/>
      <c r="V36" s="101"/>
      <c r="W36" s="103"/>
      <c r="X36" s="103"/>
      <c r="Y36" s="103"/>
      <c r="Z36" s="103"/>
      <c r="AA36" s="103"/>
      <c r="AB36" s="103"/>
      <c r="AC36" s="103"/>
    </row>
    <row r="37" ht="15.75" customHeight="1">
      <c r="A37" s="100"/>
      <c r="B37" s="98"/>
      <c r="C37" s="101"/>
      <c r="D37" s="101"/>
      <c r="E37" s="101">
        <f>IFERROR(__xludf.DUMMYFUNCTION("""COMPUTED_VALUE"""),18243.0)</f>
        <v>18243</v>
      </c>
      <c r="F37" s="101"/>
      <c r="G37" s="101"/>
      <c r="H37" s="101"/>
      <c r="I37" s="101"/>
      <c r="J37" s="101"/>
      <c r="K37" s="101"/>
      <c r="L37" s="101"/>
      <c r="M37" s="101"/>
      <c r="N37" s="101">
        <f>IFERROR(__xludf.DUMMYFUNCTION("""COMPUTED_VALUE"""),18383.0)</f>
        <v>18383</v>
      </c>
      <c r="O37" s="101">
        <f>IFERROR(__xludf.DUMMYFUNCTION("""COMPUTED_VALUE"""),14959.0)</f>
        <v>14959</v>
      </c>
      <c r="P37" s="101"/>
      <c r="Q37" s="101"/>
      <c r="R37" s="101"/>
      <c r="S37" s="101">
        <f>IFERROR(__xludf.DUMMYFUNCTION("""COMPUTED_VALUE"""),18425.0)</f>
        <v>18425</v>
      </c>
      <c r="T37" s="101"/>
      <c r="U37" s="101"/>
      <c r="V37" s="101"/>
      <c r="W37" s="103"/>
      <c r="X37" s="103"/>
      <c r="Y37" s="103"/>
      <c r="Z37" s="103"/>
      <c r="AA37" s="103"/>
      <c r="AB37" s="103"/>
      <c r="AC37" s="103"/>
    </row>
    <row r="38" ht="15.75" customHeight="1">
      <c r="A38" s="100"/>
      <c r="B38" s="98"/>
      <c r="C38" s="101"/>
      <c r="D38" s="101"/>
      <c r="E38" s="101">
        <f>IFERROR(__xludf.DUMMYFUNCTION("""COMPUTED_VALUE"""),18316.0)</f>
        <v>18316</v>
      </c>
      <c r="F38" s="101"/>
      <c r="G38" s="101"/>
      <c r="H38" s="101"/>
      <c r="I38" s="101"/>
      <c r="J38" s="101"/>
      <c r="K38" s="101"/>
      <c r="L38" s="101"/>
      <c r="M38" s="101"/>
      <c r="N38" s="101">
        <f>IFERROR(__xludf.DUMMYFUNCTION("""COMPUTED_VALUE"""),18359.0)</f>
        <v>18359</v>
      </c>
      <c r="O38" s="101"/>
      <c r="P38" s="101"/>
      <c r="Q38" s="101"/>
      <c r="R38" s="101"/>
      <c r="S38" s="101"/>
      <c r="T38" s="101"/>
      <c r="U38" s="101"/>
      <c r="V38" s="101"/>
      <c r="W38" s="103"/>
      <c r="X38" s="103"/>
      <c r="Y38" s="103"/>
      <c r="Z38" s="103"/>
      <c r="AA38" s="103"/>
      <c r="AB38" s="103"/>
      <c r="AC38" s="103"/>
    </row>
    <row r="39" ht="15.75" customHeight="1">
      <c r="A39" s="100"/>
      <c r="B39" s="98"/>
      <c r="C39" s="101"/>
      <c r="D39" s="101"/>
      <c r="E39" s="101">
        <f>IFERROR(__xludf.DUMMYFUNCTION("""COMPUTED_VALUE"""),18236.0)</f>
        <v>18236</v>
      </c>
      <c r="F39" s="101"/>
      <c r="G39" s="101"/>
      <c r="H39" s="101"/>
      <c r="I39" s="101"/>
      <c r="J39" s="101"/>
      <c r="K39" s="101"/>
      <c r="L39" s="101"/>
      <c r="M39" s="101"/>
      <c r="N39" s="101">
        <f>IFERROR(__xludf.DUMMYFUNCTION("""COMPUTED_VALUE"""),10330.0)</f>
        <v>10330</v>
      </c>
      <c r="O39" s="101"/>
      <c r="P39" s="101"/>
      <c r="Q39" s="101"/>
      <c r="R39" s="101"/>
      <c r="S39" s="101"/>
      <c r="T39" s="101"/>
      <c r="U39" s="101"/>
      <c r="V39" s="101"/>
      <c r="W39" s="103"/>
      <c r="X39" s="103"/>
      <c r="Y39" s="103"/>
      <c r="Z39" s="103"/>
      <c r="AA39" s="103"/>
      <c r="AB39" s="103"/>
      <c r="AC39" s="103"/>
    </row>
    <row r="40" ht="15.75" customHeight="1">
      <c r="A40" s="100"/>
      <c r="B40" s="98"/>
      <c r="C40" s="101"/>
      <c r="D40" s="101"/>
      <c r="E40" s="101">
        <f>IFERROR(__xludf.DUMMYFUNCTION("""COMPUTED_VALUE"""),14103.0)</f>
        <v>14103</v>
      </c>
      <c r="F40" s="101"/>
      <c r="G40" s="101"/>
      <c r="H40" s="101"/>
      <c r="I40" s="101"/>
      <c r="J40" s="101"/>
      <c r="K40" s="101"/>
      <c r="L40" s="101"/>
      <c r="M40" s="101"/>
      <c r="N40" s="101">
        <f>IFERROR(__xludf.DUMMYFUNCTION("""COMPUTED_VALUE"""),14489.0)</f>
        <v>14489</v>
      </c>
      <c r="O40" s="101"/>
      <c r="P40" s="101"/>
      <c r="Q40" s="101"/>
      <c r="R40" s="101"/>
      <c r="S40" s="101"/>
      <c r="T40" s="101"/>
      <c r="U40" s="101"/>
      <c r="V40" s="101"/>
      <c r="W40" s="103"/>
      <c r="X40" s="103"/>
      <c r="Y40" s="103"/>
      <c r="Z40" s="103"/>
      <c r="AA40" s="103"/>
      <c r="AB40" s="103"/>
      <c r="AC40" s="103"/>
    </row>
    <row r="41" ht="15.75" customHeight="1">
      <c r="A41" s="100"/>
      <c r="B41" s="98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>
        <f>IFERROR(__xludf.DUMMYFUNCTION("""COMPUTED_VALUE"""),18393.0)</f>
        <v>18393</v>
      </c>
      <c r="O41" s="101"/>
      <c r="P41" s="101"/>
      <c r="Q41" s="101"/>
      <c r="R41" s="101"/>
      <c r="S41" s="101"/>
      <c r="T41" s="101"/>
      <c r="U41" s="101"/>
      <c r="V41" s="101"/>
      <c r="W41" s="103"/>
      <c r="X41" s="103"/>
      <c r="Y41" s="103"/>
      <c r="Z41" s="103"/>
      <c r="AA41" s="103"/>
      <c r="AB41" s="103"/>
      <c r="AC41" s="103"/>
    </row>
    <row r="42" ht="15.75" customHeight="1">
      <c r="A42" s="100"/>
      <c r="B42" s="98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>
        <f>IFERROR(__xludf.DUMMYFUNCTION("""COMPUTED_VALUE"""),18318.0)</f>
        <v>18318</v>
      </c>
      <c r="O42" s="101"/>
      <c r="P42" s="101"/>
      <c r="Q42" s="101"/>
      <c r="R42" s="101"/>
      <c r="S42" s="101"/>
      <c r="T42" s="101"/>
      <c r="U42" s="101"/>
      <c r="V42" s="101"/>
      <c r="W42" s="103"/>
      <c r="X42" s="103"/>
      <c r="Y42" s="103"/>
      <c r="Z42" s="103"/>
      <c r="AA42" s="103"/>
      <c r="AB42" s="103"/>
      <c r="AC42" s="103"/>
    </row>
    <row r="43" ht="15.75" customHeight="1">
      <c r="A43" s="100"/>
      <c r="B43" s="98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>
        <f>IFERROR(__xludf.DUMMYFUNCTION("""COMPUTED_VALUE"""),18287.0)</f>
        <v>18287</v>
      </c>
      <c r="O43" s="101"/>
      <c r="P43" s="101"/>
      <c r="Q43" s="101"/>
      <c r="R43" s="101"/>
      <c r="S43" s="101"/>
      <c r="T43" s="101"/>
      <c r="U43" s="101"/>
      <c r="V43" s="101"/>
      <c r="W43" s="103"/>
      <c r="X43" s="103"/>
      <c r="Y43" s="103"/>
      <c r="Z43" s="103"/>
      <c r="AA43" s="103"/>
      <c r="AB43" s="103"/>
      <c r="AC43" s="103"/>
    </row>
    <row r="44" ht="15.75" customHeight="1">
      <c r="A44" s="100"/>
      <c r="B44" s="98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>
        <f>IFERROR(__xludf.DUMMYFUNCTION("""COMPUTED_VALUE"""),18262.0)</f>
        <v>18262</v>
      </c>
      <c r="O44" s="101"/>
      <c r="P44" s="101"/>
      <c r="Q44" s="101"/>
      <c r="R44" s="101"/>
      <c r="S44" s="101"/>
      <c r="T44" s="101"/>
      <c r="U44" s="101"/>
      <c r="V44" s="101"/>
      <c r="W44" s="103"/>
      <c r="X44" s="103"/>
      <c r="Y44" s="103"/>
      <c r="Z44" s="103"/>
      <c r="AA44" s="103"/>
      <c r="AB44" s="103"/>
      <c r="AC44" s="103"/>
    </row>
    <row r="45" ht="15.75" customHeight="1">
      <c r="A45" s="100"/>
      <c r="B45" s="98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>
        <f>IFERROR(__xludf.DUMMYFUNCTION("""COMPUTED_VALUE"""),18376.0)</f>
        <v>18376</v>
      </c>
      <c r="O45" s="101"/>
      <c r="P45" s="101"/>
      <c r="Q45" s="101"/>
      <c r="R45" s="101"/>
      <c r="S45" s="101"/>
      <c r="T45" s="101"/>
      <c r="U45" s="101"/>
      <c r="V45" s="101"/>
      <c r="W45" s="103"/>
      <c r="X45" s="103"/>
      <c r="Y45" s="103"/>
      <c r="Z45" s="103"/>
      <c r="AA45" s="103"/>
      <c r="AB45" s="103"/>
      <c r="AC45" s="103"/>
    </row>
    <row r="46" ht="15.75" customHeight="1">
      <c r="A46" s="100"/>
      <c r="B46" s="98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>
        <f>IFERROR(__xludf.DUMMYFUNCTION("""COMPUTED_VALUE"""),18421.0)</f>
        <v>18421</v>
      </c>
      <c r="O46" s="101"/>
      <c r="P46" s="101"/>
      <c r="Q46" s="101"/>
      <c r="R46" s="101"/>
      <c r="S46" s="101"/>
      <c r="T46" s="101"/>
      <c r="U46" s="101"/>
      <c r="V46" s="101"/>
      <c r="W46" s="103"/>
      <c r="X46" s="103"/>
      <c r="Y46" s="103"/>
      <c r="Z46" s="103"/>
      <c r="AA46" s="103"/>
      <c r="AB46" s="103"/>
      <c r="AC46" s="103"/>
    </row>
    <row r="47" ht="15.75" customHeight="1">
      <c r="A47" s="100"/>
      <c r="B47" s="98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>
        <f>IFERROR(__xludf.DUMMYFUNCTION("""COMPUTED_VALUE"""),18448.0)</f>
        <v>18448</v>
      </c>
      <c r="O47" s="101"/>
      <c r="P47" s="101"/>
      <c r="Q47" s="101"/>
      <c r="R47" s="101"/>
      <c r="S47" s="101"/>
      <c r="T47" s="101"/>
      <c r="U47" s="101"/>
      <c r="V47" s="101"/>
      <c r="W47" s="103"/>
      <c r="X47" s="103"/>
      <c r="Y47" s="103"/>
      <c r="Z47" s="103"/>
      <c r="AA47" s="103"/>
      <c r="AB47" s="103"/>
      <c r="AC47" s="103"/>
    </row>
    <row r="48" ht="15.75" customHeight="1">
      <c r="A48" s="100"/>
      <c r="B48" s="98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>
        <f>IFERROR(__xludf.DUMMYFUNCTION("""COMPUTED_VALUE"""),10291.0)</f>
        <v>10291</v>
      </c>
      <c r="O48" s="101"/>
      <c r="P48" s="101"/>
      <c r="Q48" s="101"/>
      <c r="R48" s="101"/>
      <c r="S48" s="101"/>
      <c r="T48" s="101"/>
      <c r="U48" s="101"/>
      <c r="V48" s="101"/>
      <c r="W48" s="103"/>
      <c r="X48" s="103"/>
      <c r="Y48" s="103"/>
      <c r="Z48" s="103"/>
      <c r="AA48" s="103"/>
      <c r="AB48" s="103"/>
      <c r="AC48" s="103"/>
    </row>
    <row r="49" ht="15.75" customHeight="1">
      <c r="A49" s="100"/>
      <c r="B49" s="98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>
        <f>IFERROR(__xludf.DUMMYFUNCTION("""COMPUTED_VALUE"""),18356.0)</f>
        <v>18356</v>
      </c>
      <c r="O49" s="101"/>
      <c r="P49" s="101"/>
      <c r="Q49" s="101"/>
      <c r="R49" s="101"/>
      <c r="S49" s="101"/>
      <c r="T49" s="101"/>
      <c r="U49" s="101"/>
      <c r="V49" s="101"/>
      <c r="W49" s="103"/>
      <c r="X49" s="103"/>
      <c r="Y49" s="103"/>
      <c r="Z49" s="103"/>
      <c r="AA49" s="103"/>
      <c r="AB49" s="103"/>
      <c r="AC49" s="103"/>
    </row>
    <row r="50" ht="15.75" customHeight="1">
      <c r="A50" s="100"/>
      <c r="B50" s="98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>
        <f>IFERROR(__xludf.DUMMYFUNCTION("""COMPUTED_VALUE"""),18345.0)</f>
        <v>18345</v>
      </c>
      <c r="O50" s="101"/>
      <c r="P50" s="101"/>
      <c r="Q50" s="101"/>
      <c r="R50" s="101"/>
      <c r="S50" s="101"/>
      <c r="T50" s="101"/>
      <c r="U50" s="101"/>
      <c r="V50" s="101"/>
      <c r="W50" s="103"/>
      <c r="X50" s="103"/>
      <c r="Y50" s="103"/>
      <c r="Z50" s="103"/>
      <c r="AA50" s="103"/>
      <c r="AB50" s="103"/>
      <c r="AC50" s="103"/>
    </row>
    <row r="51" ht="15.75" customHeight="1">
      <c r="A51" s="100"/>
      <c r="B51" s="98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3"/>
      <c r="X51" s="103"/>
      <c r="Y51" s="103"/>
      <c r="Z51" s="103"/>
      <c r="AA51" s="103"/>
      <c r="AB51" s="103"/>
      <c r="AC51" s="103"/>
    </row>
    <row r="52" ht="15.75" customHeight="1">
      <c r="A52" s="100"/>
      <c r="B52" s="98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3"/>
      <c r="X52" s="103"/>
      <c r="Y52" s="103"/>
      <c r="Z52" s="103"/>
      <c r="AA52" s="103"/>
      <c r="AB52" s="103"/>
      <c r="AC52" s="103"/>
    </row>
    <row r="53" ht="15.75" customHeight="1">
      <c r="A53" s="100"/>
      <c r="B53" s="98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3"/>
      <c r="X53" s="103"/>
      <c r="Y53" s="103"/>
      <c r="Z53" s="103"/>
      <c r="AA53" s="103"/>
      <c r="AB53" s="103"/>
      <c r="AC53" s="103"/>
    </row>
    <row r="54" ht="15.75" customHeight="1">
      <c r="A54" s="100"/>
      <c r="B54" s="98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3"/>
      <c r="X54" s="103"/>
      <c r="Y54" s="103"/>
      <c r="Z54" s="103"/>
      <c r="AA54" s="103"/>
      <c r="AB54" s="103"/>
      <c r="AC54" s="103"/>
    </row>
    <row r="55" ht="15.75" customHeight="1">
      <c r="A55" s="100"/>
      <c r="B55" s="98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3"/>
      <c r="X55" s="103"/>
      <c r="Y55" s="103"/>
      <c r="Z55" s="103"/>
      <c r="AA55" s="103"/>
      <c r="AB55" s="103"/>
      <c r="AC55" s="103"/>
    </row>
    <row r="56" ht="15.75" customHeight="1">
      <c r="A56" s="100"/>
      <c r="B56" s="98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3"/>
      <c r="X56" s="103"/>
      <c r="Y56" s="103"/>
      <c r="Z56" s="103"/>
      <c r="AA56" s="103"/>
      <c r="AB56" s="103"/>
      <c r="AC56" s="103"/>
    </row>
    <row r="57" ht="15.75" customHeight="1">
      <c r="A57" s="100"/>
      <c r="B57" s="98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3"/>
      <c r="X57" s="103"/>
      <c r="Y57" s="103"/>
      <c r="Z57" s="103"/>
      <c r="AA57" s="103"/>
      <c r="AB57" s="103"/>
      <c r="AC57" s="103"/>
    </row>
    <row r="58" ht="15.75" customHeight="1">
      <c r="A58" s="100"/>
      <c r="B58" s="98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3"/>
      <c r="X58" s="103"/>
      <c r="Y58" s="103"/>
      <c r="Z58" s="103"/>
      <c r="AA58" s="103"/>
      <c r="AB58" s="103"/>
      <c r="AC58" s="103"/>
    </row>
    <row r="59" ht="15.75" customHeight="1">
      <c r="A59" s="100"/>
      <c r="B59" s="98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3"/>
      <c r="X59" s="103"/>
      <c r="Y59" s="103"/>
      <c r="Z59" s="103"/>
      <c r="AA59" s="103"/>
      <c r="AB59" s="103"/>
      <c r="AC59" s="103"/>
    </row>
    <row r="60" ht="15.75" customHeight="1">
      <c r="A60" s="100"/>
      <c r="B60" s="98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3"/>
      <c r="X60" s="103"/>
      <c r="Y60" s="103"/>
      <c r="Z60" s="103"/>
      <c r="AA60" s="103"/>
      <c r="AB60" s="103"/>
      <c r="AC60" s="103"/>
    </row>
    <row r="61" ht="15.75" customHeight="1">
      <c r="A61" s="100"/>
      <c r="B61" s="98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3"/>
      <c r="X61" s="103"/>
      <c r="Y61" s="103"/>
      <c r="Z61" s="103"/>
      <c r="AA61" s="103"/>
      <c r="AB61" s="103"/>
      <c r="AC61" s="103"/>
    </row>
    <row r="62" ht="15.75" customHeight="1">
      <c r="A62" s="100"/>
      <c r="B62" s="98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3"/>
      <c r="X62" s="103"/>
      <c r="Y62" s="103"/>
      <c r="Z62" s="103"/>
      <c r="AA62" s="103"/>
      <c r="AB62" s="103"/>
      <c r="AC62" s="103"/>
    </row>
    <row r="63" ht="15.75" customHeight="1">
      <c r="A63" s="100"/>
      <c r="B63" s="98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3"/>
      <c r="X63" s="103"/>
      <c r="Y63" s="103"/>
      <c r="Z63" s="103"/>
      <c r="AA63" s="103"/>
      <c r="AB63" s="103"/>
      <c r="AC63" s="103"/>
    </row>
    <row r="64" ht="15.75" customHeight="1">
      <c r="A64" s="100"/>
      <c r="B64" s="98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3"/>
      <c r="X64" s="103"/>
      <c r="Y64" s="103"/>
      <c r="Z64" s="103"/>
      <c r="AA64" s="103"/>
      <c r="AB64" s="103"/>
      <c r="AC64" s="103"/>
    </row>
    <row r="65" ht="15.75" customHeight="1">
      <c r="A65" s="100"/>
      <c r="B65" s="98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3"/>
      <c r="X65" s="103"/>
      <c r="Y65" s="103"/>
      <c r="Z65" s="103"/>
      <c r="AA65" s="103"/>
      <c r="AB65" s="103"/>
      <c r="AC65" s="103"/>
    </row>
    <row r="66" ht="15.75" customHeight="1">
      <c r="A66" s="100"/>
      <c r="B66" s="98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3"/>
      <c r="X66" s="103"/>
      <c r="Y66" s="103"/>
      <c r="Z66" s="103"/>
      <c r="AA66" s="103"/>
      <c r="AB66" s="103"/>
      <c r="AC66" s="103"/>
    </row>
    <row r="67" ht="15.75" customHeight="1">
      <c r="A67" s="100"/>
      <c r="B67" s="98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3"/>
      <c r="X67" s="103"/>
      <c r="Y67" s="103"/>
      <c r="Z67" s="103"/>
      <c r="AA67" s="103"/>
      <c r="AB67" s="103"/>
      <c r="AC67" s="103"/>
    </row>
    <row r="68" ht="15.75" customHeight="1">
      <c r="A68" s="100"/>
      <c r="B68" s="98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3"/>
      <c r="X68" s="103"/>
      <c r="Y68" s="103"/>
      <c r="Z68" s="103"/>
      <c r="AA68" s="103"/>
      <c r="AB68" s="103"/>
      <c r="AC68" s="103"/>
    </row>
    <row r="69" ht="15.75" customHeight="1">
      <c r="A69" s="100"/>
      <c r="B69" s="98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3"/>
      <c r="X69" s="103"/>
      <c r="Y69" s="103"/>
      <c r="Z69" s="103"/>
      <c r="AA69" s="103"/>
      <c r="AB69" s="103"/>
      <c r="AC69" s="103"/>
    </row>
    <row r="70" ht="15.75" customHeight="1">
      <c r="A70" s="100"/>
      <c r="B70" s="98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3"/>
      <c r="X70" s="103"/>
      <c r="Y70" s="103"/>
      <c r="Z70" s="103"/>
      <c r="AA70" s="103"/>
      <c r="AB70" s="103"/>
      <c r="AC70" s="103"/>
    </row>
    <row r="71" ht="15.75" customHeight="1">
      <c r="A71" s="100"/>
      <c r="B71" s="98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3"/>
      <c r="X71" s="103"/>
      <c r="Y71" s="103"/>
      <c r="Z71" s="103"/>
      <c r="AA71" s="103"/>
      <c r="AB71" s="103"/>
      <c r="AC71" s="103"/>
    </row>
    <row r="72" ht="15.75" customHeight="1">
      <c r="A72" s="100"/>
      <c r="B72" s="98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3"/>
      <c r="X72" s="103"/>
      <c r="Y72" s="103"/>
      <c r="Z72" s="103"/>
      <c r="AA72" s="103"/>
      <c r="AB72" s="103"/>
      <c r="AC72" s="103"/>
    </row>
    <row r="73" ht="15.75" customHeight="1">
      <c r="A73" s="100"/>
      <c r="B73" s="98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3"/>
      <c r="X73" s="103"/>
      <c r="Y73" s="103"/>
      <c r="Z73" s="103"/>
      <c r="AA73" s="103"/>
      <c r="AB73" s="103"/>
      <c r="AC73" s="103"/>
    </row>
    <row r="74" ht="15.75" customHeight="1">
      <c r="A74" s="100"/>
      <c r="B74" s="98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3"/>
      <c r="X74" s="103"/>
      <c r="Y74" s="103"/>
      <c r="Z74" s="103"/>
      <c r="AA74" s="103"/>
      <c r="AB74" s="103"/>
      <c r="AC74" s="103"/>
    </row>
    <row r="75" ht="15.75" customHeight="1">
      <c r="A75" s="100"/>
      <c r="B75" s="98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3"/>
      <c r="X75" s="103"/>
      <c r="Y75" s="103"/>
      <c r="Z75" s="103"/>
      <c r="AA75" s="103"/>
      <c r="AB75" s="103"/>
      <c r="AC75" s="103"/>
    </row>
    <row r="76" ht="15.75" customHeight="1">
      <c r="A76" s="100"/>
      <c r="B76" s="98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3"/>
      <c r="X76" s="103"/>
      <c r="Y76" s="103"/>
      <c r="Z76" s="103"/>
      <c r="AA76" s="103"/>
      <c r="AB76" s="103"/>
      <c r="AC76" s="103"/>
    </row>
    <row r="77" ht="15.75" customHeight="1">
      <c r="A77" s="100"/>
      <c r="B77" s="98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3"/>
      <c r="X77" s="103"/>
      <c r="Y77" s="103"/>
      <c r="Z77" s="103"/>
      <c r="AA77" s="103"/>
      <c r="AB77" s="103"/>
      <c r="AC77" s="103"/>
    </row>
    <row r="78" ht="15.75" customHeight="1">
      <c r="A78" s="100"/>
      <c r="B78" s="98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3"/>
      <c r="X78" s="103"/>
      <c r="Y78" s="103"/>
      <c r="Z78" s="103"/>
      <c r="AA78" s="103"/>
      <c r="AB78" s="103"/>
      <c r="AC78" s="103"/>
    </row>
    <row r="79" ht="15.75" customHeight="1">
      <c r="A79" s="100"/>
      <c r="B79" s="98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3"/>
      <c r="X79" s="103"/>
      <c r="Y79" s="103"/>
      <c r="Z79" s="103"/>
      <c r="AA79" s="103"/>
      <c r="AB79" s="103"/>
      <c r="AC79" s="103"/>
    </row>
    <row r="80" ht="15.75" customHeight="1">
      <c r="A80" s="100"/>
      <c r="B80" s="98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3"/>
      <c r="X80" s="103"/>
      <c r="Y80" s="103"/>
      <c r="Z80" s="103"/>
      <c r="AA80" s="103"/>
      <c r="AB80" s="103"/>
      <c r="AC80" s="103"/>
    </row>
    <row r="81" ht="15.75" customHeight="1">
      <c r="A81" s="100"/>
      <c r="B81" s="98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3"/>
      <c r="X81" s="103"/>
      <c r="Y81" s="103"/>
      <c r="Z81" s="103"/>
      <c r="AA81" s="103"/>
      <c r="AB81" s="103"/>
      <c r="AC81" s="103"/>
    </row>
    <row r="82" ht="15.75" customHeight="1">
      <c r="A82" s="100"/>
      <c r="B82" s="98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3"/>
      <c r="X82" s="103"/>
      <c r="Y82" s="103"/>
      <c r="Z82" s="103"/>
      <c r="AA82" s="103"/>
      <c r="AB82" s="103"/>
      <c r="AC82" s="103"/>
    </row>
    <row r="83" ht="15.75" customHeight="1">
      <c r="A83" s="100"/>
      <c r="B83" s="98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3"/>
      <c r="X83" s="103"/>
      <c r="Y83" s="103"/>
      <c r="Z83" s="103"/>
      <c r="AA83" s="103"/>
      <c r="AB83" s="103"/>
      <c r="AC83" s="103"/>
    </row>
    <row r="84" ht="15.75" customHeight="1">
      <c r="A84" s="100"/>
      <c r="B84" s="98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3"/>
      <c r="X84" s="103"/>
      <c r="Y84" s="103"/>
      <c r="Z84" s="103"/>
      <c r="AA84" s="103"/>
      <c r="AB84" s="103"/>
      <c r="AC84" s="103"/>
    </row>
    <row r="85" ht="15.75" customHeight="1">
      <c r="A85" s="100"/>
      <c r="B85" s="98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3"/>
      <c r="X85" s="103"/>
      <c r="Y85" s="103"/>
      <c r="Z85" s="103"/>
      <c r="AA85" s="103"/>
      <c r="AB85" s="103"/>
      <c r="AC85" s="103"/>
    </row>
    <row r="86" ht="15.75" customHeight="1">
      <c r="A86" s="100"/>
      <c r="B86" s="98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3"/>
      <c r="X86" s="103"/>
      <c r="Y86" s="103"/>
      <c r="Z86" s="103"/>
      <c r="AA86" s="103"/>
      <c r="AB86" s="103"/>
      <c r="AC86" s="103"/>
    </row>
    <row r="87" ht="15.75" customHeight="1">
      <c r="A87" s="100"/>
      <c r="B87" s="98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3"/>
      <c r="X87" s="103"/>
      <c r="Y87" s="103"/>
      <c r="Z87" s="103"/>
      <c r="AA87" s="103"/>
      <c r="AB87" s="103"/>
      <c r="AC87" s="103"/>
    </row>
    <row r="88" ht="15.75" customHeight="1">
      <c r="A88" s="100"/>
      <c r="B88" s="98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3"/>
      <c r="X88" s="103"/>
      <c r="Y88" s="103"/>
      <c r="Z88" s="103"/>
      <c r="AA88" s="103"/>
      <c r="AB88" s="103"/>
      <c r="AC88" s="103"/>
    </row>
    <row r="89" ht="15.75" customHeight="1">
      <c r="A89" s="100"/>
      <c r="B89" s="98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3"/>
      <c r="X89" s="103"/>
      <c r="Y89" s="103"/>
      <c r="Z89" s="103"/>
      <c r="AA89" s="103"/>
      <c r="AB89" s="103"/>
      <c r="AC89" s="103"/>
    </row>
    <row r="90" ht="15.75" customHeight="1">
      <c r="A90" s="100"/>
      <c r="B90" s="98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3"/>
      <c r="X90" s="103"/>
      <c r="Y90" s="103"/>
      <c r="Z90" s="103"/>
      <c r="AA90" s="103"/>
      <c r="AB90" s="103"/>
      <c r="AC90" s="103"/>
    </row>
    <row r="91" ht="15.75" customHeight="1">
      <c r="A91" s="100"/>
      <c r="B91" s="98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3"/>
      <c r="X91" s="103"/>
      <c r="Y91" s="103"/>
      <c r="Z91" s="103"/>
      <c r="AA91" s="103"/>
      <c r="AB91" s="103"/>
      <c r="AC91" s="103"/>
    </row>
    <row r="92" ht="15.75" customHeight="1">
      <c r="A92" s="100"/>
      <c r="B92" s="98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3"/>
      <c r="X92" s="103"/>
      <c r="Y92" s="103"/>
      <c r="Z92" s="103"/>
      <c r="AA92" s="103"/>
      <c r="AB92" s="103"/>
      <c r="AC92" s="103"/>
    </row>
    <row r="93" ht="15.75" customHeight="1">
      <c r="A93" s="100"/>
      <c r="B93" s="98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3"/>
      <c r="X93" s="103"/>
      <c r="Y93" s="103"/>
      <c r="Z93" s="103"/>
      <c r="AA93" s="103"/>
      <c r="AB93" s="103"/>
      <c r="AC93" s="103"/>
    </row>
    <row r="94" ht="15.75" customHeight="1">
      <c r="A94" s="100"/>
      <c r="B94" s="98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3"/>
      <c r="X94" s="103"/>
      <c r="Y94" s="103"/>
      <c r="Z94" s="103"/>
      <c r="AA94" s="103"/>
      <c r="AB94" s="103"/>
      <c r="AC94" s="103"/>
    </row>
    <row r="95" ht="15.75" customHeight="1">
      <c r="A95" s="100"/>
      <c r="B95" s="98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3"/>
      <c r="X95" s="103"/>
      <c r="Y95" s="103"/>
      <c r="Z95" s="103"/>
      <c r="AA95" s="103"/>
      <c r="AB95" s="103"/>
      <c r="AC95" s="103"/>
    </row>
    <row r="96" ht="15.75" customHeight="1">
      <c r="A96" s="100"/>
      <c r="B96" s="98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3"/>
      <c r="X96" s="103"/>
      <c r="Y96" s="103"/>
      <c r="Z96" s="103"/>
      <c r="AA96" s="103"/>
      <c r="AB96" s="103"/>
      <c r="AC96" s="103"/>
    </row>
    <row r="97" ht="15.75" customHeight="1">
      <c r="A97" s="100"/>
      <c r="B97" s="98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3"/>
      <c r="X97" s="103"/>
      <c r="Y97" s="103"/>
      <c r="Z97" s="103"/>
      <c r="AA97" s="103"/>
      <c r="AB97" s="103"/>
      <c r="AC97" s="103"/>
    </row>
    <row r="98" ht="15.75" customHeight="1">
      <c r="A98" s="100"/>
      <c r="B98" s="98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3"/>
      <c r="X98" s="103"/>
      <c r="Y98" s="103"/>
      <c r="Z98" s="103"/>
      <c r="AA98" s="103"/>
      <c r="AB98" s="103"/>
      <c r="AC98" s="103"/>
    </row>
    <row r="99" ht="15.75" customHeight="1">
      <c r="A99" s="100"/>
      <c r="B99" s="98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3"/>
      <c r="X99" s="103"/>
      <c r="Y99" s="103"/>
      <c r="Z99" s="103"/>
      <c r="AA99" s="103"/>
      <c r="AB99" s="103"/>
      <c r="AC99" s="103"/>
    </row>
    <row r="100" ht="15.75" customHeight="1">
      <c r="A100" s="100"/>
      <c r="B100" s="98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3"/>
      <c r="X100" s="103"/>
      <c r="Y100" s="103"/>
      <c r="Z100" s="103"/>
      <c r="AA100" s="103"/>
      <c r="AB100" s="103"/>
      <c r="AC100" s="103"/>
    </row>
    <row r="101" ht="15.75" customHeight="1">
      <c r="A101" s="100"/>
      <c r="B101" s="98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3"/>
      <c r="X101" s="103"/>
      <c r="Y101" s="103"/>
      <c r="Z101" s="103"/>
      <c r="AA101" s="103"/>
      <c r="AB101" s="103"/>
      <c r="AC101" s="103"/>
    </row>
    <row r="102" ht="15.75" customHeight="1">
      <c r="A102" s="100"/>
      <c r="B102" s="98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3"/>
      <c r="X102" s="103"/>
      <c r="Y102" s="103"/>
      <c r="Z102" s="103"/>
      <c r="AA102" s="103"/>
      <c r="AB102" s="103"/>
      <c r="AC102" s="103"/>
    </row>
    <row r="103" ht="15.75" customHeight="1">
      <c r="A103" s="100"/>
      <c r="B103" s="98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3"/>
      <c r="X103" s="103"/>
      <c r="Y103" s="103"/>
      <c r="Z103" s="103"/>
      <c r="AA103" s="103"/>
      <c r="AB103" s="103"/>
      <c r="AC103" s="103"/>
    </row>
    <row r="104" ht="15.75" customHeight="1">
      <c r="A104" s="100"/>
      <c r="B104" s="98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3"/>
      <c r="X104" s="103"/>
      <c r="Y104" s="103"/>
      <c r="Z104" s="103"/>
      <c r="AA104" s="103"/>
      <c r="AB104" s="103"/>
      <c r="AC104" s="103"/>
    </row>
    <row r="105" ht="15.75" customHeight="1">
      <c r="A105" s="100"/>
      <c r="B105" s="98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3"/>
      <c r="X105" s="103"/>
      <c r="Y105" s="103"/>
      <c r="Z105" s="103"/>
      <c r="AA105" s="103"/>
      <c r="AB105" s="103"/>
      <c r="AC105" s="103"/>
    </row>
    <row r="106" ht="15.75" customHeight="1">
      <c r="A106" s="100"/>
      <c r="B106" s="98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3"/>
      <c r="X106" s="103"/>
      <c r="Y106" s="103"/>
      <c r="Z106" s="103"/>
      <c r="AA106" s="103"/>
      <c r="AB106" s="103"/>
      <c r="AC106" s="103"/>
    </row>
    <row r="107" ht="15.75" customHeight="1">
      <c r="A107" s="100"/>
      <c r="B107" s="98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3"/>
      <c r="X107" s="103"/>
      <c r="Y107" s="103"/>
      <c r="Z107" s="103"/>
      <c r="AA107" s="103"/>
      <c r="AB107" s="103"/>
      <c r="AC107" s="103"/>
    </row>
    <row r="108" ht="15.75" customHeight="1">
      <c r="A108" s="100"/>
      <c r="B108" s="98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3"/>
      <c r="X108" s="103"/>
      <c r="Y108" s="103"/>
      <c r="Z108" s="103"/>
      <c r="AA108" s="103"/>
      <c r="AB108" s="103"/>
      <c r="AC108" s="103"/>
    </row>
    <row r="109" ht="15.75" customHeight="1">
      <c r="A109" s="100"/>
      <c r="B109" s="98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3"/>
      <c r="X109" s="103"/>
      <c r="Y109" s="103"/>
      <c r="Z109" s="103"/>
      <c r="AA109" s="103"/>
      <c r="AB109" s="103"/>
      <c r="AC109" s="103"/>
    </row>
    <row r="110" ht="15.75" customHeight="1">
      <c r="A110" s="100"/>
      <c r="B110" s="98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3"/>
      <c r="X110" s="103"/>
      <c r="Y110" s="103"/>
      <c r="Z110" s="103"/>
      <c r="AA110" s="103"/>
      <c r="AB110" s="103"/>
      <c r="AC110" s="103"/>
    </row>
    <row r="111" ht="15.75" customHeight="1">
      <c r="A111" s="100"/>
      <c r="B111" s="98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3"/>
      <c r="X111" s="103"/>
      <c r="Y111" s="103"/>
      <c r="Z111" s="103"/>
      <c r="AA111" s="103"/>
      <c r="AB111" s="103"/>
      <c r="AC111" s="103"/>
    </row>
    <row r="112" ht="15.75" customHeight="1">
      <c r="A112" s="100"/>
      <c r="B112" s="98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3"/>
      <c r="X112" s="103"/>
      <c r="Y112" s="103"/>
      <c r="Z112" s="103"/>
      <c r="AA112" s="103"/>
      <c r="AB112" s="103"/>
      <c r="AC112" s="103"/>
    </row>
    <row r="113" ht="15.75" customHeight="1">
      <c r="A113" s="100"/>
      <c r="B113" s="98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3"/>
      <c r="X113" s="103"/>
      <c r="Y113" s="103"/>
      <c r="Z113" s="103"/>
      <c r="AA113" s="103"/>
      <c r="AB113" s="103"/>
      <c r="AC113" s="103"/>
    </row>
    <row r="114" ht="15.75" customHeight="1">
      <c r="A114" s="100"/>
      <c r="B114" s="98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3"/>
      <c r="X114" s="103"/>
      <c r="Y114" s="103"/>
      <c r="Z114" s="103"/>
      <c r="AA114" s="103"/>
      <c r="AB114" s="103"/>
      <c r="AC114" s="103"/>
    </row>
    <row r="115" ht="15.75" customHeight="1">
      <c r="A115" s="100"/>
      <c r="B115" s="98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3"/>
      <c r="X115" s="103"/>
      <c r="Y115" s="103"/>
      <c r="Z115" s="103"/>
      <c r="AA115" s="103"/>
      <c r="AB115" s="103"/>
      <c r="AC115" s="103"/>
    </row>
    <row r="116" ht="15.75" customHeight="1">
      <c r="A116" s="100"/>
      <c r="B116" s="98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3"/>
      <c r="X116" s="103"/>
      <c r="Y116" s="103"/>
      <c r="Z116" s="103"/>
      <c r="AA116" s="103"/>
      <c r="AB116" s="103"/>
      <c r="AC116" s="103"/>
    </row>
    <row r="117" ht="15.75" customHeight="1">
      <c r="A117" s="100"/>
      <c r="B117" s="98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3"/>
      <c r="X117" s="103"/>
      <c r="Y117" s="103"/>
      <c r="Z117" s="103"/>
      <c r="AA117" s="103"/>
      <c r="AB117" s="103"/>
      <c r="AC117" s="103"/>
    </row>
    <row r="118" ht="15.75" customHeight="1">
      <c r="A118" s="100"/>
      <c r="B118" s="98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3"/>
      <c r="X118" s="103"/>
      <c r="Y118" s="103"/>
      <c r="Z118" s="103"/>
      <c r="AA118" s="103"/>
      <c r="AB118" s="103"/>
      <c r="AC118" s="103"/>
    </row>
    <row r="119" ht="15.75" customHeight="1">
      <c r="A119" s="100"/>
      <c r="B119" s="98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3"/>
      <c r="X119" s="103"/>
      <c r="Y119" s="103"/>
      <c r="Z119" s="103"/>
      <c r="AA119" s="103"/>
      <c r="AB119" s="103"/>
      <c r="AC119" s="103"/>
    </row>
    <row r="120" ht="15.75" customHeight="1">
      <c r="A120" s="100"/>
      <c r="B120" s="98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3"/>
      <c r="X120" s="103"/>
      <c r="Y120" s="103"/>
      <c r="Z120" s="103"/>
      <c r="AA120" s="103"/>
      <c r="AB120" s="103"/>
      <c r="AC120" s="103"/>
    </row>
    <row r="121" ht="15.75" customHeight="1">
      <c r="A121" s="100"/>
      <c r="B121" s="98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3"/>
      <c r="X121" s="103"/>
      <c r="Y121" s="103"/>
      <c r="Z121" s="103"/>
      <c r="AA121" s="103"/>
      <c r="AB121" s="103"/>
      <c r="AC121" s="103"/>
    </row>
    <row r="122" ht="15.75" customHeight="1">
      <c r="A122" s="100"/>
      <c r="B122" s="98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3"/>
      <c r="X122" s="103"/>
      <c r="Y122" s="103"/>
      <c r="Z122" s="103"/>
      <c r="AA122" s="103"/>
      <c r="AB122" s="103"/>
      <c r="AC122" s="103"/>
    </row>
    <row r="123" ht="15.75" customHeight="1">
      <c r="A123" s="100"/>
      <c r="B123" s="98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3"/>
      <c r="X123" s="103"/>
      <c r="Y123" s="103"/>
      <c r="Z123" s="103"/>
      <c r="AA123" s="103"/>
      <c r="AB123" s="103"/>
      <c r="AC123" s="103"/>
    </row>
    <row r="124" ht="15.75" customHeight="1">
      <c r="A124" s="100"/>
      <c r="B124" s="98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3"/>
      <c r="X124" s="103"/>
      <c r="Y124" s="103"/>
      <c r="Z124" s="103"/>
      <c r="AA124" s="103"/>
      <c r="AB124" s="103"/>
      <c r="AC124" s="103"/>
    </row>
    <row r="125" ht="15.75" customHeight="1">
      <c r="A125" s="100"/>
      <c r="B125" s="98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3"/>
      <c r="X125" s="103"/>
      <c r="Y125" s="103"/>
      <c r="Z125" s="103"/>
      <c r="AA125" s="103"/>
      <c r="AB125" s="103"/>
      <c r="AC125" s="103"/>
    </row>
    <row r="126" ht="15.75" customHeight="1">
      <c r="A126" s="100"/>
      <c r="B126" s="98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3"/>
      <c r="X126" s="103"/>
      <c r="Y126" s="103"/>
      <c r="Z126" s="103"/>
      <c r="AA126" s="103"/>
      <c r="AB126" s="103"/>
      <c r="AC126" s="103"/>
    </row>
    <row r="127" ht="15.75" customHeight="1">
      <c r="A127" s="100"/>
      <c r="B127" s="98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3"/>
      <c r="X127" s="103"/>
      <c r="Y127" s="103"/>
      <c r="Z127" s="103"/>
      <c r="AA127" s="103"/>
      <c r="AB127" s="103"/>
      <c r="AC127" s="103"/>
    </row>
    <row r="128" ht="15.75" customHeight="1">
      <c r="A128" s="100"/>
      <c r="B128" s="98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3"/>
      <c r="X128" s="103"/>
      <c r="Y128" s="103"/>
      <c r="Z128" s="103"/>
      <c r="AA128" s="103"/>
      <c r="AB128" s="103"/>
      <c r="AC128" s="103"/>
    </row>
    <row r="129" ht="15.75" customHeight="1">
      <c r="A129" s="100"/>
      <c r="B129" s="98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3"/>
      <c r="X129" s="103"/>
      <c r="Y129" s="103"/>
      <c r="Z129" s="103"/>
      <c r="AA129" s="103"/>
      <c r="AB129" s="103"/>
      <c r="AC129" s="103"/>
    </row>
    <row r="130" ht="15.75" customHeight="1">
      <c r="A130" s="100"/>
      <c r="B130" s="98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3"/>
      <c r="X130" s="103"/>
      <c r="Y130" s="103"/>
      <c r="Z130" s="103"/>
      <c r="AA130" s="103"/>
      <c r="AB130" s="103"/>
      <c r="AC130" s="103"/>
    </row>
    <row r="131" ht="15.75" customHeight="1">
      <c r="A131" s="100"/>
      <c r="B131" s="98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3"/>
      <c r="X131" s="103"/>
      <c r="Y131" s="103"/>
      <c r="Z131" s="103"/>
      <c r="AA131" s="103"/>
      <c r="AB131" s="103"/>
      <c r="AC131" s="103"/>
    </row>
    <row r="132" ht="15.75" customHeight="1">
      <c r="A132" s="100"/>
      <c r="B132" s="98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3"/>
      <c r="X132" s="103"/>
      <c r="Y132" s="103"/>
      <c r="Z132" s="103"/>
      <c r="AA132" s="103"/>
      <c r="AB132" s="103"/>
      <c r="AC132" s="103"/>
    </row>
    <row r="133" ht="15.75" customHeight="1">
      <c r="A133" s="100"/>
      <c r="B133" s="98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3"/>
      <c r="X133" s="103"/>
      <c r="Y133" s="103"/>
      <c r="Z133" s="103"/>
      <c r="AA133" s="103"/>
      <c r="AB133" s="103"/>
      <c r="AC133" s="103"/>
    </row>
    <row r="134" ht="15.75" customHeight="1">
      <c r="A134" s="100"/>
      <c r="B134" s="98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3"/>
      <c r="X134" s="103"/>
      <c r="Y134" s="103"/>
      <c r="Z134" s="103"/>
      <c r="AA134" s="103"/>
      <c r="AB134" s="103"/>
      <c r="AC134" s="103"/>
    </row>
    <row r="135" ht="15.75" customHeight="1">
      <c r="A135" s="100"/>
      <c r="B135" s="98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3"/>
      <c r="X135" s="103"/>
      <c r="Y135" s="103"/>
      <c r="Z135" s="103"/>
      <c r="AA135" s="103"/>
      <c r="AB135" s="103"/>
      <c r="AC135" s="103"/>
    </row>
    <row r="136" ht="15.75" customHeight="1">
      <c r="A136" s="100"/>
      <c r="B136" s="98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3"/>
      <c r="X136" s="103"/>
      <c r="Y136" s="103"/>
      <c r="Z136" s="103"/>
      <c r="AA136" s="103"/>
      <c r="AB136" s="103"/>
      <c r="AC136" s="103"/>
    </row>
    <row r="137" ht="15.75" customHeight="1">
      <c r="A137" s="100"/>
      <c r="B137" s="98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3"/>
      <c r="X137" s="103"/>
      <c r="Y137" s="103"/>
      <c r="Z137" s="103"/>
      <c r="AA137" s="103"/>
      <c r="AB137" s="103"/>
      <c r="AC137" s="103"/>
    </row>
    <row r="138" ht="15.75" customHeight="1">
      <c r="A138" s="100"/>
      <c r="B138" s="98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3"/>
      <c r="X138" s="103"/>
      <c r="Y138" s="103"/>
      <c r="Z138" s="103"/>
      <c r="AA138" s="103"/>
      <c r="AB138" s="103"/>
      <c r="AC138" s="103"/>
    </row>
    <row r="139" ht="15.75" customHeight="1">
      <c r="A139" s="100"/>
      <c r="B139" s="98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3"/>
      <c r="X139" s="103"/>
      <c r="Y139" s="103"/>
      <c r="Z139" s="103"/>
      <c r="AA139" s="103"/>
      <c r="AB139" s="103"/>
      <c r="AC139" s="103"/>
    </row>
    <row r="140" ht="15.75" customHeight="1">
      <c r="A140" s="100"/>
      <c r="B140" s="98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3"/>
      <c r="X140" s="103"/>
      <c r="Y140" s="103"/>
      <c r="Z140" s="103"/>
      <c r="AA140" s="103"/>
      <c r="AB140" s="103"/>
      <c r="AC140" s="103"/>
    </row>
    <row r="141" ht="15.75" customHeight="1">
      <c r="A141" s="100"/>
      <c r="B141" s="98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3"/>
      <c r="X141" s="103"/>
      <c r="Y141" s="103"/>
      <c r="Z141" s="103"/>
      <c r="AA141" s="103"/>
      <c r="AB141" s="103"/>
      <c r="AC141" s="103"/>
    </row>
    <row r="142" ht="15.75" customHeight="1">
      <c r="A142" s="100"/>
      <c r="B142" s="98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3"/>
      <c r="X142" s="103"/>
      <c r="Y142" s="103"/>
      <c r="Z142" s="103"/>
      <c r="AA142" s="103"/>
      <c r="AB142" s="103"/>
      <c r="AC142" s="103"/>
    </row>
    <row r="143" ht="15.75" customHeight="1">
      <c r="A143" s="100"/>
      <c r="B143" s="98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3"/>
      <c r="X143" s="103"/>
      <c r="Y143" s="103"/>
      <c r="Z143" s="103"/>
      <c r="AA143" s="103"/>
      <c r="AB143" s="103"/>
      <c r="AC143" s="103"/>
    </row>
    <row r="144" ht="15.75" customHeight="1">
      <c r="A144" s="100"/>
      <c r="B144" s="98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3"/>
      <c r="X144" s="103"/>
      <c r="Y144" s="103"/>
      <c r="Z144" s="103"/>
      <c r="AA144" s="103"/>
      <c r="AB144" s="103"/>
      <c r="AC144" s="103"/>
    </row>
    <row r="145" ht="15.75" customHeight="1">
      <c r="A145" s="100"/>
      <c r="B145" s="98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3"/>
      <c r="X145" s="103"/>
      <c r="Y145" s="103"/>
      <c r="Z145" s="103"/>
      <c r="AA145" s="103"/>
      <c r="AB145" s="103"/>
      <c r="AC145" s="103"/>
    </row>
    <row r="146" ht="15.75" customHeight="1">
      <c r="A146" s="100"/>
      <c r="B146" s="98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3"/>
      <c r="X146" s="103"/>
      <c r="Y146" s="103"/>
      <c r="Z146" s="103"/>
      <c r="AA146" s="103"/>
      <c r="AB146" s="103"/>
      <c r="AC146" s="103"/>
    </row>
    <row r="147" ht="15.75" customHeight="1">
      <c r="A147" s="100"/>
      <c r="B147" s="98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3"/>
      <c r="X147" s="103"/>
      <c r="Y147" s="103"/>
      <c r="Z147" s="103"/>
      <c r="AA147" s="103"/>
      <c r="AB147" s="103"/>
      <c r="AC147" s="103"/>
    </row>
    <row r="148" ht="15.75" customHeight="1">
      <c r="A148" s="100"/>
      <c r="B148" s="98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3"/>
      <c r="X148" s="103"/>
      <c r="Y148" s="103"/>
      <c r="Z148" s="103"/>
      <c r="AA148" s="103"/>
      <c r="AB148" s="103"/>
      <c r="AC148" s="103"/>
    </row>
    <row r="149" ht="15.75" customHeight="1">
      <c r="A149" s="100"/>
      <c r="B149" s="98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3"/>
      <c r="X149" s="103"/>
      <c r="Y149" s="103"/>
      <c r="Z149" s="103"/>
      <c r="AA149" s="103"/>
      <c r="AB149" s="103"/>
      <c r="AC149" s="103"/>
    </row>
    <row r="150" ht="15.75" customHeight="1">
      <c r="A150" s="100"/>
      <c r="B150" s="98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3"/>
      <c r="X150" s="103"/>
      <c r="Y150" s="103"/>
      <c r="Z150" s="103"/>
      <c r="AA150" s="103"/>
      <c r="AB150" s="103"/>
      <c r="AC150" s="103"/>
    </row>
    <row r="151" ht="15.75" customHeight="1">
      <c r="A151" s="100"/>
      <c r="B151" s="98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3"/>
      <c r="X151" s="103"/>
      <c r="Y151" s="103"/>
      <c r="Z151" s="103"/>
      <c r="AA151" s="103"/>
      <c r="AB151" s="103"/>
      <c r="AC151" s="103"/>
    </row>
    <row r="152" ht="15.75" customHeight="1">
      <c r="A152" s="100"/>
      <c r="B152" s="98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3"/>
      <c r="X152" s="103"/>
      <c r="Y152" s="103"/>
      <c r="Z152" s="103"/>
      <c r="AA152" s="103"/>
      <c r="AB152" s="103"/>
      <c r="AC152" s="103"/>
    </row>
    <row r="153" ht="15.75" customHeight="1">
      <c r="A153" s="100"/>
      <c r="B153" s="98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3"/>
      <c r="X153" s="103"/>
      <c r="Y153" s="103"/>
      <c r="Z153" s="103"/>
      <c r="AA153" s="103"/>
      <c r="AB153" s="103"/>
      <c r="AC153" s="103"/>
    </row>
    <row r="154" ht="15.75" customHeight="1">
      <c r="A154" s="100"/>
      <c r="B154" s="98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3"/>
      <c r="X154" s="103"/>
      <c r="Y154" s="103"/>
      <c r="Z154" s="103"/>
      <c r="AA154" s="103"/>
      <c r="AB154" s="103"/>
      <c r="AC154" s="103"/>
    </row>
    <row r="155" ht="15.75" customHeight="1">
      <c r="A155" s="100"/>
      <c r="B155" s="98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3"/>
      <c r="X155" s="103"/>
      <c r="Y155" s="103"/>
      <c r="Z155" s="103"/>
      <c r="AA155" s="103"/>
      <c r="AB155" s="103"/>
      <c r="AC155" s="103"/>
    </row>
    <row r="156" ht="15.75" customHeight="1">
      <c r="A156" s="100"/>
      <c r="B156" s="98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3"/>
      <c r="X156" s="103"/>
      <c r="Y156" s="103"/>
      <c r="Z156" s="103"/>
      <c r="AA156" s="103"/>
      <c r="AB156" s="103"/>
      <c r="AC156" s="103"/>
    </row>
    <row r="157" ht="15.75" customHeight="1">
      <c r="A157" s="100"/>
      <c r="B157" s="98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3"/>
      <c r="X157" s="103"/>
      <c r="Y157" s="103"/>
      <c r="Z157" s="103"/>
      <c r="AA157" s="103"/>
      <c r="AB157" s="103"/>
      <c r="AC157" s="103"/>
    </row>
    <row r="158" ht="15.75" customHeight="1">
      <c r="A158" s="100"/>
      <c r="B158" s="98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3"/>
      <c r="X158" s="103"/>
      <c r="Y158" s="103"/>
      <c r="Z158" s="103"/>
      <c r="AA158" s="103"/>
      <c r="AB158" s="103"/>
      <c r="AC158" s="103"/>
    </row>
    <row r="159" ht="15.75" customHeight="1">
      <c r="A159" s="100"/>
      <c r="B159" s="98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3"/>
      <c r="X159" s="103"/>
      <c r="Y159" s="103"/>
      <c r="Z159" s="103"/>
      <c r="AA159" s="103"/>
      <c r="AB159" s="103"/>
      <c r="AC159" s="103"/>
    </row>
    <row r="160" ht="15.75" customHeight="1">
      <c r="A160" s="100"/>
      <c r="B160" s="98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3"/>
      <c r="X160" s="103"/>
      <c r="Y160" s="103"/>
      <c r="Z160" s="103"/>
      <c r="AA160" s="103"/>
      <c r="AB160" s="103"/>
      <c r="AC160" s="103"/>
    </row>
    <row r="161" ht="15.75" customHeight="1">
      <c r="A161" s="100"/>
      <c r="B161" s="98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3"/>
      <c r="X161" s="103"/>
      <c r="Y161" s="103"/>
      <c r="Z161" s="103"/>
      <c r="AA161" s="103"/>
      <c r="AB161" s="103"/>
      <c r="AC161" s="103"/>
    </row>
    <row r="162" ht="15.75" customHeight="1">
      <c r="A162" s="100"/>
      <c r="B162" s="98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3"/>
      <c r="X162" s="103"/>
      <c r="Y162" s="103"/>
      <c r="Z162" s="103"/>
      <c r="AA162" s="103"/>
      <c r="AB162" s="103"/>
      <c r="AC162" s="103"/>
    </row>
    <row r="163" ht="15.75" customHeight="1">
      <c r="A163" s="100"/>
      <c r="B163" s="98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3"/>
      <c r="X163" s="103"/>
      <c r="Y163" s="103"/>
      <c r="Z163" s="103"/>
      <c r="AA163" s="103"/>
      <c r="AB163" s="103"/>
      <c r="AC163" s="103"/>
    </row>
    <row r="164" ht="15.75" customHeight="1">
      <c r="A164" s="100"/>
      <c r="B164" s="98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3"/>
      <c r="X164" s="103"/>
      <c r="Y164" s="103"/>
      <c r="Z164" s="103"/>
      <c r="AA164" s="103"/>
      <c r="AB164" s="103"/>
      <c r="AC164" s="103"/>
    </row>
    <row r="165" ht="15.75" customHeight="1">
      <c r="A165" s="100"/>
      <c r="B165" s="98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3"/>
      <c r="X165" s="103"/>
      <c r="Y165" s="103"/>
      <c r="Z165" s="103"/>
      <c r="AA165" s="103"/>
      <c r="AB165" s="103"/>
      <c r="AC165" s="103"/>
    </row>
    <row r="166" ht="15.75" customHeight="1">
      <c r="A166" s="100"/>
      <c r="B166" s="98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3"/>
      <c r="X166" s="103"/>
      <c r="Y166" s="103"/>
      <c r="Z166" s="103"/>
      <c r="AA166" s="103"/>
      <c r="AB166" s="103"/>
      <c r="AC166" s="103"/>
    </row>
    <row r="167" ht="15.75" customHeight="1">
      <c r="A167" s="100"/>
      <c r="B167" s="98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3"/>
      <c r="X167" s="103"/>
      <c r="Y167" s="103"/>
      <c r="Z167" s="103"/>
      <c r="AA167" s="103"/>
      <c r="AB167" s="103"/>
      <c r="AC167" s="103"/>
    </row>
    <row r="168" ht="15.75" customHeight="1">
      <c r="A168" s="100"/>
      <c r="B168" s="98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3"/>
      <c r="X168" s="103"/>
      <c r="Y168" s="103"/>
      <c r="Z168" s="103"/>
      <c r="AA168" s="103"/>
      <c r="AB168" s="103"/>
      <c r="AC168" s="103"/>
    </row>
    <row r="169" ht="15.75" customHeight="1">
      <c r="A169" s="100"/>
      <c r="B169" s="98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3"/>
      <c r="X169" s="103"/>
      <c r="Y169" s="103"/>
      <c r="Z169" s="103"/>
      <c r="AA169" s="103"/>
      <c r="AB169" s="103"/>
      <c r="AC169" s="103"/>
    </row>
    <row r="170" ht="15.75" customHeight="1">
      <c r="A170" s="100"/>
      <c r="B170" s="98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3"/>
      <c r="X170" s="103"/>
      <c r="Y170" s="103"/>
      <c r="Z170" s="103"/>
      <c r="AA170" s="103"/>
      <c r="AB170" s="103"/>
      <c r="AC170" s="103"/>
    </row>
    <row r="171" ht="15.75" customHeight="1">
      <c r="A171" s="100"/>
      <c r="B171" s="98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3"/>
      <c r="X171" s="103"/>
      <c r="Y171" s="103"/>
      <c r="Z171" s="103"/>
      <c r="AA171" s="103"/>
      <c r="AB171" s="103"/>
      <c r="AC171" s="103"/>
    </row>
    <row r="172" ht="15.75" customHeight="1">
      <c r="A172" s="100"/>
      <c r="B172" s="98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3"/>
      <c r="X172" s="103"/>
      <c r="Y172" s="103"/>
      <c r="Z172" s="103"/>
      <c r="AA172" s="103"/>
      <c r="AB172" s="103"/>
      <c r="AC172" s="103"/>
    </row>
    <row r="173" ht="15.75" customHeight="1">
      <c r="A173" s="100"/>
      <c r="B173" s="98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3"/>
      <c r="X173" s="103"/>
      <c r="Y173" s="103"/>
      <c r="Z173" s="103"/>
      <c r="AA173" s="103"/>
      <c r="AB173" s="103"/>
      <c r="AC173" s="103"/>
    </row>
    <row r="174" ht="15.75" customHeight="1">
      <c r="A174" s="100"/>
      <c r="B174" s="98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3"/>
      <c r="X174" s="103"/>
      <c r="Y174" s="103"/>
      <c r="Z174" s="103"/>
      <c r="AA174" s="103"/>
      <c r="AB174" s="103"/>
      <c r="AC174" s="103"/>
    </row>
    <row r="175" ht="15.75" customHeight="1">
      <c r="A175" s="100"/>
      <c r="B175" s="98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3"/>
      <c r="X175" s="103"/>
      <c r="Y175" s="103"/>
      <c r="Z175" s="103"/>
      <c r="AA175" s="103"/>
      <c r="AB175" s="103"/>
      <c r="AC175" s="103"/>
    </row>
    <row r="176" ht="15.75" customHeight="1">
      <c r="A176" s="100"/>
      <c r="B176" s="98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3"/>
      <c r="X176" s="103"/>
      <c r="Y176" s="103"/>
      <c r="Z176" s="103"/>
      <c r="AA176" s="103"/>
      <c r="AB176" s="103"/>
      <c r="AC176" s="103"/>
    </row>
    <row r="177" ht="15.75" customHeight="1">
      <c r="A177" s="100"/>
      <c r="B177" s="98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3"/>
      <c r="X177" s="103"/>
      <c r="Y177" s="103"/>
      <c r="Z177" s="103"/>
      <c r="AA177" s="103"/>
      <c r="AB177" s="103"/>
      <c r="AC177" s="103"/>
    </row>
    <row r="178" ht="15.75" customHeight="1">
      <c r="A178" s="100"/>
      <c r="B178" s="98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3"/>
      <c r="X178" s="103"/>
      <c r="Y178" s="103"/>
      <c r="Z178" s="103"/>
      <c r="AA178" s="103"/>
      <c r="AB178" s="103"/>
      <c r="AC178" s="103"/>
    </row>
    <row r="179" ht="15.75" customHeight="1">
      <c r="A179" s="100"/>
      <c r="B179" s="98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3"/>
      <c r="X179" s="103"/>
      <c r="Y179" s="103"/>
      <c r="Z179" s="103"/>
      <c r="AA179" s="103"/>
      <c r="AB179" s="103"/>
      <c r="AC179" s="103"/>
    </row>
    <row r="180" ht="15.75" customHeight="1">
      <c r="A180" s="100"/>
      <c r="B180" s="98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3"/>
      <c r="X180" s="103"/>
      <c r="Y180" s="103"/>
      <c r="Z180" s="103"/>
      <c r="AA180" s="103"/>
      <c r="AB180" s="103"/>
      <c r="AC180" s="103"/>
    </row>
    <row r="181" ht="15.75" customHeight="1">
      <c r="A181" s="100"/>
      <c r="B181" s="98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3"/>
      <c r="X181" s="103"/>
      <c r="Y181" s="103"/>
      <c r="Z181" s="103"/>
      <c r="AA181" s="103"/>
      <c r="AB181" s="103"/>
      <c r="AC181" s="103"/>
    </row>
    <row r="182" ht="15.75" customHeight="1">
      <c r="A182" s="100"/>
      <c r="B182" s="98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3"/>
      <c r="X182" s="103"/>
      <c r="Y182" s="103"/>
      <c r="Z182" s="103"/>
      <c r="AA182" s="103"/>
      <c r="AB182" s="103"/>
      <c r="AC182" s="103"/>
    </row>
    <row r="183" ht="15.75" customHeight="1">
      <c r="A183" s="100"/>
      <c r="B183" s="98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3"/>
      <c r="X183" s="103"/>
      <c r="Y183" s="103"/>
      <c r="Z183" s="103"/>
      <c r="AA183" s="103"/>
      <c r="AB183" s="103"/>
      <c r="AC183" s="103"/>
    </row>
    <row r="184" ht="15.75" customHeight="1">
      <c r="A184" s="100"/>
      <c r="B184" s="98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3"/>
      <c r="X184" s="103"/>
      <c r="Y184" s="103"/>
      <c r="Z184" s="103"/>
      <c r="AA184" s="103"/>
      <c r="AB184" s="103"/>
      <c r="AC184" s="103"/>
    </row>
    <row r="185" ht="15.75" customHeight="1">
      <c r="A185" s="100"/>
      <c r="B185" s="98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3"/>
      <c r="X185" s="103"/>
      <c r="Y185" s="103"/>
      <c r="Z185" s="103"/>
      <c r="AA185" s="103"/>
      <c r="AB185" s="103"/>
      <c r="AC185" s="103"/>
    </row>
    <row r="186" ht="15.75" customHeight="1">
      <c r="A186" s="100"/>
      <c r="B186" s="98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3"/>
      <c r="X186" s="103"/>
      <c r="Y186" s="103"/>
      <c r="Z186" s="103"/>
      <c r="AA186" s="103"/>
      <c r="AB186" s="103"/>
      <c r="AC186" s="103"/>
    </row>
    <row r="187" ht="15.75" customHeight="1">
      <c r="A187" s="100"/>
      <c r="B187" s="98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3"/>
      <c r="X187" s="103"/>
      <c r="Y187" s="103"/>
      <c r="Z187" s="103"/>
      <c r="AA187" s="103"/>
      <c r="AB187" s="103"/>
      <c r="AC187" s="103"/>
    </row>
    <row r="188" ht="15.75" customHeight="1">
      <c r="A188" s="100"/>
      <c r="B188" s="98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3"/>
      <c r="X188" s="103"/>
      <c r="Y188" s="103"/>
      <c r="Z188" s="103"/>
      <c r="AA188" s="103"/>
      <c r="AB188" s="103"/>
      <c r="AC188" s="103"/>
    </row>
    <row r="189" ht="15.75" customHeight="1">
      <c r="A189" s="100"/>
      <c r="B189" s="98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3"/>
      <c r="X189" s="103"/>
      <c r="Y189" s="103"/>
      <c r="Z189" s="103"/>
      <c r="AA189" s="103"/>
      <c r="AB189" s="103"/>
      <c r="AC189" s="103"/>
    </row>
    <row r="190" ht="15.75" customHeight="1">
      <c r="A190" s="100"/>
      <c r="B190" s="98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3"/>
      <c r="X190" s="103"/>
      <c r="Y190" s="103"/>
      <c r="Z190" s="103"/>
      <c r="AA190" s="103"/>
      <c r="AB190" s="103"/>
      <c r="AC190" s="103"/>
    </row>
    <row r="191" ht="15.75" customHeight="1">
      <c r="A191" s="100"/>
      <c r="B191" s="98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3"/>
      <c r="X191" s="103"/>
      <c r="Y191" s="103"/>
      <c r="Z191" s="103"/>
      <c r="AA191" s="103"/>
      <c r="AB191" s="103"/>
      <c r="AC191" s="103"/>
    </row>
    <row r="192" ht="15.75" customHeight="1">
      <c r="A192" s="100"/>
      <c r="B192" s="98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3"/>
      <c r="X192" s="103"/>
      <c r="Y192" s="103"/>
      <c r="Z192" s="103"/>
      <c r="AA192" s="103"/>
      <c r="AB192" s="103"/>
      <c r="AC192" s="103"/>
    </row>
    <row r="193" ht="15.75" customHeight="1">
      <c r="A193" s="100"/>
      <c r="B193" s="98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3"/>
      <c r="X193" s="103"/>
      <c r="Y193" s="103"/>
      <c r="Z193" s="103"/>
      <c r="AA193" s="103"/>
      <c r="AB193" s="103"/>
      <c r="AC193" s="103"/>
    </row>
    <row r="194" ht="15.75" customHeight="1">
      <c r="A194" s="100"/>
      <c r="B194" s="98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3"/>
      <c r="X194" s="103"/>
      <c r="Y194" s="103"/>
      <c r="Z194" s="103"/>
      <c r="AA194" s="103"/>
      <c r="AB194" s="103"/>
      <c r="AC194" s="103"/>
    </row>
    <row r="195" ht="15.75" customHeight="1">
      <c r="A195" s="100"/>
      <c r="B195" s="98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3"/>
      <c r="X195" s="103"/>
      <c r="Y195" s="103"/>
      <c r="Z195" s="103"/>
      <c r="AA195" s="103"/>
      <c r="AB195" s="103"/>
      <c r="AC195" s="103"/>
    </row>
    <row r="196" ht="15.75" customHeight="1">
      <c r="A196" s="100"/>
      <c r="B196" s="98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3"/>
      <c r="X196" s="103"/>
      <c r="Y196" s="103"/>
      <c r="Z196" s="103"/>
      <c r="AA196" s="103"/>
      <c r="AB196" s="103"/>
      <c r="AC196" s="103"/>
    </row>
    <row r="197" ht="15.75" customHeight="1">
      <c r="A197" s="100"/>
      <c r="B197" s="98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3"/>
      <c r="X197" s="103"/>
      <c r="Y197" s="103"/>
      <c r="Z197" s="103"/>
      <c r="AA197" s="103"/>
      <c r="AB197" s="103"/>
      <c r="AC197" s="103"/>
    </row>
    <row r="198" ht="15.75" customHeight="1">
      <c r="A198" s="100"/>
      <c r="B198" s="98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3"/>
      <c r="X198" s="103"/>
      <c r="Y198" s="103"/>
      <c r="Z198" s="103"/>
      <c r="AA198" s="103"/>
      <c r="AB198" s="103"/>
      <c r="AC198" s="103"/>
    </row>
    <row r="199" ht="15.75" customHeight="1">
      <c r="A199" s="100"/>
      <c r="B199" s="98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3"/>
      <c r="X199" s="103"/>
      <c r="Y199" s="103"/>
      <c r="Z199" s="103"/>
      <c r="AA199" s="103"/>
      <c r="AB199" s="103"/>
      <c r="AC199" s="103"/>
    </row>
    <row r="200" ht="15.75" customHeight="1">
      <c r="A200" s="100"/>
      <c r="B200" s="98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3"/>
      <c r="X200" s="103"/>
      <c r="Y200" s="103"/>
      <c r="Z200" s="103"/>
      <c r="AA200" s="103"/>
      <c r="AB200" s="103"/>
      <c r="AC200" s="103"/>
    </row>
    <row r="201" ht="15.75" customHeight="1">
      <c r="A201" s="100"/>
      <c r="B201" s="98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3"/>
      <c r="X201" s="103"/>
      <c r="Y201" s="103"/>
      <c r="Z201" s="103"/>
      <c r="AA201" s="103"/>
      <c r="AB201" s="103"/>
      <c r="AC201" s="103"/>
    </row>
    <row r="202" ht="15.75" customHeight="1">
      <c r="A202" s="100"/>
      <c r="B202" s="98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3"/>
      <c r="X202" s="103"/>
      <c r="Y202" s="103"/>
      <c r="Z202" s="103"/>
      <c r="AA202" s="103"/>
      <c r="AB202" s="103"/>
      <c r="AC202" s="103"/>
    </row>
    <row r="203" ht="15.75" customHeight="1">
      <c r="A203" s="100"/>
      <c r="B203" s="98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3"/>
      <c r="X203" s="103"/>
      <c r="Y203" s="103"/>
      <c r="Z203" s="103"/>
      <c r="AA203" s="103"/>
      <c r="AB203" s="103"/>
      <c r="AC203" s="103"/>
    </row>
    <row r="204" ht="15.75" customHeight="1">
      <c r="A204" s="100"/>
      <c r="B204" s="98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3"/>
      <c r="X204" s="103"/>
      <c r="Y204" s="103"/>
      <c r="Z204" s="103"/>
      <c r="AA204" s="103"/>
      <c r="AB204" s="103"/>
      <c r="AC204" s="103"/>
    </row>
    <row r="205" ht="15.75" customHeight="1">
      <c r="A205" s="100"/>
      <c r="B205" s="98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3"/>
      <c r="X205" s="103"/>
      <c r="Y205" s="103"/>
      <c r="Z205" s="103"/>
      <c r="AA205" s="103"/>
      <c r="AB205" s="103"/>
      <c r="AC205" s="103"/>
    </row>
    <row r="206" ht="15.75" customHeight="1">
      <c r="A206" s="100"/>
      <c r="B206" s="98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3"/>
      <c r="X206" s="103"/>
      <c r="Y206" s="103"/>
      <c r="Z206" s="103"/>
      <c r="AA206" s="103"/>
      <c r="AB206" s="103"/>
      <c r="AC206" s="103"/>
    </row>
    <row r="207" ht="15.75" customHeight="1">
      <c r="A207" s="100"/>
      <c r="B207" s="98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3"/>
      <c r="X207" s="103"/>
      <c r="Y207" s="103"/>
      <c r="Z207" s="103"/>
      <c r="AA207" s="103"/>
      <c r="AB207" s="103"/>
      <c r="AC207" s="103"/>
    </row>
    <row r="208" ht="15.75" customHeight="1">
      <c r="A208" s="100"/>
      <c r="B208" s="98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3"/>
      <c r="X208" s="103"/>
      <c r="Y208" s="103"/>
      <c r="Z208" s="103"/>
      <c r="AA208" s="103"/>
      <c r="AB208" s="103"/>
      <c r="AC208" s="103"/>
    </row>
    <row r="209" ht="15.75" customHeight="1">
      <c r="A209" s="100"/>
      <c r="B209" s="98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3"/>
      <c r="X209" s="103"/>
      <c r="Y209" s="103"/>
      <c r="Z209" s="103"/>
      <c r="AA209" s="103"/>
      <c r="AB209" s="103"/>
      <c r="AC209" s="103"/>
    </row>
    <row r="210" ht="15.75" customHeight="1">
      <c r="A210" s="100"/>
      <c r="B210" s="98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3"/>
      <c r="X210" s="103"/>
      <c r="Y210" s="103"/>
      <c r="Z210" s="103"/>
      <c r="AA210" s="103"/>
      <c r="AB210" s="103"/>
      <c r="AC210" s="103"/>
    </row>
    <row r="211" ht="15.75" customHeight="1">
      <c r="A211" s="100"/>
      <c r="B211" s="98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3"/>
      <c r="X211" s="103"/>
      <c r="Y211" s="103"/>
      <c r="Z211" s="103"/>
      <c r="AA211" s="103"/>
      <c r="AB211" s="103"/>
      <c r="AC211" s="103"/>
    </row>
    <row r="212" ht="15.75" customHeight="1">
      <c r="A212" s="100"/>
      <c r="B212" s="98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3"/>
      <c r="X212" s="103"/>
      <c r="Y212" s="103"/>
      <c r="Z212" s="103"/>
      <c r="AA212" s="103"/>
      <c r="AB212" s="103"/>
      <c r="AC212" s="103"/>
    </row>
    <row r="213" ht="15.75" customHeight="1">
      <c r="A213" s="100"/>
      <c r="B213" s="98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3"/>
      <c r="X213" s="103"/>
      <c r="Y213" s="103"/>
      <c r="Z213" s="103"/>
      <c r="AA213" s="103"/>
      <c r="AB213" s="103"/>
      <c r="AC213" s="103"/>
    </row>
    <row r="214" ht="15.75" customHeight="1">
      <c r="A214" s="100"/>
      <c r="B214" s="98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3"/>
      <c r="X214" s="103"/>
      <c r="Y214" s="103"/>
      <c r="Z214" s="103"/>
      <c r="AA214" s="103"/>
      <c r="AB214" s="103"/>
      <c r="AC214" s="103"/>
    </row>
    <row r="215" ht="15.75" customHeight="1">
      <c r="A215" s="100"/>
      <c r="B215" s="98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3"/>
      <c r="X215" s="103"/>
      <c r="Y215" s="103"/>
      <c r="Z215" s="103"/>
      <c r="AA215" s="103"/>
      <c r="AB215" s="103"/>
      <c r="AC215" s="103"/>
    </row>
    <row r="216" ht="15.75" customHeight="1">
      <c r="A216" s="100"/>
      <c r="B216" s="98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3"/>
      <c r="X216" s="103"/>
      <c r="Y216" s="103"/>
      <c r="Z216" s="103"/>
      <c r="AA216" s="103"/>
      <c r="AB216" s="103"/>
      <c r="AC216" s="103"/>
    </row>
    <row r="217" ht="15.75" customHeight="1">
      <c r="A217" s="100"/>
      <c r="B217" s="98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3"/>
      <c r="X217" s="103"/>
      <c r="Y217" s="103"/>
      <c r="Z217" s="103"/>
      <c r="AA217" s="103"/>
      <c r="AB217" s="103"/>
      <c r="AC217" s="103"/>
    </row>
    <row r="218" ht="15.75" customHeight="1">
      <c r="A218" s="100"/>
      <c r="B218" s="98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3"/>
      <c r="X218" s="103"/>
      <c r="Y218" s="103"/>
      <c r="Z218" s="103"/>
      <c r="AA218" s="103"/>
      <c r="AB218" s="103"/>
      <c r="AC218" s="103"/>
    </row>
    <row r="219" ht="15.75" customHeight="1">
      <c r="A219" s="100"/>
      <c r="B219" s="98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3"/>
      <c r="X219" s="103"/>
      <c r="Y219" s="103"/>
      <c r="Z219" s="103"/>
      <c r="AA219" s="103"/>
      <c r="AB219" s="103"/>
      <c r="AC219" s="103"/>
    </row>
    <row r="220" ht="15.75" customHeight="1">
      <c r="A220" s="100"/>
      <c r="B220" s="98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3"/>
      <c r="X220" s="103"/>
      <c r="Y220" s="103"/>
      <c r="Z220" s="103"/>
      <c r="AA220" s="103"/>
      <c r="AB220" s="103"/>
      <c r="AC220" s="103"/>
    </row>
    <row r="221" ht="15.75" customHeight="1">
      <c r="A221" s="100"/>
      <c r="B221" s="98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3"/>
      <c r="X221" s="103"/>
      <c r="Y221" s="103"/>
      <c r="Z221" s="103"/>
      <c r="AA221" s="103"/>
      <c r="AB221" s="103"/>
      <c r="AC221" s="103"/>
    </row>
    <row r="222" ht="15.75" customHeight="1">
      <c r="A222" s="100"/>
      <c r="B222" s="98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3"/>
      <c r="X222" s="103"/>
      <c r="Y222" s="103"/>
      <c r="Z222" s="103"/>
      <c r="AA222" s="103"/>
      <c r="AB222" s="103"/>
      <c r="AC222" s="103"/>
    </row>
    <row r="223" ht="15.75" customHeight="1">
      <c r="A223" s="100"/>
      <c r="B223" s="98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3"/>
      <c r="X223" s="103"/>
      <c r="Y223" s="103"/>
      <c r="Z223" s="103"/>
      <c r="AA223" s="103"/>
      <c r="AB223" s="103"/>
      <c r="AC223" s="103"/>
    </row>
    <row r="224" ht="15.75" customHeight="1">
      <c r="A224" s="100"/>
      <c r="B224" s="98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3"/>
      <c r="X224" s="103"/>
      <c r="Y224" s="103"/>
      <c r="Z224" s="103"/>
      <c r="AA224" s="103"/>
      <c r="AB224" s="103"/>
      <c r="AC224" s="103"/>
    </row>
    <row r="225" ht="15.75" customHeight="1">
      <c r="A225" s="100"/>
      <c r="B225" s="98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3"/>
      <c r="X225" s="103"/>
      <c r="Y225" s="103"/>
      <c r="Z225" s="103"/>
      <c r="AA225" s="103"/>
      <c r="AB225" s="103"/>
      <c r="AC225" s="103"/>
    </row>
    <row r="226" ht="15.75" customHeight="1">
      <c r="A226" s="100"/>
      <c r="B226" s="98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3"/>
      <c r="X226" s="103"/>
      <c r="Y226" s="103"/>
      <c r="Z226" s="103"/>
      <c r="AA226" s="103"/>
      <c r="AB226" s="103"/>
      <c r="AC226" s="103"/>
    </row>
    <row r="227" ht="15.75" customHeight="1">
      <c r="A227" s="100"/>
      <c r="B227" s="98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3"/>
      <c r="X227" s="103"/>
      <c r="Y227" s="103"/>
      <c r="Z227" s="103"/>
      <c r="AA227" s="103"/>
      <c r="AB227" s="103"/>
      <c r="AC227" s="103"/>
    </row>
    <row r="228" ht="15.75" customHeight="1">
      <c r="A228" s="100"/>
      <c r="B228" s="98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3"/>
      <c r="X228" s="103"/>
      <c r="Y228" s="103"/>
      <c r="Z228" s="103"/>
      <c r="AA228" s="103"/>
      <c r="AB228" s="103"/>
      <c r="AC228" s="103"/>
    </row>
    <row r="229" ht="15.75" customHeight="1">
      <c r="A229" s="100"/>
      <c r="B229" s="98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3"/>
      <c r="X229" s="103"/>
      <c r="Y229" s="103"/>
      <c r="Z229" s="103"/>
      <c r="AA229" s="103"/>
      <c r="AB229" s="103"/>
      <c r="AC229" s="103"/>
    </row>
    <row r="230" ht="15.75" customHeight="1">
      <c r="A230" s="100"/>
      <c r="B230" s="98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3"/>
      <c r="X230" s="103"/>
      <c r="Y230" s="103"/>
      <c r="Z230" s="103"/>
      <c r="AA230" s="103"/>
      <c r="AB230" s="103"/>
      <c r="AC230" s="103"/>
    </row>
    <row r="231" ht="15.75" customHeight="1">
      <c r="A231" s="100"/>
      <c r="B231" s="98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3"/>
      <c r="X231" s="103"/>
      <c r="Y231" s="103"/>
      <c r="Z231" s="103"/>
      <c r="AA231" s="103"/>
      <c r="AB231" s="103"/>
      <c r="AC231" s="103"/>
    </row>
    <row r="232" ht="15.75" customHeight="1">
      <c r="A232" s="100"/>
      <c r="B232" s="98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3"/>
      <c r="X232" s="103"/>
      <c r="Y232" s="103"/>
      <c r="Z232" s="103"/>
      <c r="AA232" s="103"/>
      <c r="AB232" s="103"/>
      <c r="AC232" s="103"/>
    </row>
    <row r="233" ht="15.75" customHeight="1">
      <c r="A233" s="100"/>
      <c r="B233" s="98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3"/>
      <c r="X233" s="103"/>
      <c r="Y233" s="103"/>
      <c r="Z233" s="103"/>
      <c r="AA233" s="103"/>
      <c r="AB233" s="103"/>
      <c r="AC233" s="103"/>
    </row>
    <row r="234" ht="15.75" customHeight="1">
      <c r="A234" s="100"/>
      <c r="B234" s="98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3"/>
      <c r="X234" s="103"/>
      <c r="Y234" s="103"/>
      <c r="Z234" s="103"/>
      <c r="AA234" s="103"/>
      <c r="AB234" s="103"/>
      <c r="AC234" s="103"/>
    </row>
    <row r="235" ht="15.75" customHeight="1">
      <c r="A235" s="100"/>
      <c r="B235" s="98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3"/>
      <c r="X235" s="103"/>
      <c r="Y235" s="103"/>
      <c r="Z235" s="103"/>
      <c r="AA235" s="103"/>
      <c r="AB235" s="103"/>
      <c r="AC235" s="103"/>
    </row>
    <row r="236" ht="15.75" customHeight="1">
      <c r="A236" s="100"/>
      <c r="B236" s="98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3"/>
      <c r="X236" s="103"/>
      <c r="Y236" s="103"/>
      <c r="Z236" s="103"/>
      <c r="AA236" s="103"/>
      <c r="AB236" s="103"/>
      <c r="AC236" s="103"/>
    </row>
    <row r="237" ht="15.75" customHeight="1">
      <c r="A237" s="100"/>
      <c r="B237" s="98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3"/>
      <c r="X237" s="103"/>
      <c r="Y237" s="103"/>
      <c r="Z237" s="103"/>
      <c r="AA237" s="103"/>
      <c r="AB237" s="103"/>
      <c r="AC237" s="103"/>
    </row>
    <row r="238" ht="15.75" customHeight="1">
      <c r="A238" s="100"/>
      <c r="B238" s="98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3"/>
      <c r="X238" s="103"/>
      <c r="Y238" s="103"/>
      <c r="Z238" s="103"/>
      <c r="AA238" s="103"/>
      <c r="AB238" s="103"/>
      <c r="AC238" s="103"/>
    </row>
    <row r="239" ht="15.75" customHeight="1">
      <c r="A239" s="100"/>
      <c r="B239" s="98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3"/>
      <c r="X239" s="103"/>
      <c r="Y239" s="103"/>
      <c r="Z239" s="103"/>
      <c r="AA239" s="103"/>
      <c r="AB239" s="103"/>
      <c r="AC239" s="103"/>
    </row>
    <row r="240" ht="15.75" customHeight="1">
      <c r="A240" s="100"/>
      <c r="B240" s="98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3"/>
      <c r="X240" s="103"/>
      <c r="Y240" s="103"/>
      <c r="Z240" s="103"/>
      <c r="AA240" s="103"/>
      <c r="AB240" s="103"/>
      <c r="AC240" s="103"/>
    </row>
    <row r="241" ht="15.75" customHeight="1">
      <c r="A241" s="100"/>
      <c r="B241" s="98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3"/>
      <c r="X241" s="103"/>
      <c r="Y241" s="103"/>
      <c r="Z241" s="103"/>
      <c r="AA241" s="103"/>
      <c r="AB241" s="103"/>
      <c r="AC241" s="103"/>
    </row>
    <row r="242" ht="15.75" customHeight="1">
      <c r="A242" s="100"/>
      <c r="B242" s="98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3"/>
      <c r="X242" s="103"/>
      <c r="Y242" s="103"/>
      <c r="Z242" s="103"/>
      <c r="AA242" s="103"/>
      <c r="AB242" s="103"/>
      <c r="AC242" s="103"/>
    </row>
    <row r="243" ht="15.75" customHeight="1">
      <c r="A243" s="100"/>
      <c r="B243" s="98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3"/>
      <c r="X243" s="103"/>
      <c r="Y243" s="103"/>
      <c r="Z243" s="103"/>
      <c r="AA243" s="103"/>
      <c r="AB243" s="103"/>
      <c r="AC243" s="103"/>
    </row>
    <row r="244" ht="15.75" customHeight="1">
      <c r="A244" s="100"/>
      <c r="B244" s="98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3"/>
      <c r="X244" s="103"/>
      <c r="Y244" s="103"/>
      <c r="Z244" s="103"/>
      <c r="AA244" s="103"/>
      <c r="AB244" s="103"/>
      <c r="AC244" s="103"/>
    </row>
    <row r="245" ht="15.75" customHeight="1">
      <c r="A245" s="100"/>
      <c r="B245" s="98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3"/>
      <c r="X245" s="103"/>
      <c r="Y245" s="103"/>
      <c r="Z245" s="103"/>
      <c r="AA245" s="103"/>
      <c r="AB245" s="103"/>
      <c r="AC245" s="103"/>
    </row>
    <row r="246" ht="15.75" customHeight="1">
      <c r="A246" s="100"/>
      <c r="B246" s="98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3"/>
      <c r="X246" s="103"/>
      <c r="Y246" s="103"/>
      <c r="Z246" s="103"/>
      <c r="AA246" s="103"/>
      <c r="AB246" s="103"/>
      <c r="AC246" s="103"/>
    </row>
    <row r="247" ht="15.75" customHeight="1">
      <c r="A247" s="100"/>
      <c r="B247" s="98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3"/>
      <c r="X247" s="103"/>
      <c r="Y247" s="103"/>
      <c r="Z247" s="103"/>
      <c r="AA247" s="103"/>
      <c r="AB247" s="103"/>
      <c r="AC247" s="103"/>
    </row>
    <row r="248" ht="15.75" customHeight="1">
      <c r="A248" s="100"/>
      <c r="B248" s="98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3"/>
      <c r="X248" s="103"/>
      <c r="Y248" s="103"/>
      <c r="Z248" s="103"/>
      <c r="AA248" s="103"/>
      <c r="AB248" s="103"/>
      <c r="AC248" s="103"/>
    </row>
    <row r="249" ht="15.75" customHeight="1">
      <c r="A249" s="100"/>
      <c r="B249" s="98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3"/>
      <c r="X249" s="103"/>
      <c r="Y249" s="103"/>
      <c r="Z249" s="103"/>
      <c r="AA249" s="103"/>
      <c r="AB249" s="103"/>
      <c r="AC249" s="103"/>
    </row>
    <row r="250" ht="15.75" customHeight="1">
      <c r="A250" s="100"/>
      <c r="B250" s="98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3"/>
      <c r="X250" s="103"/>
      <c r="Y250" s="103"/>
      <c r="Z250" s="103"/>
      <c r="AA250" s="103"/>
      <c r="AB250" s="103"/>
      <c r="AC250" s="103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4.75"/>
    <col customWidth="1" min="3" max="3" width="6.75"/>
    <col customWidth="1" min="4" max="4" width="24.38"/>
    <col customWidth="1" min="5" max="6" width="6.13"/>
    <col customWidth="1" min="7" max="7" width="8.13"/>
    <col customWidth="1" min="8" max="8" width="8.5"/>
    <col customWidth="1" min="9" max="9" width="8.0"/>
    <col customWidth="1" min="10" max="10" width="30.13"/>
    <col customWidth="1" min="11" max="11" width="5.63"/>
    <col customWidth="1" min="12" max="12" width="9.88"/>
    <col customWidth="1" min="13" max="13" width="7.5"/>
    <col customWidth="1" min="14" max="14" width="7.13"/>
    <col customWidth="1" min="15" max="15" width="6.25"/>
  </cols>
  <sheetData>
    <row r="1" ht="15.75" customHeight="1">
      <c r="A1" s="105" t="s">
        <v>6512</v>
      </c>
      <c r="B1" s="106" t="s">
        <v>32</v>
      </c>
      <c r="C1" s="107" t="s">
        <v>6367</v>
      </c>
      <c r="D1" s="106" t="s">
        <v>33</v>
      </c>
      <c r="E1" s="108" t="s">
        <v>34</v>
      </c>
      <c r="F1" s="109" t="s">
        <v>3</v>
      </c>
      <c r="G1" s="106" t="s">
        <v>6513</v>
      </c>
      <c r="H1" s="106" t="s">
        <v>6514</v>
      </c>
      <c r="I1" s="106" t="s">
        <v>6499</v>
      </c>
      <c r="J1" s="106" t="s">
        <v>6425</v>
      </c>
      <c r="K1" s="105" t="s">
        <v>6503</v>
      </c>
      <c r="L1" s="105" t="s">
        <v>6515</v>
      </c>
      <c r="M1" s="105" t="s">
        <v>6516</v>
      </c>
      <c r="N1" s="105" t="s">
        <v>6517</v>
      </c>
      <c r="O1" s="105" t="s">
        <v>6518</v>
      </c>
    </row>
    <row r="2" ht="15.75" customHeight="1">
      <c r="A2" s="110" t="str">
        <f t="shared" ref="A2:A366" si="1">B2&amp;F2</f>
        <v>1570244621</v>
      </c>
      <c r="B2" s="111">
        <v>15702.0</v>
      </c>
      <c r="C2" s="112">
        <v>0.3333333333333333</v>
      </c>
      <c r="D2" s="111" t="s">
        <v>4067</v>
      </c>
      <c r="E2" s="113">
        <v>25899.0</v>
      </c>
      <c r="F2" s="114">
        <v>44621.0</v>
      </c>
      <c r="G2" s="111" t="s">
        <v>6519</v>
      </c>
      <c r="H2" s="111" t="s">
        <v>6520</v>
      </c>
      <c r="I2" s="111" t="s">
        <v>6521</v>
      </c>
      <c r="J2" s="111" t="s">
        <v>6414</v>
      </c>
      <c r="K2" s="115"/>
      <c r="L2" s="115" t="s">
        <v>6522</v>
      </c>
      <c r="M2" s="115" t="b">
        <f>IFS($A2=FALSE,"", countif(VLOOKUP($B2,'MARCH 2022'!C:C,1,FALSE),$B2)&gt;=1,TRUE,countif(VLOOKUP($B2,'MARCH 2022'!C:C,1,FALSE),$B2)=0,FALSE)</f>
        <v>1</v>
      </c>
      <c r="N2" s="115" t="b">
        <f>IFS($A2=FALSE,"", countif(VLOOKUP($A2,'MARCH 2022'!A:A,1,FALSE),$A2)&gt;=1,TRUE,countif(VLOOKUP($A2,'MARCH 2022'!A:A,1,FALSE),$A2)=0,FALSE)</f>
        <v>1</v>
      </c>
      <c r="O2" s="111" t="str">
        <f t="shared" ref="O2:O72" si="2">IF((countif($A$2:$A366,$A2)&gt;1),"Repeat"," ")</f>
        <v> </v>
      </c>
    </row>
    <row r="3" ht="15.75" customHeight="1">
      <c r="A3" s="110" t="str">
        <f t="shared" si="1"/>
        <v>1320544621</v>
      </c>
      <c r="B3" s="111">
        <v>13205.0</v>
      </c>
      <c r="C3" s="112">
        <v>0.375</v>
      </c>
      <c r="D3" s="111" t="s">
        <v>2049</v>
      </c>
      <c r="E3" s="113">
        <v>30581.0</v>
      </c>
      <c r="F3" s="114">
        <v>44621.0</v>
      </c>
      <c r="G3" s="111" t="s">
        <v>6523</v>
      </c>
      <c r="H3" s="111" t="s">
        <v>6520</v>
      </c>
      <c r="I3" s="111" t="s">
        <v>6524</v>
      </c>
      <c r="J3" s="111" t="s">
        <v>6444</v>
      </c>
      <c r="K3" s="115"/>
      <c r="L3" s="115" t="s">
        <v>6522</v>
      </c>
      <c r="M3" s="115" t="b">
        <f>IFS($A3=FALSE,"", countif(VLOOKUP($B3,'MARCH 2022'!C:C,1,FALSE),$B3)&gt;=1,TRUE,countif(VLOOKUP($B3,'MARCH 2022'!C:C,1,FALSE),$B3)=0,FALSE)</f>
        <v>1</v>
      </c>
      <c r="N3" s="115" t="b">
        <f>IFS($A3=FALSE,"", countif(VLOOKUP($A3,'MARCH 2022'!A:A,1,FALSE),$A3)&gt;=1,TRUE,countif(VLOOKUP($A3,'MARCH 2022'!A:A,1,FALSE),$A3)=0,FALSE)</f>
        <v>1</v>
      </c>
      <c r="O3" s="111" t="str">
        <f t="shared" si="2"/>
        <v> </v>
      </c>
    </row>
    <row r="4" ht="15.75" customHeight="1">
      <c r="A4" s="110" t="str">
        <f t="shared" si="1"/>
        <v>1116344621</v>
      </c>
      <c r="B4" s="111">
        <v>11163.0</v>
      </c>
      <c r="C4" s="112">
        <v>0.375</v>
      </c>
      <c r="D4" s="111" t="s">
        <v>839</v>
      </c>
      <c r="E4" s="113">
        <v>28099.0</v>
      </c>
      <c r="F4" s="114">
        <v>44621.0</v>
      </c>
      <c r="G4" s="111" t="s">
        <v>6523</v>
      </c>
      <c r="H4" s="111" t="s">
        <v>6520</v>
      </c>
      <c r="I4" s="111" t="s">
        <v>6521</v>
      </c>
      <c r="J4" s="111" t="s">
        <v>6444</v>
      </c>
      <c r="K4" s="115"/>
      <c r="L4" s="115" t="s">
        <v>6522</v>
      </c>
      <c r="M4" s="115" t="b">
        <f>IFS($A4=FALSE,"", countif(VLOOKUP($B4,'MARCH 2022'!C:C,1,FALSE),$B4)&gt;=1,TRUE,countif(VLOOKUP($B4,'MARCH 2022'!C:C,1,FALSE),$B4)=0,FALSE)</f>
        <v>1</v>
      </c>
      <c r="N4" s="115" t="b">
        <f>IFS($A4=FALSE,"", countif(VLOOKUP($A4,'MARCH 2022'!A:A,1,FALSE),$A4)&gt;=1,TRUE,countif(VLOOKUP($A4,'MARCH 2022'!A:A,1,FALSE),$A4)=0,FALSE)</f>
        <v>1</v>
      </c>
      <c r="O4" s="111" t="str">
        <f t="shared" si="2"/>
        <v> </v>
      </c>
    </row>
    <row r="5" ht="15.75" customHeight="1">
      <c r="A5" s="110" t="str">
        <f t="shared" si="1"/>
        <v>1801144621</v>
      </c>
      <c r="B5" s="111">
        <v>18011.0</v>
      </c>
      <c r="C5" s="112">
        <v>0.3958333333333333</v>
      </c>
      <c r="D5" s="111" t="s">
        <v>6168</v>
      </c>
      <c r="E5" s="113">
        <v>20295.0</v>
      </c>
      <c r="F5" s="114">
        <v>44621.0</v>
      </c>
      <c r="G5" s="111" t="s">
        <v>6525</v>
      </c>
      <c r="H5" s="111" t="s">
        <v>6526</v>
      </c>
      <c r="I5" s="111" t="s">
        <v>6527</v>
      </c>
      <c r="J5" s="111" t="s">
        <v>6477</v>
      </c>
      <c r="K5" s="115"/>
      <c r="L5" s="115" t="s">
        <v>6522</v>
      </c>
      <c r="M5" s="115" t="b">
        <f>IFS($A5=FALSE,"", countif(VLOOKUP($B5,'MARCH 2022'!C:C,1,FALSE),$B5)&gt;=1,TRUE,countif(VLOOKUP($B5,'MARCH 2022'!C:C,1,FALSE),$B5)=0,FALSE)</f>
        <v>1</v>
      </c>
      <c r="N5" s="115" t="b">
        <f>IFS($A5=FALSE,"", countif(VLOOKUP($A5,'MARCH 2022'!A:A,1,FALSE),$A5)&gt;=1,TRUE,countif(VLOOKUP($A5,'MARCH 2022'!A:A,1,FALSE),$A5)=0,FALSE)</f>
        <v>1</v>
      </c>
      <c r="O5" s="111" t="str">
        <f t="shared" si="2"/>
        <v> </v>
      </c>
    </row>
    <row r="6" ht="15.75" customHeight="1">
      <c r="A6" s="110" t="str">
        <f t="shared" si="1"/>
        <v>1818244621</v>
      </c>
      <c r="B6" s="111">
        <v>18182.0</v>
      </c>
      <c r="C6" s="112">
        <v>0.3958333333333333</v>
      </c>
      <c r="D6" s="111" t="s">
        <v>6277</v>
      </c>
      <c r="E6" s="113">
        <v>26922.0</v>
      </c>
      <c r="F6" s="114">
        <v>44621.0</v>
      </c>
      <c r="G6" s="111" t="s">
        <v>6525</v>
      </c>
      <c r="H6" s="111" t="s">
        <v>6526</v>
      </c>
      <c r="I6" s="111" t="s">
        <v>6527</v>
      </c>
      <c r="J6" s="111" t="s">
        <v>6407</v>
      </c>
      <c r="K6" s="115"/>
      <c r="L6" s="115" t="s">
        <v>6522</v>
      </c>
      <c r="M6" s="115" t="b">
        <f>IFS($A6=FALSE,"", countif(VLOOKUP($B6,'MARCH 2022'!C:C,1,FALSE),$B6)&gt;=1,TRUE,countif(VLOOKUP($B6,'MARCH 2022'!C:C,1,FALSE),$B6)=0,FALSE)</f>
        <v>1</v>
      </c>
      <c r="N6" s="115" t="b">
        <f>IFS($A6=FALSE,"", countif(VLOOKUP($A6,'MARCH 2022'!A:A,1,FALSE),$A6)&gt;=1,TRUE,countif(VLOOKUP($A6,'MARCH 2022'!A:A,1,FALSE),$A6)=0,FALSE)</f>
        <v>1</v>
      </c>
      <c r="O6" s="111" t="str">
        <f t="shared" si="2"/>
        <v> </v>
      </c>
    </row>
    <row r="7" ht="15.75" customHeight="1">
      <c r="A7" s="110" t="str">
        <f t="shared" si="1"/>
        <v>1103744621</v>
      </c>
      <c r="B7" s="111">
        <v>11037.0</v>
      </c>
      <c r="C7" s="112">
        <v>0.3958333333333333</v>
      </c>
      <c r="D7" s="111" t="s">
        <v>776</v>
      </c>
      <c r="E7" s="113">
        <v>30904.0</v>
      </c>
      <c r="F7" s="114">
        <v>44621.0</v>
      </c>
      <c r="G7" s="111" t="s">
        <v>6519</v>
      </c>
      <c r="H7" s="111" t="s">
        <v>6520</v>
      </c>
      <c r="I7" s="111" t="s">
        <v>6524</v>
      </c>
      <c r="J7" s="111" t="s">
        <v>6379</v>
      </c>
      <c r="K7" s="115"/>
      <c r="L7" s="115" t="s">
        <v>6522</v>
      </c>
      <c r="M7" s="115" t="b">
        <f>IFS($A7=FALSE,"", countif(VLOOKUP($B7,'MARCH 2022'!C:C,1,FALSE),$B7)&gt;=1,TRUE,countif(VLOOKUP($B7,'MARCH 2022'!C:C,1,FALSE),$B7)=0,FALSE)</f>
        <v>1</v>
      </c>
      <c r="N7" s="115" t="b">
        <f>IFS($A7=FALSE,"", countif(VLOOKUP($A7,'MARCH 2022'!A:A,1,FALSE),$A7)&gt;=1,TRUE,countif(VLOOKUP($A7,'MARCH 2022'!A:A,1,FALSE),$A7)=0,FALSE)</f>
        <v>1</v>
      </c>
      <c r="O7" s="111" t="str">
        <f t="shared" si="2"/>
        <v> </v>
      </c>
    </row>
    <row r="8" ht="15.75" customHeight="1">
      <c r="A8" s="110" t="str">
        <f t="shared" si="1"/>
        <v>1182744621</v>
      </c>
      <c r="B8" s="111">
        <v>11827.0</v>
      </c>
      <c r="C8" s="112">
        <v>0.4166666666666667</v>
      </c>
      <c r="D8" s="111" t="s">
        <v>1128</v>
      </c>
      <c r="E8" s="113">
        <v>30145.0</v>
      </c>
      <c r="F8" s="114">
        <v>44621.0</v>
      </c>
      <c r="G8" s="111" t="s">
        <v>6519</v>
      </c>
      <c r="H8" s="111" t="s">
        <v>6520</v>
      </c>
      <c r="I8" s="111" t="s">
        <v>6524</v>
      </c>
      <c r="J8" s="111" t="s">
        <v>6416</v>
      </c>
      <c r="K8" s="115"/>
      <c r="L8" s="115" t="s">
        <v>6522</v>
      </c>
      <c r="M8" s="115" t="b">
        <f>IFS($A8=FALSE,"", countif(VLOOKUP($B8,'MARCH 2022'!C:C,1,FALSE),$B8)&gt;=1,TRUE,countif(VLOOKUP($B8,'MARCH 2022'!C:C,1,FALSE),$B8)=0,FALSE)</f>
        <v>1</v>
      </c>
      <c r="N8" s="115" t="b">
        <f>IFS($A8=FALSE,"", countif(VLOOKUP($A8,'MARCH 2022'!A:A,1,FALSE),$A8)&gt;=1,TRUE,countif(VLOOKUP($A8,'MARCH 2022'!A:A,1,FALSE),$A8)=0,FALSE)</f>
        <v>1</v>
      </c>
      <c r="O8" s="111" t="str">
        <f t="shared" si="2"/>
        <v> </v>
      </c>
    </row>
    <row r="9" ht="15.75" customHeight="1">
      <c r="A9" s="110" t="str">
        <f t="shared" si="1"/>
        <v>1177344621</v>
      </c>
      <c r="B9" s="111">
        <v>11773.0</v>
      </c>
      <c r="C9" s="112">
        <v>0.4166666666666667</v>
      </c>
      <c r="D9" s="111" t="s">
        <v>1103</v>
      </c>
      <c r="E9" s="113">
        <v>32461.0</v>
      </c>
      <c r="F9" s="114">
        <v>44621.0</v>
      </c>
      <c r="G9" s="111" t="s">
        <v>6523</v>
      </c>
      <c r="H9" s="111" t="s">
        <v>6520</v>
      </c>
      <c r="I9" s="111" t="s">
        <v>6521</v>
      </c>
      <c r="J9" s="111" t="s">
        <v>6407</v>
      </c>
      <c r="K9" s="115"/>
      <c r="L9" s="115" t="s">
        <v>6522</v>
      </c>
      <c r="M9" s="115" t="b">
        <f>IFS($A9=FALSE,"", countif(VLOOKUP($B9,'MARCH 2022'!C:C,1,FALSE),$B9)&gt;=1,TRUE,countif(VLOOKUP($B9,'MARCH 2022'!C:C,1,FALSE),$B9)=0,FALSE)</f>
        <v>1</v>
      </c>
      <c r="N9" s="115" t="b">
        <f>IFS($A9=FALSE,"", countif(VLOOKUP($A9,'MARCH 2022'!A:A,1,FALSE),$A9)&gt;=1,TRUE,countif(VLOOKUP($A9,'MARCH 2022'!A:A,1,FALSE),$A9)=0,FALSE)</f>
        <v>1</v>
      </c>
      <c r="O9" s="111" t="str">
        <f t="shared" si="2"/>
        <v> </v>
      </c>
    </row>
    <row r="10" ht="15.75" customHeight="1">
      <c r="A10" s="110" t="str">
        <f t="shared" si="1"/>
        <v>1621944621</v>
      </c>
      <c r="B10" s="111">
        <v>16219.0</v>
      </c>
      <c r="C10" s="112">
        <v>0.4270833333333333</v>
      </c>
      <c r="D10" s="111" t="s">
        <v>4521</v>
      </c>
      <c r="E10" s="113">
        <v>24090.0</v>
      </c>
      <c r="F10" s="114">
        <v>44621.0</v>
      </c>
      <c r="G10" s="111" t="s">
        <v>6523</v>
      </c>
      <c r="H10" s="111" t="s">
        <v>6520</v>
      </c>
      <c r="I10" s="111" t="s">
        <v>6521</v>
      </c>
      <c r="J10" s="111" t="s">
        <v>6477</v>
      </c>
      <c r="K10" s="115"/>
      <c r="L10" s="115" t="s">
        <v>6522</v>
      </c>
      <c r="M10" s="115" t="b">
        <f>IFS($A10=FALSE,"", countif(VLOOKUP($B10,'MARCH 2022'!C:C,1,FALSE),$B10)&gt;=1,TRUE,countif(VLOOKUP($B10,'MARCH 2022'!C:C,1,FALSE),$B10)=0,FALSE)</f>
        <v>1</v>
      </c>
      <c r="N10" s="115" t="b">
        <f>IFS($A10=FALSE,"", countif(VLOOKUP($A10,'MARCH 2022'!A:A,1,FALSE),$A10)&gt;=1,TRUE,countif(VLOOKUP($A10,'MARCH 2022'!A:A,1,FALSE),$A10)=0,FALSE)</f>
        <v>1</v>
      </c>
      <c r="O10" s="111" t="str">
        <f t="shared" si="2"/>
        <v> </v>
      </c>
    </row>
    <row r="11" ht="15.75" customHeight="1">
      <c r="A11" s="110" t="str">
        <f t="shared" si="1"/>
        <v>921844621</v>
      </c>
      <c r="B11" s="111">
        <v>9218.0</v>
      </c>
      <c r="C11" s="112">
        <v>0.4375</v>
      </c>
      <c r="D11" s="111" t="s">
        <v>83</v>
      </c>
      <c r="E11" s="113">
        <v>25746.0</v>
      </c>
      <c r="F11" s="114">
        <v>44621.0</v>
      </c>
      <c r="G11" s="111" t="s">
        <v>6523</v>
      </c>
      <c r="H11" s="111" t="s">
        <v>6520</v>
      </c>
      <c r="I11" s="111" t="s">
        <v>6524</v>
      </c>
      <c r="J11" s="111" t="s">
        <v>6373</v>
      </c>
      <c r="K11" s="115"/>
      <c r="L11" s="115" t="s">
        <v>6522</v>
      </c>
      <c r="M11" s="115" t="b">
        <f>IFS($A11=FALSE,"", countif(VLOOKUP($B11,'MARCH 2022'!C:C,1,FALSE),$B11)&gt;=1,TRUE,countif(VLOOKUP($B11,'MARCH 2022'!C:C,1,FALSE),$B11)=0,FALSE)</f>
        <v>1</v>
      </c>
      <c r="N11" s="115" t="b">
        <f>IFS($A11=FALSE,"", countif(VLOOKUP($A11,'MARCH 2022'!A:A,1,FALSE),$A11)&gt;=1,TRUE,countif(VLOOKUP($A11,'MARCH 2022'!A:A,1,FALSE),$A11)=0,FALSE)</f>
        <v>1</v>
      </c>
      <c r="O11" s="111" t="str">
        <f t="shared" si="2"/>
        <v> </v>
      </c>
    </row>
    <row r="12" ht="15.75" customHeight="1">
      <c r="A12" s="110" t="str">
        <f t="shared" si="1"/>
        <v>1821844621</v>
      </c>
      <c r="B12" s="111">
        <v>18218.0</v>
      </c>
      <c r="C12" s="112">
        <v>0.4479166666666667</v>
      </c>
      <c r="D12" s="111" t="s">
        <v>6278</v>
      </c>
      <c r="E12" s="113">
        <v>23925.0</v>
      </c>
      <c r="F12" s="114">
        <v>44621.0</v>
      </c>
      <c r="G12" s="111" t="s">
        <v>6525</v>
      </c>
      <c r="H12" s="111" t="s">
        <v>6526</v>
      </c>
      <c r="I12" s="111" t="s">
        <v>6527</v>
      </c>
      <c r="J12" s="111" t="s">
        <v>6414</v>
      </c>
      <c r="K12" s="115"/>
      <c r="L12" s="115" t="s">
        <v>6522</v>
      </c>
      <c r="M12" s="115" t="b">
        <f>IFS($A12=FALSE,"", countif(VLOOKUP($B12,'MARCH 2022'!C:C,1,FALSE),$B12)&gt;=1,TRUE,countif(VLOOKUP($B12,'MARCH 2022'!C:C,1,FALSE),$B12)=0,FALSE)</f>
        <v>1</v>
      </c>
      <c r="N12" s="115" t="b">
        <f>IFS($A12=FALSE,"", countif(VLOOKUP($A12,'MARCH 2022'!A:A,1,FALSE),$A12)&gt;=1,TRUE,countif(VLOOKUP($A12,'MARCH 2022'!A:A,1,FALSE),$A12)=0,FALSE)</f>
        <v>1</v>
      </c>
      <c r="O12" s="111" t="str">
        <f t="shared" si="2"/>
        <v> </v>
      </c>
    </row>
    <row r="13" ht="15.75" customHeight="1">
      <c r="A13" s="110" t="str">
        <f t="shared" si="1"/>
        <v>1716644621</v>
      </c>
      <c r="B13" s="111">
        <v>17166.0</v>
      </c>
      <c r="C13" s="112">
        <v>0.4479166666666667</v>
      </c>
      <c r="D13" s="111" t="s">
        <v>5255</v>
      </c>
      <c r="E13" s="113">
        <v>23624.0</v>
      </c>
      <c r="F13" s="114">
        <v>44621.0</v>
      </c>
      <c r="G13" s="111" t="s">
        <v>6523</v>
      </c>
      <c r="H13" s="111" t="s">
        <v>6526</v>
      </c>
      <c r="I13" s="111" t="s">
        <v>6527</v>
      </c>
      <c r="J13" s="111" t="s">
        <v>6463</v>
      </c>
      <c r="K13" s="115"/>
      <c r="L13" s="115" t="s">
        <v>6522</v>
      </c>
      <c r="M13" s="115" t="b">
        <f>IFS($A13=FALSE,"", countif(VLOOKUP($B13,'MARCH 2022'!C:C,1,FALSE),$B13)&gt;=1,TRUE,countif(VLOOKUP($B13,'MARCH 2022'!C:C,1,FALSE),$B13)=0,FALSE)</f>
        <v>1</v>
      </c>
      <c r="N13" s="115" t="b">
        <f>IFS($A13=FALSE,"", countif(VLOOKUP($A13,'MARCH 2022'!A:A,1,FALSE),$A13)&gt;=1,TRUE,countif(VLOOKUP($A13,'MARCH 2022'!A:A,1,FALSE),$A13)=0,FALSE)</f>
        <v>1</v>
      </c>
      <c r="O13" s="111" t="str">
        <f t="shared" si="2"/>
        <v> </v>
      </c>
    </row>
    <row r="14" ht="15.75" customHeight="1">
      <c r="A14" s="110" t="str">
        <f t="shared" si="1"/>
        <v>1113144621</v>
      </c>
      <c r="B14" s="111">
        <v>11131.0</v>
      </c>
      <c r="C14" s="112">
        <v>0.4479166666666667</v>
      </c>
      <c r="D14" s="111" t="s">
        <v>825</v>
      </c>
      <c r="E14" s="113">
        <v>16644.0</v>
      </c>
      <c r="F14" s="114">
        <v>44621.0</v>
      </c>
      <c r="G14" s="111" t="s">
        <v>6519</v>
      </c>
      <c r="H14" s="111" t="s">
        <v>6520</v>
      </c>
      <c r="I14" s="111" t="s">
        <v>6521</v>
      </c>
      <c r="J14" s="111" t="s">
        <v>6427</v>
      </c>
      <c r="K14" s="115"/>
      <c r="L14" s="115" t="s">
        <v>6522</v>
      </c>
      <c r="M14" s="115" t="b">
        <f>IFS($A14=FALSE,"", countif(VLOOKUP($B14,'MARCH 2022'!C:C,1,FALSE),$B14)&gt;=1,TRUE,countif(VLOOKUP($B14,'MARCH 2022'!C:C,1,FALSE),$B14)=0,FALSE)</f>
        <v>1</v>
      </c>
      <c r="N14" s="115" t="b">
        <f>IFS($A14=FALSE,"", countif(VLOOKUP($A14,'MARCH 2022'!A:A,1,FALSE),$A14)&gt;=1,TRUE,countif(VLOOKUP($A14,'MARCH 2022'!A:A,1,FALSE),$A14)=0,FALSE)</f>
        <v>1</v>
      </c>
      <c r="O14" s="111" t="str">
        <f t="shared" si="2"/>
        <v> </v>
      </c>
    </row>
    <row r="15" ht="15.75" customHeight="1">
      <c r="A15" s="110" t="str">
        <f t="shared" si="1"/>
        <v>1637344621</v>
      </c>
      <c r="B15" s="111">
        <v>16373.0</v>
      </c>
      <c r="C15" s="112">
        <v>0.4583333333333333</v>
      </c>
      <c r="D15" s="111" t="s">
        <v>4642</v>
      </c>
      <c r="E15" s="113">
        <v>20996.0</v>
      </c>
      <c r="F15" s="114">
        <v>44621.0</v>
      </c>
      <c r="G15" s="111" t="s">
        <v>6523</v>
      </c>
      <c r="H15" s="111" t="s">
        <v>6526</v>
      </c>
      <c r="I15" s="111" t="s">
        <v>6527</v>
      </c>
      <c r="J15" s="111" t="s">
        <v>6477</v>
      </c>
      <c r="K15" s="115"/>
      <c r="L15" s="115" t="s">
        <v>6522</v>
      </c>
      <c r="M15" s="115" t="b">
        <f>IFS($A15=FALSE,"", countif(VLOOKUP($B15,'MARCH 2022'!C:C,1,FALSE),$B15)&gt;=1,TRUE,countif(VLOOKUP($B15,'MARCH 2022'!C:C,1,FALSE),$B15)=0,FALSE)</f>
        <v>1</v>
      </c>
      <c r="N15" s="115" t="b">
        <f>IFS($A15=FALSE,"", countif(VLOOKUP($A15,'MARCH 2022'!A:A,1,FALSE),$A15)&gt;=1,TRUE,countif(VLOOKUP($A15,'MARCH 2022'!A:A,1,FALSE),$A15)=0,FALSE)</f>
        <v>1</v>
      </c>
      <c r="O15" s="111" t="str">
        <f t="shared" si="2"/>
        <v> </v>
      </c>
    </row>
    <row r="16" ht="15.75" customHeight="1">
      <c r="A16" s="110" t="str">
        <f t="shared" si="1"/>
        <v>1269744621</v>
      </c>
      <c r="B16" s="111">
        <v>12697.0</v>
      </c>
      <c r="C16" s="112">
        <v>0.4583333333333333</v>
      </c>
      <c r="D16" s="111" t="s">
        <v>1635</v>
      </c>
      <c r="E16" s="113">
        <v>30536.0</v>
      </c>
      <c r="F16" s="114">
        <v>44621.0</v>
      </c>
      <c r="G16" s="111" t="s">
        <v>6519</v>
      </c>
      <c r="H16" s="111" t="s">
        <v>6520</v>
      </c>
      <c r="I16" s="111" t="s">
        <v>6521</v>
      </c>
      <c r="J16" s="111" t="s">
        <v>6374</v>
      </c>
      <c r="K16" s="115"/>
      <c r="L16" s="115" t="s">
        <v>6522</v>
      </c>
      <c r="M16" s="115" t="b">
        <f>IFS($A16=FALSE,"", countif(VLOOKUP($B16,'MARCH 2022'!C:C,1,FALSE),$B16)&gt;=1,TRUE,countif(VLOOKUP($B16,'MARCH 2022'!C:C,1,FALSE),$B16)=0,FALSE)</f>
        <v>1</v>
      </c>
      <c r="N16" s="115" t="b">
        <f>IFS($A16=FALSE,"", countif(VLOOKUP($A16,'MARCH 2022'!A:A,1,FALSE),$A16)&gt;=1,TRUE,countif(VLOOKUP($A16,'MARCH 2022'!A:A,1,FALSE),$A16)=0,FALSE)</f>
        <v>1</v>
      </c>
      <c r="O16" s="111" t="str">
        <f t="shared" si="2"/>
        <v> </v>
      </c>
    </row>
    <row r="17" ht="15.75" customHeight="1">
      <c r="A17" s="110" t="str">
        <f t="shared" si="1"/>
        <v>1816444621</v>
      </c>
      <c r="B17" s="111">
        <v>18164.0</v>
      </c>
      <c r="C17" s="112">
        <v>0.5416666666666666</v>
      </c>
      <c r="D17" s="111" t="s">
        <v>6279</v>
      </c>
      <c r="E17" s="113">
        <v>32521.0</v>
      </c>
      <c r="F17" s="114">
        <v>44621.0</v>
      </c>
      <c r="G17" s="111" t="s">
        <v>6525</v>
      </c>
      <c r="H17" s="111" t="s">
        <v>6526</v>
      </c>
      <c r="I17" s="111" t="s">
        <v>6527</v>
      </c>
      <c r="J17" s="111" t="s">
        <v>6528</v>
      </c>
      <c r="K17" s="115"/>
      <c r="L17" s="115" t="s">
        <v>6522</v>
      </c>
      <c r="M17" s="115" t="b">
        <f>IFS($A17=FALSE,"", countif(VLOOKUP($B17,'MARCH 2022'!C:C,1,FALSE),$B17)&gt;=1,TRUE,countif(VLOOKUP($B17,'MARCH 2022'!C:C,1,FALSE),$B17)=0,FALSE)</f>
        <v>1</v>
      </c>
      <c r="N17" s="115" t="b">
        <f>IFS($A17=FALSE,"", countif(VLOOKUP($A17,'MARCH 2022'!A:A,1,FALSE),$A17)&gt;=1,TRUE,countif(VLOOKUP($A17,'MARCH 2022'!A:A,1,FALSE),$A17)=0,FALSE)</f>
        <v>1</v>
      </c>
      <c r="O17" s="111" t="str">
        <f t="shared" si="2"/>
        <v> </v>
      </c>
    </row>
    <row r="18" ht="15.75" customHeight="1">
      <c r="A18" s="110" t="str">
        <f t="shared" si="1"/>
        <v>1407944621</v>
      </c>
      <c r="B18" s="111">
        <v>14079.0</v>
      </c>
      <c r="C18" s="112">
        <v>0.5520833333333334</v>
      </c>
      <c r="D18" s="111" t="s">
        <v>1740</v>
      </c>
      <c r="E18" s="113">
        <v>18184.0</v>
      </c>
      <c r="F18" s="114">
        <v>44621.0</v>
      </c>
      <c r="G18" s="111" t="s">
        <v>6523</v>
      </c>
      <c r="H18" s="111" t="s">
        <v>6520</v>
      </c>
      <c r="I18" s="111" t="s">
        <v>6521</v>
      </c>
      <c r="J18" s="111" t="s">
        <v>6489</v>
      </c>
      <c r="K18" s="115"/>
      <c r="L18" s="115" t="s">
        <v>6522</v>
      </c>
      <c r="M18" s="115" t="b">
        <f>IFS($A18=FALSE,"", countif(VLOOKUP($B18,'MARCH 2022'!C:C,1,FALSE),$B18)&gt;=1,TRUE,countif(VLOOKUP($B18,'MARCH 2022'!C:C,1,FALSE),$B18)=0,FALSE)</f>
        <v>1</v>
      </c>
      <c r="N18" s="115" t="b">
        <f>IFS($A18=FALSE,"", countif(VLOOKUP($A18,'MARCH 2022'!A:A,1,FALSE),$A18)&gt;=1,TRUE,countif(VLOOKUP($A18,'MARCH 2022'!A:A,1,FALSE),$A18)=0,FALSE)</f>
        <v>1</v>
      </c>
      <c r="O18" s="111" t="str">
        <f t="shared" si="2"/>
        <v> </v>
      </c>
    </row>
    <row r="19" ht="15.75" customHeight="1">
      <c r="A19" s="110" t="str">
        <f t="shared" si="1"/>
        <v>1578544621</v>
      </c>
      <c r="B19" s="111">
        <v>15785.0</v>
      </c>
      <c r="C19" s="112">
        <v>0.5520833333333334</v>
      </c>
      <c r="D19" s="111" t="s">
        <v>4143</v>
      </c>
      <c r="E19" s="113">
        <v>19662.0</v>
      </c>
      <c r="F19" s="114">
        <v>44621.0</v>
      </c>
      <c r="G19" s="111" t="s">
        <v>6519</v>
      </c>
      <c r="H19" s="111" t="s">
        <v>6526</v>
      </c>
      <c r="I19" s="111" t="s">
        <v>6529</v>
      </c>
      <c r="J19" s="111" t="s">
        <v>6427</v>
      </c>
      <c r="K19" s="115"/>
      <c r="L19" s="115" t="s">
        <v>6522</v>
      </c>
      <c r="M19" s="115" t="b">
        <f>IFS($A19=FALSE,"", countif(VLOOKUP($B19,'MARCH 2022'!C:C,1,FALSE),$B19)&gt;=1,TRUE,countif(VLOOKUP($B19,'MARCH 2022'!C:C,1,FALSE),$B19)=0,FALSE)</f>
        <v>1</v>
      </c>
      <c r="N19" s="115" t="b">
        <f>IFS($A19=FALSE,"", countif(VLOOKUP($A19,'MARCH 2022'!A:A,1,FALSE),$A19)&gt;=1,TRUE,countif(VLOOKUP($A19,'MARCH 2022'!A:A,1,FALSE),$A19)=0,FALSE)</f>
        <v>1</v>
      </c>
      <c r="O19" s="111" t="str">
        <f t="shared" si="2"/>
        <v> </v>
      </c>
    </row>
    <row r="20" ht="15.75" customHeight="1">
      <c r="A20" s="110" t="str">
        <f t="shared" si="1"/>
        <v>1373444621</v>
      </c>
      <c r="B20" s="111">
        <v>13734.0</v>
      </c>
      <c r="C20" s="112">
        <v>0.5625</v>
      </c>
      <c r="D20" s="111" t="s">
        <v>2461</v>
      </c>
      <c r="E20" s="113">
        <v>26521.0</v>
      </c>
      <c r="F20" s="114">
        <v>44621.0</v>
      </c>
      <c r="G20" s="111" t="s">
        <v>6525</v>
      </c>
      <c r="H20" s="111" t="s">
        <v>6526</v>
      </c>
      <c r="I20" s="111" t="s">
        <v>6527</v>
      </c>
      <c r="J20" s="111" t="s">
        <v>6410</v>
      </c>
      <c r="K20" s="115"/>
      <c r="L20" s="115" t="s">
        <v>6522</v>
      </c>
      <c r="M20" s="115" t="b">
        <f>IFS($A20=FALSE,"", countif(VLOOKUP($B20,'MARCH 2022'!C:C,1,FALSE),$B20)&gt;=1,TRUE,countif(VLOOKUP($B20,'MARCH 2022'!C:C,1,FALSE),$B20)=0,FALSE)</f>
        <v>1</v>
      </c>
      <c r="N20" s="115" t="b">
        <f>IFS($A20=FALSE,"", countif(VLOOKUP($A20,'MARCH 2022'!A:A,1,FALSE),$A20)&gt;=1,TRUE,countif(VLOOKUP($A20,'MARCH 2022'!A:A,1,FALSE),$A20)=0,FALSE)</f>
        <v>1</v>
      </c>
      <c r="O20" s="111" t="str">
        <f t="shared" si="2"/>
        <v> </v>
      </c>
    </row>
    <row r="21" ht="15.75" customHeight="1">
      <c r="A21" s="110" t="str">
        <f t="shared" si="1"/>
        <v>1815044621</v>
      </c>
      <c r="B21" s="111">
        <v>18150.0</v>
      </c>
      <c r="C21" s="112">
        <v>0.5625</v>
      </c>
      <c r="D21" s="111" t="s">
        <v>6280</v>
      </c>
      <c r="E21" s="113">
        <v>32275.0</v>
      </c>
      <c r="F21" s="114">
        <v>44621.0</v>
      </c>
      <c r="G21" s="111" t="s">
        <v>6525</v>
      </c>
      <c r="H21" s="111" t="s">
        <v>6526</v>
      </c>
      <c r="I21" s="111" t="s">
        <v>6527</v>
      </c>
      <c r="J21" s="111" t="s">
        <v>6417</v>
      </c>
      <c r="K21" s="115"/>
      <c r="L21" s="115" t="s">
        <v>6522</v>
      </c>
      <c r="M21" s="115" t="b">
        <f>IFS($A21=FALSE,"", countif(VLOOKUP($B21,'MARCH 2022'!C:C,1,FALSE),$B21)&gt;=1,TRUE,countif(VLOOKUP($B21,'MARCH 2022'!C:C,1,FALSE),$B21)=0,FALSE)</f>
        <v>1</v>
      </c>
      <c r="N21" s="115" t="b">
        <f>IFS($A21=FALSE,"", countif(VLOOKUP($A21,'MARCH 2022'!A:A,1,FALSE),$A21)&gt;=1,TRUE,countif(VLOOKUP($A21,'MARCH 2022'!A:A,1,FALSE),$A21)=0,FALSE)</f>
        <v>1</v>
      </c>
      <c r="O21" s="111" t="str">
        <f t="shared" si="2"/>
        <v> </v>
      </c>
    </row>
    <row r="22" ht="15.75" customHeight="1">
      <c r="A22" s="110" t="str">
        <f t="shared" si="1"/>
        <v>1695844621</v>
      </c>
      <c r="B22" s="111">
        <v>16958.0</v>
      </c>
      <c r="C22" s="112">
        <v>0.5625</v>
      </c>
      <c r="D22" s="111" t="s">
        <v>5091</v>
      </c>
      <c r="E22" s="113">
        <v>24294.0</v>
      </c>
      <c r="F22" s="114">
        <v>44621.0</v>
      </c>
      <c r="G22" s="111" t="s">
        <v>6523</v>
      </c>
      <c r="H22" s="111" t="s">
        <v>6520</v>
      </c>
      <c r="I22" s="111" t="s">
        <v>6521</v>
      </c>
      <c r="J22" s="111" t="s">
        <v>6381</v>
      </c>
      <c r="K22" s="115"/>
      <c r="L22" s="115" t="s">
        <v>6522</v>
      </c>
      <c r="M22" s="115" t="b">
        <f>IFS($A22=FALSE,"", countif(VLOOKUP($B22,'MARCH 2022'!C:C,1,FALSE),$B22)&gt;=1,TRUE,countif(VLOOKUP($B22,'MARCH 2022'!C:C,1,FALSE),$B22)=0,FALSE)</f>
        <v>1</v>
      </c>
      <c r="N22" s="115" t="b">
        <f>IFS($A22=FALSE,"", countif(VLOOKUP($A22,'MARCH 2022'!A:A,1,FALSE),$A22)&gt;=1,TRUE,countif(VLOOKUP($A22,'MARCH 2022'!A:A,1,FALSE),$A22)=0,FALSE)</f>
        <v>1</v>
      </c>
      <c r="O22" s="111" t="str">
        <f t="shared" si="2"/>
        <v> </v>
      </c>
    </row>
    <row r="23" ht="15.75" customHeight="1">
      <c r="A23" s="110" t="str">
        <f t="shared" si="1"/>
        <v>1472944621</v>
      </c>
      <c r="B23" s="111">
        <v>14729.0</v>
      </c>
      <c r="C23" s="112">
        <v>0.5625</v>
      </c>
      <c r="D23" s="111" t="s">
        <v>3249</v>
      </c>
      <c r="E23" s="113">
        <v>30461.0</v>
      </c>
      <c r="F23" s="114">
        <v>44621.0</v>
      </c>
      <c r="G23" s="111" t="s">
        <v>6519</v>
      </c>
      <c r="H23" s="111" t="s">
        <v>6520</v>
      </c>
      <c r="I23" s="111" t="s">
        <v>6524</v>
      </c>
      <c r="J23" s="111" t="s">
        <v>6444</v>
      </c>
      <c r="K23" s="115"/>
      <c r="L23" s="115" t="s">
        <v>6522</v>
      </c>
      <c r="M23" s="115" t="b">
        <f>IFS($A23=FALSE,"", countif(VLOOKUP($B23,'MARCH 2022'!C:C,1,FALSE),$B23)&gt;=1,TRUE,countif(VLOOKUP($B23,'MARCH 2022'!C:C,1,FALSE),$B23)=0,FALSE)</f>
        <v>1</v>
      </c>
      <c r="N23" s="115" t="b">
        <f>IFS($A23=FALSE,"", countif(VLOOKUP($A23,'MARCH 2022'!A:A,1,FALSE),$A23)&gt;=1,TRUE,countif(VLOOKUP($A23,'MARCH 2022'!A:A,1,FALSE),$A23)=0,FALSE)</f>
        <v>1</v>
      </c>
      <c r="O23" s="111" t="str">
        <f t="shared" si="2"/>
        <v> </v>
      </c>
    </row>
    <row r="24" ht="15.75" customHeight="1">
      <c r="A24" s="110" t="str">
        <f t="shared" si="1"/>
        <v>1116244621</v>
      </c>
      <c r="B24" s="111">
        <v>11162.0</v>
      </c>
      <c r="C24" s="112">
        <v>0.5729166666666666</v>
      </c>
      <c r="D24" s="111" t="s">
        <v>838</v>
      </c>
      <c r="E24" s="113">
        <v>28616.0</v>
      </c>
      <c r="F24" s="114">
        <v>44621.0</v>
      </c>
      <c r="G24" s="111" t="s">
        <v>6523</v>
      </c>
      <c r="H24" s="111" t="s">
        <v>6520</v>
      </c>
      <c r="I24" s="111" t="s">
        <v>6521</v>
      </c>
      <c r="J24" s="111" t="s">
        <v>6444</v>
      </c>
      <c r="K24" s="115"/>
      <c r="L24" s="115" t="s">
        <v>6522</v>
      </c>
      <c r="M24" s="115" t="b">
        <f>IFS($A24=FALSE,"", countif(VLOOKUP($B24,'MARCH 2022'!C:C,1,FALSE),$B24)&gt;=1,TRUE,countif(VLOOKUP($B24,'MARCH 2022'!C:C,1,FALSE),$B24)=0,FALSE)</f>
        <v>1</v>
      </c>
      <c r="N24" s="115" t="b">
        <f>IFS($A24=FALSE,"", countif(VLOOKUP($A24,'MARCH 2022'!A:A,1,FALSE),$A24)&gt;=1,TRUE,countif(VLOOKUP($A24,'MARCH 2022'!A:A,1,FALSE),$A24)=0,FALSE)</f>
        <v>1</v>
      </c>
      <c r="O24" s="111" t="str">
        <f t="shared" si="2"/>
        <v> </v>
      </c>
    </row>
    <row r="25" ht="15.75" customHeight="1">
      <c r="A25" s="110" t="str">
        <f t="shared" si="1"/>
        <v>1822044621</v>
      </c>
      <c r="B25" s="111">
        <v>18220.0</v>
      </c>
      <c r="C25" s="112">
        <v>0.59375</v>
      </c>
      <c r="D25" s="111" t="s">
        <v>6281</v>
      </c>
      <c r="E25" s="113">
        <v>28560.0</v>
      </c>
      <c r="F25" s="114">
        <v>44621.0</v>
      </c>
      <c r="G25" s="111" t="s">
        <v>6525</v>
      </c>
      <c r="H25" s="111" t="s">
        <v>6526</v>
      </c>
      <c r="I25" s="111" t="s">
        <v>6527</v>
      </c>
      <c r="J25" s="111" t="s">
        <v>6444</v>
      </c>
      <c r="K25" s="115"/>
      <c r="L25" s="115" t="s">
        <v>6522</v>
      </c>
      <c r="M25" s="115" t="b">
        <f>IFS($A25=FALSE,"", countif(VLOOKUP($B25,'MARCH 2022'!C:C,1,FALSE),$B25)&gt;=1,TRUE,countif(VLOOKUP($B25,'MARCH 2022'!C:C,1,FALSE),$B25)=0,FALSE)</f>
        <v>1</v>
      </c>
      <c r="N25" s="115" t="b">
        <f>IFS($A25=FALSE,"", countif(VLOOKUP($A25,'MARCH 2022'!A:A,1,FALSE),$A25)&gt;=1,TRUE,countif(VLOOKUP($A25,'MARCH 2022'!A:A,1,FALSE),$A25)=0,FALSE)</f>
        <v>1</v>
      </c>
      <c r="O25" s="111" t="str">
        <f t="shared" si="2"/>
        <v> </v>
      </c>
    </row>
    <row r="26" ht="15.75" customHeight="1">
      <c r="A26" s="110" t="str">
        <f t="shared" si="1"/>
        <v>1603944621</v>
      </c>
      <c r="B26" s="111">
        <v>16039.0</v>
      </c>
      <c r="C26" s="112">
        <v>0.59375</v>
      </c>
      <c r="D26" s="111" t="s">
        <v>4369</v>
      </c>
      <c r="E26" s="113">
        <v>23742.0</v>
      </c>
      <c r="F26" s="114">
        <v>44621.0</v>
      </c>
      <c r="G26" s="111" t="s">
        <v>6523</v>
      </c>
      <c r="H26" s="111" t="s">
        <v>6526</v>
      </c>
      <c r="I26" s="111" t="s">
        <v>6527</v>
      </c>
      <c r="J26" s="111" t="s">
        <v>6420</v>
      </c>
      <c r="K26" s="115"/>
      <c r="L26" s="115" t="s">
        <v>6522</v>
      </c>
      <c r="M26" s="115" t="b">
        <f>IFS($A26=FALSE,"", countif(VLOOKUP($B26,'MARCH 2022'!C:C,1,FALSE),$B26)&gt;=1,TRUE,countif(VLOOKUP($B26,'MARCH 2022'!C:C,1,FALSE),$B26)=0,FALSE)</f>
        <v>1</v>
      </c>
      <c r="N26" s="115" t="b">
        <f>IFS($A26=FALSE,"", countif(VLOOKUP($A26,'MARCH 2022'!A:A,1,FALSE),$A26)&gt;=1,TRUE,countif(VLOOKUP($A26,'MARCH 2022'!A:A,1,FALSE),$A26)=0,FALSE)</f>
        <v>1</v>
      </c>
      <c r="O26" s="111" t="str">
        <f t="shared" si="2"/>
        <v> </v>
      </c>
    </row>
    <row r="27" ht="15.75" customHeight="1">
      <c r="A27" s="110" t="str">
        <f t="shared" si="1"/>
        <v>1427644621</v>
      </c>
      <c r="B27" s="111">
        <v>14276.0</v>
      </c>
      <c r="C27" s="112">
        <v>0.59375</v>
      </c>
      <c r="D27" s="111" t="s">
        <v>2875</v>
      </c>
      <c r="E27" s="113">
        <v>27880.0</v>
      </c>
      <c r="F27" s="114">
        <v>44621.0</v>
      </c>
      <c r="G27" s="111" t="s">
        <v>6523</v>
      </c>
      <c r="H27" s="111" t="s">
        <v>6526</v>
      </c>
      <c r="I27" s="111" t="s">
        <v>6529</v>
      </c>
      <c r="J27" s="111" t="s">
        <v>6427</v>
      </c>
      <c r="K27" s="115"/>
      <c r="L27" s="115" t="s">
        <v>6522</v>
      </c>
      <c r="M27" s="115" t="b">
        <f>IFS($A27=FALSE,"", countif(VLOOKUP($B27,'MARCH 2022'!C:C,1,FALSE),$B27)&gt;=1,TRUE,countif(VLOOKUP($B27,'MARCH 2022'!C:C,1,FALSE),$B27)=0,FALSE)</f>
        <v>1</v>
      </c>
      <c r="N27" s="115" t="b">
        <f>IFS($A27=FALSE,"", countif(VLOOKUP($A27,'MARCH 2022'!A:A,1,FALSE),$A27)&gt;=1,TRUE,countif(VLOOKUP($A27,'MARCH 2022'!A:A,1,FALSE),$A27)=0,FALSE)</f>
        <v>1</v>
      </c>
      <c r="O27" s="111" t="str">
        <f t="shared" si="2"/>
        <v> </v>
      </c>
    </row>
    <row r="28" ht="15.75" customHeight="1">
      <c r="A28" s="110" t="str">
        <f t="shared" si="1"/>
        <v>1044444621</v>
      </c>
      <c r="B28" s="111">
        <v>10444.0</v>
      </c>
      <c r="C28" s="112">
        <v>0.6041666666666666</v>
      </c>
      <c r="D28" s="111" t="s">
        <v>547</v>
      </c>
      <c r="E28" s="113">
        <v>26614.0</v>
      </c>
      <c r="F28" s="114">
        <v>44621.0</v>
      </c>
      <c r="G28" s="111" t="s">
        <v>6523</v>
      </c>
      <c r="H28" s="111" t="s">
        <v>6520</v>
      </c>
      <c r="I28" s="111" t="s">
        <v>6521</v>
      </c>
      <c r="J28" s="111" t="s">
        <v>6374</v>
      </c>
      <c r="K28" s="115"/>
      <c r="L28" s="115" t="s">
        <v>6522</v>
      </c>
      <c r="M28" s="115" t="b">
        <f>IFS($A28=FALSE,"", countif(VLOOKUP($B28,'MARCH 2022'!C:C,1,FALSE),$B28)&gt;=1,TRUE,countif(VLOOKUP($B28,'MARCH 2022'!C:C,1,FALSE),$B28)=0,FALSE)</f>
        <v>1</v>
      </c>
      <c r="N28" s="115" t="b">
        <f>IFS($A28=FALSE,"", countif(VLOOKUP($A28,'MARCH 2022'!A:A,1,FALSE),$A28)&gt;=1,TRUE,countif(VLOOKUP($A28,'MARCH 2022'!A:A,1,FALSE),$A28)=0,FALSE)</f>
        <v>1</v>
      </c>
      <c r="O28" s="111" t="str">
        <f t="shared" si="2"/>
        <v> </v>
      </c>
    </row>
    <row r="29" ht="15.75" customHeight="1">
      <c r="A29" s="110" t="str">
        <f t="shared" si="1"/>
        <v>1385344621</v>
      </c>
      <c r="B29" s="111">
        <v>13853.0</v>
      </c>
      <c r="C29" s="112">
        <v>0.6354166666666666</v>
      </c>
      <c r="D29" s="111" t="s">
        <v>2556</v>
      </c>
      <c r="E29" s="113">
        <v>27275.0</v>
      </c>
      <c r="F29" s="114">
        <v>44621.0</v>
      </c>
      <c r="G29" s="111" t="s">
        <v>6523</v>
      </c>
      <c r="H29" s="111" t="s">
        <v>6520</v>
      </c>
      <c r="I29" s="111" t="s">
        <v>6521</v>
      </c>
      <c r="J29" s="111" t="s">
        <v>6385</v>
      </c>
      <c r="K29" s="115"/>
      <c r="L29" s="115" t="s">
        <v>6522</v>
      </c>
      <c r="M29" s="115" t="b">
        <f>IFS($A29=FALSE,"", countif(VLOOKUP($B29,'MARCH 2022'!C:C,1,FALSE),$B29)&gt;=1,TRUE,countif(VLOOKUP($B29,'MARCH 2022'!C:C,1,FALSE),$B29)=0,FALSE)</f>
        <v>1</v>
      </c>
      <c r="N29" s="115" t="b">
        <f>IFS($A29=FALSE,"", countif(VLOOKUP($A29,'MARCH 2022'!A:A,1,FALSE),$A29)&gt;=1,TRUE,countif(VLOOKUP($A29,'MARCH 2022'!A:A,1,FALSE),$A29)=0,FALSE)</f>
        <v>1</v>
      </c>
      <c r="O29" s="111" t="str">
        <f t="shared" si="2"/>
        <v> </v>
      </c>
    </row>
    <row r="30" ht="15.75" customHeight="1">
      <c r="A30" s="110" t="str">
        <f t="shared" si="1"/>
        <v>1136544621</v>
      </c>
      <c r="B30" s="111">
        <v>11365.0</v>
      </c>
      <c r="C30" s="112">
        <v>0.6458333333333334</v>
      </c>
      <c r="D30" s="111" t="s">
        <v>922</v>
      </c>
      <c r="E30" s="113">
        <v>26273.0</v>
      </c>
      <c r="F30" s="114">
        <v>44621.0</v>
      </c>
      <c r="G30" s="111" t="s">
        <v>6519</v>
      </c>
      <c r="H30" s="111" t="s">
        <v>6526</v>
      </c>
      <c r="I30" s="111" t="s">
        <v>6527</v>
      </c>
      <c r="J30" s="111" t="s">
        <v>6381</v>
      </c>
      <c r="K30" s="115"/>
      <c r="L30" s="115" t="s">
        <v>6522</v>
      </c>
      <c r="M30" s="115" t="b">
        <f>IFS($A30=FALSE,"", countif(VLOOKUP($B30,'MARCH 2022'!C:C,1,FALSE),$B30)&gt;=1,TRUE,countif(VLOOKUP($B30,'MARCH 2022'!C:C,1,FALSE),$B30)=0,FALSE)</f>
        <v>1</v>
      </c>
      <c r="N30" s="115" t="b">
        <f>IFS($A30=FALSE,"", countif(VLOOKUP($A30,'MARCH 2022'!A:A,1,FALSE),$A30)&gt;=1,TRUE,countif(VLOOKUP($A30,'MARCH 2022'!A:A,1,FALSE),$A30)=0,FALSE)</f>
        <v>1</v>
      </c>
      <c r="O30" s="111" t="str">
        <f t="shared" si="2"/>
        <v> </v>
      </c>
    </row>
    <row r="31" ht="15.75" customHeight="1">
      <c r="A31" s="110" t="str">
        <f t="shared" si="1"/>
        <v>982044621</v>
      </c>
      <c r="B31" s="111">
        <v>9820.0</v>
      </c>
      <c r="C31" s="112">
        <v>0.6458333333333334</v>
      </c>
      <c r="D31" s="111" t="s">
        <v>304</v>
      </c>
      <c r="E31" s="113">
        <v>31343.0</v>
      </c>
      <c r="F31" s="114">
        <v>44621.0</v>
      </c>
      <c r="G31" s="111" t="s">
        <v>6523</v>
      </c>
      <c r="H31" s="111" t="s">
        <v>6520</v>
      </c>
      <c r="I31" s="111" t="s">
        <v>6524</v>
      </c>
      <c r="J31" s="111" t="s">
        <v>6435</v>
      </c>
      <c r="K31" s="115"/>
      <c r="L31" s="115" t="s">
        <v>6522</v>
      </c>
      <c r="M31" s="115" t="b">
        <f>IFS($A31=FALSE,"", countif(VLOOKUP($B31,'MARCH 2022'!C:C,1,FALSE),$B31)&gt;=1,TRUE,countif(VLOOKUP($B31,'MARCH 2022'!C:C,1,FALSE),$B31)=0,FALSE)</f>
        <v>1</v>
      </c>
      <c r="N31" s="115" t="b">
        <f>IFS($A31=FALSE,"", countif(VLOOKUP($A31,'MARCH 2022'!A:A,1,FALSE),$A31)&gt;=1,TRUE,countif(VLOOKUP($A31,'MARCH 2022'!A:A,1,FALSE),$A31)=0,FALSE)</f>
        <v>1</v>
      </c>
      <c r="O31" s="111" t="str">
        <f t="shared" si="2"/>
        <v> </v>
      </c>
    </row>
    <row r="32" ht="15.75" customHeight="1">
      <c r="A32" s="110" t="str">
        <f t="shared" si="1"/>
        <v>995044621</v>
      </c>
      <c r="B32" s="111">
        <v>9950.0</v>
      </c>
      <c r="C32" s="112">
        <v>0.6458333333333334</v>
      </c>
      <c r="D32" s="111" t="s">
        <v>345</v>
      </c>
      <c r="E32" s="113">
        <v>31754.0</v>
      </c>
      <c r="F32" s="114">
        <v>44621.0</v>
      </c>
      <c r="G32" s="111" t="s">
        <v>6523</v>
      </c>
      <c r="H32" s="111" t="s">
        <v>6520</v>
      </c>
      <c r="I32" s="111" t="s">
        <v>6521</v>
      </c>
      <c r="J32" s="111" t="s">
        <v>6489</v>
      </c>
      <c r="K32" s="115"/>
      <c r="L32" s="115" t="s">
        <v>6522</v>
      </c>
      <c r="M32" s="115" t="b">
        <f>IFS($A32=FALSE,"", countif(VLOOKUP($B32,'MARCH 2022'!C:C,1,FALSE),$B32)&gt;=1,TRUE,countif(VLOOKUP($B32,'MARCH 2022'!C:C,1,FALSE),$B32)=0,FALSE)</f>
        <v>1</v>
      </c>
      <c r="N32" s="115" t="b">
        <f>IFS($A32=FALSE,"", countif(VLOOKUP($A32,'MARCH 2022'!A:A,1,FALSE),$A32)&gt;=1,TRUE,countif(VLOOKUP($A32,'MARCH 2022'!A:A,1,FALSE),$A32)=0,FALSE)</f>
        <v>1</v>
      </c>
      <c r="O32" s="111" t="str">
        <f t="shared" si="2"/>
        <v> </v>
      </c>
    </row>
    <row r="33" ht="15.75" customHeight="1">
      <c r="A33" s="110" t="str">
        <f t="shared" si="1"/>
        <v>1417844622</v>
      </c>
      <c r="B33" s="111">
        <v>14178.0</v>
      </c>
      <c r="C33" s="112">
        <v>0.5833333333333334</v>
      </c>
      <c r="D33" s="111" t="s">
        <v>2798</v>
      </c>
      <c r="E33" s="113">
        <v>20540.0</v>
      </c>
      <c r="F33" s="114">
        <v>44622.0</v>
      </c>
      <c r="G33" s="111" t="s">
        <v>6523</v>
      </c>
      <c r="H33" s="111" t="s">
        <v>6520</v>
      </c>
      <c r="I33" s="111" t="s">
        <v>6521</v>
      </c>
      <c r="J33" s="111" t="s">
        <v>6489</v>
      </c>
      <c r="K33" s="115"/>
      <c r="L33" s="115" t="s">
        <v>6522</v>
      </c>
      <c r="M33" s="115" t="b">
        <f>IFS($A33=FALSE,"", countif(VLOOKUP($B33,'MARCH 2022'!C:C,1,FALSE),$B33)&gt;=1,TRUE,countif(VLOOKUP($B33,'MARCH 2022'!C:C,1,FALSE),$B33)=0,FALSE)</f>
        <v>0</v>
      </c>
      <c r="N33" s="115" t="b">
        <f>IFS($A33=FALSE,"", countif(VLOOKUP($A33,'MARCH 2022'!A:A,1,FALSE),$A33)&gt;=1,TRUE,countif(VLOOKUP($A33,'MARCH 2022'!A:A,1,FALSE),$A33)=0,FALSE)</f>
        <v>0</v>
      </c>
      <c r="O33" s="111" t="str">
        <f t="shared" si="2"/>
        <v> </v>
      </c>
    </row>
    <row r="34" ht="15.75" customHeight="1">
      <c r="A34" s="110" t="str">
        <f t="shared" si="1"/>
        <v>1094544622</v>
      </c>
      <c r="B34" s="111">
        <v>10945.0</v>
      </c>
      <c r="C34" s="112">
        <v>0.3229166666666667</v>
      </c>
      <c r="D34" s="111" t="s">
        <v>737</v>
      </c>
      <c r="E34" s="113">
        <v>19552.0</v>
      </c>
      <c r="F34" s="114">
        <v>44622.0</v>
      </c>
      <c r="G34" s="111" t="s">
        <v>6523</v>
      </c>
      <c r="H34" s="111" t="s">
        <v>6526</v>
      </c>
      <c r="I34" s="111" t="s">
        <v>6527</v>
      </c>
      <c r="J34" s="111" t="s">
        <v>6375</v>
      </c>
      <c r="K34" s="115"/>
      <c r="L34" s="115" t="s">
        <v>6522</v>
      </c>
      <c r="M34" s="115" t="b">
        <f>IFS($A34=FALSE,"", countif(VLOOKUP($B34,'MARCH 2022'!C:C,1,FALSE),$B34)&gt;=1,TRUE,countif(VLOOKUP($B34,'MARCH 2022'!C:C,1,FALSE),$B34)=0,FALSE)</f>
        <v>0</v>
      </c>
      <c r="N34" s="115" t="b">
        <f>IFS($A34=FALSE,"", countif(VLOOKUP($A34,'MARCH 2022'!A:A,1,FALSE),$A34)&gt;=1,TRUE,countif(VLOOKUP($A34,'MARCH 2022'!A:A,1,FALSE),$A34)=0,FALSE)</f>
        <v>0</v>
      </c>
      <c r="O34" s="111" t="str">
        <f t="shared" si="2"/>
        <v> </v>
      </c>
    </row>
    <row r="35" ht="15.75" customHeight="1">
      <c r="A35" s="110" t="str">
        <f t="shared" si="1"/>
        <v>1047744622</v>
      </c>
      <c r="B35" s="111">
        <v>10477.0</v>
      </c>
      <c r="C35" s="112">
        <v>0.3333333333333333</v>
      </c>
      <c r="D35" s="111" t="s">
        <v>559</v>
      </c>
      <c r="E35" s="113">
        <v>20553.0</v>
      </c>
      <c r="F35" s="114">
        <v>44622.0</v>
      </c>
      <c r="G35" s="111" t="s">
        <v>6523</v>
      </c>
      <c r="H35" s="111" t="s">
        <v>6520</v>
      </c>
      <c r="I35" s="111" t="s">
        <v>6524</v>
      </c>
      <c r="J35" s="111" t="s">
        <v>6374</v>
      </c>
      <c r="K35" s="115"/>
      <c r="L35" s="115" t="s">
        <v>6522</v>
      </c>
      <c r="M35" s="115" t="b">
        <f>IFS($A35=FALSE,"", countif(VLOOKUP($B35,'MARCH 2022'!C:C,1,FALSE),$B35)&gt;=1,TRUE,countif(VLOOKUP($B35,'MARCH 2022'!C:C,1,FALSE),$B35)=0,FALSE)</f>
        <v>0</v>
      </c>
      <c r="N35" s="115" t="b">
        <f>IFS($A35=FALSE,"", countif(VLOOKUP($A35,'MARCH 2022'!A:A,1,FALSE),$A35)&gt;=1,TRUE,countif(VLOOKUP($A35,'MARCH 2022'!A:A,1,FALSE),$A35)=0,FALSE)</f>
        <v>0</v>
      </c>
      <c r="O35" s="111" t="str">
        <f t="shared" si="2"/>
        <v> </v>
      </c>
    </row>
    <row r="36" ht="15.75" customHeight="1">
      <c r="A36" s="110" t="str">
        <f t="shared" si="1"/>
        <v>1578944622</v>
      </c>
      <c r="B36" s="111">
        <v>15789.0</v>
      </c>
      <c r="C36" s="112">
        <v>0.34375</v>
      </c>
      <c r="D36" s="111" t="s">
        <v>4146</v>
      </c>
      <c r="E36" s="113">
        <v>18415.0</v>
      </c>
      <c r="F36" s="114">
        <v>44622.0</v>
      </c>
      <c r="G36" s="111" t="s">
        <v>6523</v>
      </c>
      <c r="H36" s="111" t="s">
        <v>6520</v>
      </c>
      <c r="I36" s="111" t="s">
        <v>6521</v>
      </c>
      <c r="J36" s="111" t="s">
        <v>6476</v>
      </c>
      <c r="K36" s="115"/>
      <c r="L36" s="115" t="s">
        <v>6522</v>
      </c>
      <c r="M36" s="115" t="b">
        <f>IFS($A36=FALSE,"", countif(VLOOKUP($B36,'MARCH 2022'!C:C,1,FALSE),$B36)&gt;=1,TRUE,countif(VLOOKUP($B36,'MARCH 2022'!C:C,1,FALSE),$B36)=0,FALSE)</f>
        <v>0</v>
      </c>
      <c r="N36" s="115" t="b">
        <f>IFS($A36=FALSE,"", countif(VLOOKUP($A36,'MARCH 2022'!A:A,1,FALSE),$A36)&gt;=1,TRUE,countif(VLOOKUP($A36,'MARCH 2022'!A:A,1,FALSE),$A36)=0,FALSE)</f>
        <v>0</v>
      </c>
      <c r="O36" s="111" t="str">
        <f t="shared" si="2"/>
        <v> </v>
      </c>
    </row>
    <row r="37" ht="15.75" customHeight="1">
      <c r="A37" s="110" t="str">
        <f t="shared" si="1"/>
        <v>1322544622</v>
      </c>
      <c r="B37" s="111">
        <v>13225.0</v>
      </c>
      <c r="C37" s="112">
        <v>0.34375</v>
      </c>
      <c r="D37" s="111" t="s">
        <v>2067</v>
      </c>
      <c r="E37" s="113">
        <v>20670.0</v>
      </c>
      <c r="F37" s="114">
        <v>44622.0</v>
      </c>
      <c r="G37" s="111" t="s">
        <v>6523</v>
      </c>
      <c r="H37" s="111" t="s">
        <v>6520</v>
      </c>
      <c r="I37" s="111" t="s">
        <v>6524</v>
      </c>
      <c r="J37" s="111" t="s">
        <v>6489</v>
      </c>
      <c r="K37" s="115"/>
      <c r="L37" s="115" t="s">
        <v>6522</v>
      </c>
      <c r="M37" s="115" t="b">
        <f>IFS($A37=FALSE,"", countif(VLOOKUP($B37,'MARCH 2022'!C:C,1,FALSE),$B37)&gt;=1,TRUE,countif(VLOOKUP($B37,'MARCH 2022'!C:C,1,FALSE),$B37)=0,FALSE)</f>
        <v>0</v>
      </c>
      <c r="N37" s="115" t="b">
        <f>IFS($A37=FALSE,"", countif(VLOOKUP($A37,'MARCH 2022'!A:A,1,FALSE),$A37)&gt;=1,TRUE,countif(VLOOKUP($A37,'MARCH 2022'!A:A,1,FALSE),$A37)=0,FALSE)</f>
        <v>0</v>
      </c>
      <c r="O37" s="111" t="str">
        <f t="shared" si="2"/>
        <v> </v>
      </c>
    </row>
    <row r="38" ht="15.75" customHeight="1">
      <c r="A38" s="110" t="str">
        <f t="shared" si="1"/>
        <v>1101244622</v>
      </c>
      <c r="B38" s="111">
        <v>11012.0</v>
      </c>
      <c r="C38" s="112">
        <v>0.3541666666666667</v>
      </c>
      <c r="D38" s="111" t="s">
        <v>764</v>
      </c>
      <c r="E38" s="113">
        <v>23539.0</v>
      </c>
      <c r="F38" s="114">
        <v>44622.0</v>
      </c>
      <c r="G38" s="111" t="s">
        <v>6519</v>
      </c>
      <c r="H38" s="111" t="s">
        <v>6520</v>
      </c>
      <c r="I38" s="111" t="s">
        <v>6524</v>
      </c>
      <c r="J38" s="111" t="s">
        <v>6381</v>
      </c>
      <c r="K38" s="115"/>
      <c r="L38" s="115" t="s">
        <v>6522</v>
      </c>
      <c r="M38" s="115" t="b">
        <f>IFS($A38=FALSE,"", countif(VLOOKUP($B38,'MARCH 2022'!C:C,1,FALSE),$B38)&gt;=1,TRUE,countif(VLOOKUP($B38,'MARCH 2022'!C:C,1,FALSE),$B38)=0,FALSE)</f>
        <v>0</v>
      </c>
      <c r="N38" s="115" t="b">
        <f>IFS($A38=FALSE,"", countif(VLOOKUP($A38,'MARCH 2022'!A:A,1,FALSE),$A38)&gt;=1,TRUE,countif(VLOOKUP($A38,'MARCH 2022'!A:A,1,FALSE),$A38)=0,FALSE)</f>
        <v>0</v>
      </c>
      <c r="O38" s="111" t="str">
        <f t="shared" si="2"/>
        <v> </v>
      </c>
    </row>
    <row r="39" ht="15.75" customHeight="1">
      <c r="A39" s="110" t="str">
        <f t="shared" si="1"/>
        <v>1560044622</v>
      </c>
      <c r="B39" s="111">
        <v>15600.0</v>
      </c>
      <c r="C39" s="112">
        <v>0.3541666666666667</v>
      </c>
      <c r="D39" s="111" t="s">
        <v>3974</v>
      </c>
      <c r="E39" s="113">
        <v>18638.0</v>
      </c>
      <c r="F39" s="114">
        <v>44622.0</v>
      </c>
      <c r="G39" s="111" t="s">
        <v>6523</v>
      </c>
      <c r="H39" s="111" t="s">
        <v>6526</v>
      </c>
      <c r="I39" s="111" t="s">
        <v>6529</v>
      </c>
      <c r="J39" s="111" t="s">
        <v>6427</v>
      </c>
      <c r="K39" s="115"/>
      <c r="L39" s="115" t="s">
        <v>6522</v>
      </c>
      <c r="M39" s="115" t="b">
        <f>IFS($A39=FALSE,"", countif(VLOOKUP($B39,'MARCH 2022'!C:C,1,FALSE),$B39)&gt;=1,TRUE,countif(VLOOKUP($B39,'MARCH 2022'!C:C,1,FALSE),$B39)=0,FALSE)</f>
        <v>0</v>
      </c>
      <c r="N39" s="115" t="b">
        <f>IFS($A39=FALSE,"", countif(VLOOKUP($A39,'MARCH 2022'!A:A,1,FALSE),$A39)&gt;=1,TRUE,countif(VLOOKUP($A39,'MARCH 2022'!A:A,1,FALSE),$A39)=0,FALSE)</f>
        <v>0</v>
      </c>
      <c r="O39" s="111" t="str">
        <f t="shared" si="2"/>
        <v> </v>
      </c>
    </row>
    <row r="40" ht="15.75" customHeight="1">
      <c r="A40" s="110" t="str">
        <f t="shared" si="1"/>
        <v>1073244622</v>
      </c>
      <c r="B40" s="111">
        <v>10732.0</v>
      </c>
      <c r="C40" s="112">
        <v>0.375</v>
      </c>
      <c r="D40" s="111" t="s">
        <v>658</v>
      </c>
      <c r="E40" s="113">
        <v>22198.0</v>
      </c>
      <c r="F40" s="114">
        <v>44622.0</v>
      </c>
      <c r="G40" s="111" t="s">
        <v>6523</v>
      </c>
      <c r="H40" s="111" t="s">
        <v>6520</v>
      </c>
      <c r="I40" s="111" t="s">
        <v>6524</v>
      </c>
      <c r="J40" s="111" t="s">
        <v>6381</v>
      </c>
      <c r="K40" s="115"/>
      <c r="L40" s="115" t="s">
        <v>6522</v>
      </c>
      <c r="M40" s="115" t="b">
        <f>IFS($A40=FALSE,"", countif(VLOOKUP($B40,'MARCH 2022'!C:C,1,FALSE),$B40)&gt;=1,TRUE,countif(VLOOKUP($B40,'MARCH 2022'!C:C,1,FALSE),$B40)=0,FALSE)</f>
        <v>0</v>
      </c>
      <c r="N40" s="115" t="b">
        <f>IFS($A40=FALSE,"", countif(VLOOKUP($A40,'MARCH 2022'!A:A,1,FALSE),$A40)&gt;=1,TRUE,countif(VLOOKUP($A40,'MARCH 2022'!A:A,1,FALSE),$A40)=0,FALSE)</f>
        <v>0</v>
      </c>
      <c r="O40" s="111" t="str">
        <f t="shared" si="2"/>
        <v> </v>
      </c>
    </row>
    <row r="41" ht="15.75" customHeight="1">
      <c r="A41" s="110" t="str">
        <f t="shared" si="1"/>
        <v>1070844622</v>
      </c>
      <c r="B41" s="111">
        <v>10708.0</v>
      </c>
      <c r="C41" s="112">
        <v>0.3958333333333333</v>
      </c>
      <c r="D41" s="111" t="s">
        <v>647</v>
      </c>
      <c r="E41" s="113">
        <v>22434.0</v>
      </c>
      <c r="F41" s="114">
        <v>44622.0</v>
      </c>
      <c r="G41" s="111" t="s">
        <v>6523</v>
      </c>
      <c r="H41" s="111" t="s">
        <v>6520</v>
      </c>
      <c r="I41" s="111" t="s">
        <v>6524</v>
      </c>
      <c r="J41" s="111" t="s">
        <v>6381</v>
      </c>
      <c r="K41" s="115"/>
      <c r="L41" s="115" t="s">
        <v>6522</v>
      </c>
      <c r="M41" s="115" t="b">
        <f>IFS($A41=FALSE,"", countif(VLOOKUP($B41,'MARCH 2022'!C:C,1,FALSE),$B41)&gt;=1,TRUE,countif(VLOOKUP($B41,'MARCH 2022'!C:C,1,FALSE),$B41)=0,FALSE)</f>
        <v>0</v>
      </c>
      <c r="N41" s="115" t="b">
        <f>IFS($A41=FALSE,"", countif(VLOOKUP($A41,'MARCH 2022'!A:A,1,FALSE),$A41)&gt;=1,TRUE,countif(VLOOKUP($A41,'MARCH 2022'!A:A,1,FALSE),$A41)=0,FALSE)</f>
        <v>0</v>
      </c>
      <c r="O41" s="111" t="str">
        <f t="shared" si="2"/>
        <v> </v>
      </c>
    </row>
    <row r="42" ht="15.75" customHeight="1">
      <c r="A42" s="110" t="str">
        <f t="shared" si="1"/>
        <v>1288844622</v>
      </c>
      <c r="B42" s="111">
        <v>12888.0</v>
      </c>
      <c r="C42" s="112">
        <v>0.40625</v>
      </c>
      <c r="D42" s="111" t="s">
        <v>1791</v>
      </c>
      <c r="E42" s="113">
        <v>32685.0</v>
      </c>
      <c r="F42" s="114">
        <v>44622.0</v>
      </c>
      <c r="G42" s="111" t="s">
        <v>6523</v>
      </c>
      <c r="H42" s="111" t="s">
        <v>6520</v>
      </c>
      <c r="I42" s="111" t="s">
        <v>6524</v>
      </c>
      <c r="J42" s="111" t="s">
        <v>6407</v>
      </c>
      <c r="K42" s="115"/>
      <c r="L42" s="115" t="s">
        <v>6522</v>
      </c>
      <c r="M42" s="115" t="b">
        <f>IFS($A42=FALSE,"", countif(VLOOKUP($B42,'MARCH 2022'!C:C,1,FALSE),$B42)&gt;=1,TRUE,countif(VLOOKUP($B42,'MARCH 2022'!C:C,1,FALSE),$B42)=0,FALSE)</f>
        <v>0</v>
      </c>
      <c r="N42" s="115" t="b">
        <f>IFS($A42=FALSE,"", countif(VLOOKUP($A42,'MARCH 2022'!A:A,1,FALSE),$A42)&gt;=1,TRUE,countif(VLOOKUP($A42,'MARCH 2022'!A:A,1,FALSE),$A42)=0,FALSE)</f>
        <v>0</v>
      </c>
      <c r="O42" s="111" t="str">
        <f t="shared" si="2"/>
        <v> </v>
      </c>
    </row>
    <row r="43" ht="15.75" customHeight="1">
      <c r="A43" s="110" t="str">
        <f t="shared" si="1"/>
        <v>1450244622</v>
      </c>
      <c r="B43" s="111">
        <v>14502.0</v>
      </c>
      <c r="C43" s="112">
        <v>0.4270833333333333</v>
      </c>
      <c r="D43" s="111" t="s">
        <v>3053</v>
      </c>
      <c r="E43" s="113">
        <v>26323.0</v>
      </c>
      <c r="F43" s="114">
        <v>44622.0</v>
      </c>
      <c r="G43" s="111" t="s">
        <v>6523</v>
      </c>
      <c r="H43" s="111" t="s">
        <v>6526</v>
      </c>
      <c r="I43" s="111" t="s">
        <v>6527</v>
      </c>
      <c r="J43" s="111" t="s">
        <v>6489</v>
      </c>
      <c r="K43" s="115"/>
      <c r="L43" s="115" t="s">
        <v>6522</v>
      </c>
      <c r="M43" s="115" t="b">
        <f>IFS($A43=FALSE,"", countif(VLOOKUP($B43,'MARCH 2022'!C:C,1,FALSE),$B43)&gt;=1,TRUE,countif(VLOOKUP($B43,'MARCH 2022'!C:C,1,FALSE),$B43)=0,FALSE)</f>
        <v>0</v>
      </c>
      <c r="N43" s="115" t="b">
        <f>IFS($A43=FALSE,"", countif(VLOOKUP($A43,'MARCH 2022'!A:A,1,FALSE),$A43)&gt;=1,TRUE,countif(VLOOKUP($A43,'MARCH 2022'!A:A,1,FALSE),$A43)=0,FALSE)</f>
        <v>0</v>
      </c>
      <c r="O43" s="111" t="str">
        <f t="shared" si="2"/>
        <v> </v>
      </c>
    </row>
    <row r="44" ht="15.75" customHeight="1">
      <c r="A44" s="110" t="str">
        <f t="shared" si="1"/>
        <v>1731844622</v>
      </c>
      <c r="B44" s="111">
        <v>17318.0</v>
      </c>
      <c r="C44" s="112">
        <v>0.4270833333333333</v>
      </c>
      <c r="D44" s="111" t="s">
        <v>5738</v>
      </c>
      <c r="E44" s="113">
        <v>20974.0</v>
      </c>
      <c r="F44" s="114">
        <v>44622.0</v>
      </c>
      <c r="G44" s="111" t="s">
        <v>6523</v>
      </c>
      <c r="H44" s="111" t="s">
        <v>6520</v>
      </c>
      <c r="I44" s="111" t="s">
        <v>6524</v>
      </c>
      <c r="J44" s="111" t="s">
        <v>6372</v>
      </c>
      <c r="K44" s="115"/>
      <c r="L44" s="115" t="s">
        <v>6522</v>
      </c>
      <c r="M44" s="115" t="b">
        <f>IFS($A44=FALSE,"", countif(VLOOKUP($B44,'MARCH 2022'!C:C,1,FALSE),$B44)&gt;=1,TRUE,countif(VLOOKUP($B44,'MARCH 2022'!C:C,1,FALSE),$B44)=0,FALSE)</f>
        <v>0</v>
      </c>
      <c r="N44" s="115" t="b">
        <f>IFS($A44=FALSE,"", countif(VLOOKUP($A44,'MARCH 2022'!A:A,1,FALSE),$A44)&gt;=1,TRUE,countif(VLOOKUP($A44,'MARCH 2022'!A:A,1,FALSE),$A44)=0,FALSE)</f>
        <v>0</v>
      </c>
      <c r="O44" s="111" t="str">
        <f t="shared" si="2"/>
        <v> </v>
      </c>
    </row>
    <row r="45" ht="15.75" customHeight="1">
      <c r="A45" s="110" t="str">
        <f t="shared" si="1"/>
        <v>924144622</v>
      </c>
      <c r="B45" s="111">
        <v>9241.0</v>
      </c>
      <c r="C45" s="112">
        <v>0.46875</v>
      </c>
      <c r="D45" s="111" t="s">
        <v>98</v>
      </c>
      <c r="E45" s="113">
        <v>23211.0</v>
      </c>
      <c r="F45" s="114">
        <v>44622.0</v>
      </c>
      <c r="G45" s="111" t="s">
        <v>6523</v>
      </c>
      <c r="H45" s="111" t="s">
        <v>6526</v>
      </c>
      <c r="I45" s="111" t="s">
        <v>6527</v>
      </c>
      <c r="J45" s="111" t="s">
        <v>6427</v>
      </c>
      <c r="K45" s="115"/>
      <c r="L45" s="115" t="s">
        <v>6522</v>
      </c>
      <c r="M45" s="115" t="b">
        <f>IFS($A45=FALSE,"", countif(VLOOKUP($B45,'MARCH 2022'!C:C,1,FALSE),$B45)&gt;=1,TRUE,countif(VLOOKUP($B45,'MARCH 2022'!C:C,1,FALSE),$B45)=0,FALSE)</f>
        <v>0</v>
      </c>
      <c r="N45" s="115" t="b">
        <f>IFS($A45=FALSE,"", countif(VLOOKUP($A45,'MARCH 2022'!A:A,1,FALSE),$A45)&gt;=1,TRUE,countif(VLOOKUP($A45,'MARCH 2022'!A:A,1,FALSE),$A45)=0,FALSE)</f>
        <v>0</v>
      </c>
      <c r="O45" s="111" t="str">
        <f t="shared" si="2"/>
        <v> </v>
      </c>
    </row>
    <row r="46" ht="15.75" customHeight="1">
      <c r="A46" s="110" t="str">
        <f t="shared" si="1"/>
        <v>1704244622</v>
      </c>
      <c r="B46" s="111">
        <v>17042.0</v>
      </c>
      <c r="C46" s="112">
        <v>0.46875</v>
      </c>
      <c r="D46" s="111" t="s">
        <v>5156</v>
      </c>
      <c r="E46" s="113">
        <v>16764.0</v>
      </c>
      <c r="F46" s="114">
        <v>44622.0</v>
      </c>
      <c r="G46" s="111" t="s">
        <v>6519</v>
      </c>
      <c r="H46" s="111" t="s">
        <v>6520</v>
      </c>
      <c r="I46" s="111" t="s">
        <v>6521</v>
      </c>
      <c r="J46" s="111" t="s">
        <v>6489</v>
      </c>
      <c r="K46" s="115"/>
      <c r="L46" s="115" t="s">
        <v>6522</v>
      </c>
      <c r="M46" s="115" t="b">
        <f>IFS($A46=FALSE,"", countif(VLOOKUP($B46,'MARCH 2022'!C:C,1,FALSE),$B46)&gt;=1,TRUE,countif(VLOOKUP($B46,'MARCH 2022'!C:C,1,FALSE),$B46)=0,FALSE)</f>
        <v>0</v>
      </c>
      <c r="N46" s="115" t="b">
        <f>IFS($A46=FALSE,"", countif(VLOOKUP($A46,'MARCH 2022'!A:A,1,FALSE),$A46)&gt;=1,TRUE,countif(VLOOKUP($A46,'MARCH 2022'!A:A,1,FALSE),$A46)=0,FALSE)</f>
        <v>0</v>
      </c>
      <c r="O46" s="111" t="str">
        <f t="shared" si="2"/>
        <v> </v>
      </c>
    </row>
    <row r="47" ht="15.75" customHeight="1">
      <c r="A47" s="110" t="str">
        <f t="shared" si="1"/>
        <v>1706844622</v>
      </c>
      <c r="B47" s="111">
        <v>17068.0</v>
      </c>
      <c r="C47" s="112">
        <v>0.5416666666666666</v>
      </c>
      <c r="D47" s="111" t="s">
        <v>5175</v>
      </c>
      <c r="E47" s="113">
        <v>22674.0</v>
      </c>
      <c r="F47" s="114">
        <v>44622.0</v>
      </c>
      <c r="G47" s="111" t="s">
        <v>6523</v>
      </c>
      <c r="H47" s="111" t="s">
        <v>6520</v>
      </c>
      <c r="I47" s="111" t="s">
        <v>6524</v>
      </c>
      <c r="J47" s="111" t="s">
        <v>6438</v>
      </c>
      <c r="K47" s="115"/>
      <c r="L47" s="115" t="s">
        <v>6522</v>
      </c>
      <c r="M47" s="115" t="b">
        <f>IFS($A47=FALSE,"", countif(VLOOKUP($B47,'MARCH 2022'!C:C,1,FALSE),$B47)&gt;=1,TRUE,countif(VLOOKUP($B47,'MARCH 2022'!C:C,1,FALSE),$B47)=0,FALSE)</f>
        <v>0</v>
      </c>
      <c r="N47" s="115" t="b">
        <f>IFS($A47=FALSE,"", countif(VLOOKUP($A47,'MARCH 2022'!A:A,1,FALSE),$A47)&gt;=1,TRUE,countif(VLOOKUP($A47,'MARCH 2022'!A:A,1,FALSE),$A47)=0,FALSE)</f>
        <v>0</v>
      </c>
      <c r="O47" s="111" t="str">
        <f t="shared" si="2"/>
        <v> </v>
      </c>
    </row>
    <row r="48" ht="15.75" customHeight="1">
      <c r="A48" s="110" t="str">
        <f t="shared" si="1"/>
        <v>977544622</v>
      </c>
      <c r="B48" s="111">
        <v>9775.0</v>
      </c>
      <c r="C48" s="112">
        <v>0.5520833333333334</v>
      </c>
      <c r="D48" s="111" t="s">
        <v>282</v>
      </c>
      <c r="E48" s="113">
        <v>16906.0</v>
      </c>
      <c r="F48" s="114">
        <v>44622.0</v>
      </c>
      <c r="G48" s="111" t="s">
        <v>6519</v>
      </c>
      <c r="H48" s="111" t="s">
        <v>6520</v>
      </c>
      <c r="I48" s="111" t="s">
        <v>6521</v>
      </c>
      <c r="J48" s="111" t="s">
        <v>6384</v>
      </c>
      <c r="K48" s="115"/>
      <c r="L48" s="115" t="s">
        <v>6522</v>
      </c>
      <c r="M48" s="115" t="b">
        <f>IFS($A48=FALSE,"", countif(VLOOKUP($B48,'MARCH 2022'!C:C,1,FALSE),$B48)&gt;=1,TRUE,countif(VLOOKUP($B48,'MARCH 2022'!C:C,1,FALSE),$B48)=0,FALSE)</f>
        <v>0</v>
      </c>
      <c r="N48" s="115" t="b">
        <f>IFS($A48=FALSE,"", countif(VLOOKUP($A48,'MARCH 2022'!A:A,1,FALSE),$A48)&gt;=1,TRUE,countif(VLOOKUP($A48,'MARCH 2022'!A:A,1,FALSE),$A48)=0,FALSE)</f>
        <v>0</v>
      </c>
      <c r="O48" s="111" t="str">
        <f t="shared" si="2"/>
        <v> </v>
      </c>
    </row>
    <row r="49" ht="15.75" customHeight="1">
      <c r="A49" s="110" t="str">
        <f t="shared" si="1"/>
        <v>1656044622</v>
      </c>
      <c r="B49" s="111">
        <v>16560.0</v>
      </c>
      <c r="C49" s="112">
        <v>0.5625</v>
      </c>
      <c r="D49" s="111" t="s">
        <v>4780</v>
      </c>
      <c r="E49" s="113">
        <v>17367.0</v>
      </c>
      <c r="F49" s="114">
        <v>44622.0</v>
      </c>
      <c r="G49" s="111" t="s">
        <v>6519</v>
      </c>
      <c r="H49" s="111" t="s">
        <v>6520</v>
      </c>
      <c r="I49" s="111" t="s">
        <v>6521</v>
      </c>
      <c r="J49" s="111" t="s">
        <v>6384</v>
      </c>
      <c r="K49" s="115"/>
      <c r="L49" s="115" t="s">
        <v>6522</v>
      </c>
      <c r="M49" s="115" t="b">
        <f>IFS($A49=FALSE,"", countif(VLOOKUP($B49,'MARCH 2022'!C:C,1,FALSE),$B49)&gt;=1,TRUE,countif(VLOOKUP($B49,'MARCH 2022'!C:C,1,FALSE),$B49)=0,FALSE)</f>
        <v>0</v>
      </c>
      <c r="N49" s="115" t="b">
        <f>IFS($A49=FALSE,"", countif(VLOOKUP($A49,'MARCH 2022'!A:A,1,FALSE),$A49)&gt;=1,TRUE,countif(VLOOKUP($A49,'MARCH 2022'!A:A,1,FALSE),$A49)=0,FALSE)</f>
        <v>0</v>
      </c>
      <c r="O49" s="111" t="str">
        <f t="shared" si="2"/>
        <v> </v>
      </c>
    </row>
    <row r="50" ht="15.75" customHeight="1">
      <c r="A50" s="110" t="str">
        <f t="shared" si="1"/>
        <v>1552144622</v>
      </c>
      <c r="B50" s="111">
        <v>15521.0</v>
      </c>
      <c r="C50" s="112">
        <v>0.5729166666666666</v>
      </c>
      <c r="D50" s="111" t="s">
        <v>3903</v>
      </c>
      <c r="E50" s="113">
        <v>27379.0</v>
      </c>
      <c r="F50" s="114">
        <v>44622.0</v>
      </c>
      <c r="G50" s="111" t="s">
        <v>6523</v>
      </c>
      <c r="H50" s="111" t="s">
        <v>6520</v>
      </c>
      <c r="I50" s="111" t="s">
        <v>6521</v>
      </c>
      <c r="J50" s="111" t="s">
        <v>6407</v>
      </c>
      <c r="K50" s="115"/>
      <c r="L50" s="115" t="s">
        <v>6522</v>
      </c>
      <c r="M50" s="115" t="b">
        <f>IFS($A50=FALSE,"", countif(VLOOKUP($B50,'MARCH 2022'!C:C,1,FALSE),$B50)&gt;=1,TRUE,countif(VLOOKUP($B50,'MARCH 2022'!C:C,1,FALSE),$B50)=0,FALSE)</f>
        <v>0</v>
      </c>
      <c r="N50" s="115" t="b">
        <f>IFS($A50=FALSE,"", countif(VLOOKUP($A50,'MARCH 2022'!A:A,1,FALSE),$A50)&gt;=1,TRUE,countif(VLOOKUP($A50,'MARCH 2022'!A:A,1,FALSE),$A50)=0,FALSE)</f>
        <v>0</v>
      </c>
      <c r="O50" s="111" t="str">
        <f t="shared" si="2"/>
        <v> </v>
      </c>
    </row>
    <row r="51" ht="15.75" customHeight="1">
      <c r="A51" s="110" t="str">
        <f t="shared" si="1"/>
        <v>1333144622</v>
      </c>
      <c r="B51" s="111">
        <v>13331.0</v>
      </c>
      <c r="C51" s="112">
        <v>0.5833333333333334</v>
      </c>
      <c r="D51" s="111" t="s">
        <v>2150</v>
      </c>
      <c r="E51" s="113">
        <v>17613.0</v>
      </c>
      <c r="F51" s="114">
        <v>44622.0</v>
      </c>
      <c r="G51" s="111" t="s">
        <v>6523</v>
      </c>
      <c r="H51" s="111" t="s">
        <v>6520</v>
      </c>
      <c r="I51" s="111" t="s">
        <v>6521</v>
      </c>
      <c r="J51" s="111" t="s">
        <v>6385</v>
      </c>
      <c r="K51" s="115"/>
      <c r="L51" s="115" t="s">
        <v>6522</v>
      </c>
      <c r="M51" s="115" t="b">
        <f>IFS($A51=FALSE,"", countif(VLOOKUP($B51,'MARCH 2022'!C:C,1,FALSE),$B51)&gt;=1,TRUE,countif(VLOOKUP($B51,'MARCH 2022'!C:C,1,FALSE),$B51)=0,FALSE)</f>
        <v>0</v>
      </c>
      <c r="N51" s="115" t="b">
        <f>IFS($A51=FALSE,"", countif(VLOOKUP($A51,'MARCH 2022'!A:A,1,FALSE),$A51)&gt;=1,TRUE,countif(VLOOKUP($A51,'MARCH 2022'!A:A,1,FALSE),$A51)=0,FALSE)</f>
        <v>0</v>
      </c>
      <c r="O51" s="111" t="str">
        <f t="shared" si="2"/>
        <v> </v>
      </c>
    </row>
    <row r="52" ht="15.75" customHeight="1">
      <c r="A52" s="110" t="str">
        <f t="shared" si="1"/>
        <v>1308444622</v>
      </c>
      <c r="B52" s="111">
        <v>13084.0</v>
      </c>
      <c r="C52" s="112">
        <v>0.59375</v>
      </c>
      <c r="D52" s="111" t="s">
        <v>1955</v>
      </c>
      <c r="E52" s="113">
        <v>22740.0</v>
      </c>
      <c r="F52" s="114">
        <v>44622.0</v>
      </c>
      <c r="G52" s="111" t="s">
        <v>6523</v>
      </c>
      <c r="H52" s="111" t="s">
        <v>6526</v>
      </c>
      <c r="I52" s="111" t="s">
        <v>6527</v>
      </c>
      <c r="J52" s="111" t="s">
        <v>6375</v>
      </c>
      <c r="K52" s="115"/>
      <c r="L52" s="115" t="s">
        <v>6522</v>
      </c>
      <c r="M52" s="115" t="b">
        <f>IFS($A52=FALSE,"", countif(VLOOKUP($B52,'MARCH 2022'!C:C,1,FALSE),$B52)&gt;=1,TRUE,countif(VLOOKUP($B52,'MARCH 2022'!C:C,1,FALSE),$B52)=0,FALSE)</f>
        <v>0</v>
      </c>
      <c r="N52" s="115" t="b">
        <f>IFS($A52=FALSE,"", countif(VLOOKUP($A52,'MARCH 2022'!A:A,1,FALSE),$A52)&gt;=1,TRUE,countif(VLOOKUP($A52,'MARCH 2022'!A:A,1,FALSE),$A52)=0,FALSE)</f>
        <v>0</v>
      </c>
      <c r="O52" s="111" t="str">
        <f t="shared" si="2"/>
        <v> </v>
      </c>
    </row>
    <row r="53" ht="15.75" customHeight="1">
      <c r="A53" s="110" t="str">
        <f t="shared" si="1"/>
        <v>1824444622</v>
      </c>
      <c r="B53" s="111">
        <v>18244.0</v>
      </c>
      <c r="C53" s="112">
        <v>0.59375</v>
      </c>
      <c r="D53" s="111" t="s">
        <v>6530</v>
      </c>
      <c r="E53" s="113">
        <v>21144.0</v>
      </c>
      <c r="F53" s="114">
        <v>44622.0</v>
      </c>
      <c r="G53" s="111" t="s">
        <v>6525</v>
      </c>
      <c r="H53" s="111" t="s">
        <v>6526</v>
      </c>
      <c r="I53" s="111" t="s">
        <v>6529</v>
      </c>
      <c r="J53" s="111" t="s">
        <v>6407</v>
      </c>
      <c r="K53" s="115"/>
      <c r="L53" s="115" t="s">
        <v>6522</v>
      </c>
      <c r="M53" s="115" t="b">
        <f>IFS($A53=FALSE,"", countif(VLOOKUP($B53,'MARCH 2022'!C:C,1,FALSE),$B53)&gt;=1,TRUE,countif(VLOOKUP($B53,'MARCH 2022'!C:C,1,FALSE),$B53)=0,FALSE)</f>
        <v>0</v>
      </c>
      <c r="N53" s="115" t="b">
        <f>IFS($A53=FALSE,"", countif(VLOOKUP($A53,'MARCH 2022'!A:A,1,FALSE),$A53)&gt;=1,TRUE,countif(VLOOKUP($A53,'MARCH 2022'!A:A,1,FALSE),$A53)=0,FALSE)</f>
        <v>0</v>
      </c>
      <c r="O53" s="111" t="str">
        <f t="shared" si="2"/>
        <v> </v>
      </c>
    </row>
    <row r="54" ht="15.75" customHeight="1">
      <c r="A54" s="110" t="str">
        <f t="shared" si="1"/>
        <v>1080144622</v>
      </c>
      <c r="B54" s="111">
        <v>10801.0</v>
      </c>
      <c r="C54" s="112">
        <v>0.59375</v>
      </c>
      <c r="D54" s="111" t="s">
        <v>690</v>
      </c>
      <c r="E54" s="113">
        <v>28794.0</v>
      </c>
      <c r="F54" s="114">
        <v>44622.0</v>
      </c>
      <c r="G54" s="111" t="s">
        <v>6523</v>
      </c>
      <c r="H54" s="111" t="s">
        <v>6520</v>
      </c>
      <c r="I54" s="111" t="s">
        <v>6521</v>
      </c>
      <c r="J54" s="111" t="s">
        <v>6372</v>
      </c>
      <c r="K54" s="115"/>
      <c r="L54" s="115" t="s">
        <v>6522</v>
      </c>
      <c r="M54" s="115" t="b">
        <f>IFS($A54=FALSE,"", countif(VLOOKUP($B54,'MARCH 2022'!C:C,1,FALSE),$B54)&gt;=1,TRUE,countif(VLOOKUP($B54,'MARCH 2022'!C:C,1,FALSE),$B54)=0,FALSE)</f>
        <v>0</v>
      </c>
      <c r="N54" s="115" t="b">
        <f>IFS($A54=FALSE,"", countif(VLOOKUP($A54,'MARCH 2022'!A:A,1,FALSE),$A54)&gt;=1,TRUE,countif(VLOOKUP($A54,'MARCH 2022'!A:A,1,FALSE),$A54)=0,FALSE)</f>
        <v>0</v>
      </c>
      <c r="O54" s="111" t="str">
        <f t="shared" si="2"/>
        <v> </v>
      </c>
    </row>
    <row r="55" ht="15.75" customHeight="1">
      <c r="A55" s="110" t="str">
        <f t="shared" si="1"/>
        <v>1342844622</v>
      </c>
      <c r="B55" s="111">
        <v>13428.0</v>
      </c>
      <c r="C55" s="112">
        <v>0.6041666666666666</v>
      </c>
      <c r="D55" s="111" t="s">
        <v>2216</v>
      </c>
      <c r="E55" s="113">
        <v>16093.0</v>
      </c>
      <c r="F55" s="114">
        <v>44622.0</v>
      </c>
      <c r="G55" s="111" t="s">
        <v>6523</v>
      </c>
      <c r="H55" s="111" t="s">
        <v>6520</v>
      </c>
      <c r="I55" s="111" t="s">
        <v>6521</v>
      </c>
      <c r="J55" s="111" t="s">
        <v>6385</v>
      </c>
      <c r="K55" s="115"/>
      <c r="L55" s="115" t="s">
        <v>6522</v>
      </c>
      <c r="M55" s="115" t="b">
        <f>IFS($A55=FALSE,"", countif(VLOOKUP($B55,'MARCH 2022'!C:C,1,FALSE),$B55)&gt;=1,TRUE,countif(VLOOKUP($B55,'MARCH 2022'!C:C,1,FALSE),$B55)=0,FALSE)</f>
        <v>0</v>
      </c>
      <c r="N55" s="115" t="b">
        <f>IFS($A55=FALSE,"", countif(VLOOKUP($A55,'MARCH 2022'!A:A,1,FALSE),$A55)&gt;=1,TRUE,countif(VLOOKUP($A55,'MARCH 2022'!A:A,1,FALSE),$A55)=0,FALSE)</f>
        <v>0</v>
      </c>
      <c r="O55" s="111" t="str">
        <f t="shared" si="2"/>
        <v> </v>
      </c>
    </row>
    <row r="56" ht="15.75" customHeight="1">
      <c r="A56" s="110" t="str">
        <f t="shared" si="1"/>
        <v>1823744622</v>
      </c>
      <c r="B56" s="111">
        <v>18237.0</v>
      </c>
      <c r="C56" s="112">
        <v>0.6041666666666666</v>
      </c>
      <c r="D56" s="111" t="s">
        <v>6531</v>
      </c>
      <c r="E56" s="113">
        <v>22630.0</v>
      </c>
      <c r="F56" s="114">
        <v>44622.0</v>
      </c>
      <c r="G56" s="111" t="s">
        <v>6525</v>
      </c>
      <c r="H56" s="111" t="s">
        <v>6526</v>
      </c>
      <c r="I56" s="111" t="s">
        <v>6527</v>
      </c>
      <c r="J56" s="111" t="s">
        <v>6372</v>
      </c>
      <c r="K56" s="115"/>
      <c r="L56" s="115" t="s">
        <v>6522</v>
      </c>
      <c r="M56" s="115" t="b">
        <f>IFS($A56=FALSE,"", countif(VLOOKUP($B56,'MARCH 2022'!C:C,1,FALSE),$B56)&gt;=1,TRUE,countif(VLOOKUP($B56,'MARCH 2022'!C:C,1,FALSE),$B56)=0,FALSE)</f>
        <v>0</v>
      </c>
      <c r="N56" s="115" t="b">
        <f>IFS($A56=FALSE,"", countif(VLOOKUP($A56,'MARCH 2022'!A:A,1,FALSE),$A56)&gt;=1,TRUE,countif(VLOOKUP($A56,'MARCH 2022'!A:A,1,FALSE),$A56)=0,FALSE)</f>
        <v>0</v>
      </c>
      <c r="O56" s="111" t="str">
        <f t="shared" si="2"/>
        <v> </v>
      </c>
    </row>
    <row r="57" ht="15.75" customHeight="1">
      <c r="A57" s="110" t="str">
        <f t="shared" si="1"/>
        <v>1770444622</v>
      </c>
      <c r="B57" s="111">
        <v>17704.0</v>
      </c>
      <c r="C57" s="112">
        <v>0.6145833333333334</v>
      </c>
      <c r="D57" s="111" t="s">
        <v>5967</v>
      </c>
      <c r="E57" s="113">
        <v>26847.0</v>
      </c>
      <c r="F57" s="114">
        <v>44622.0</v>
      </c>
      <c r="G57" s="111" t="s">
        <v>6519</v>
      </c>
      <c r="H57" s="111" t="s">
        <v>6520</v>
      </c>
      <c r="I57" s="111" t="s">
        <v>6521</v>
      </c>
      <c r="J57" s="111" t="s">
        <v>6427</v>
      </c>
      <c r="K57" s="115"/>
      <c r="L57" s="115" t="s">
        <v>6522</v>
      </c>
      <c r="M57" s="115" t="b">
        <f>IFS($A57=FALSE,"", countif(VLOOKUP($B57,'MARCH 2022'!C:C,1,FALSE),$B57)&gt;=1,TRUE,countif(VLOOKUP($B57,'MARCH 2022'!C:C,1,FALSE),$B57)=0,FALSE)</f>
        <v>0</v>
      </c>
      <c r="N57" s="115" t="b">
        <f>IFS($A57=FALSE,"", countif(VLOOKUP($A57,'MARCH 2022'!A:A,1,FALSE),$A57)&gt;=1,TRUE,countif(VLOOKUP($A57,'MARCH 2022'!A:A,1,FALSE),$A57)=0,FALSE)</f>
        <v>0</v>
      </c>
      <c r="O57" s="111" t="str">
        <f t="shared" si="2"/>
        <v> </v>
      </c>
    </row>
    <row r="58" ht="15.75" customHeight="1">
      <c r="A58" s="110" t="str">
        <f t="shared" si="1"/>
        <v>1705544622</v>
      </c>
      <c r="B58" s="111">
        <v>17055.0</v>
      </c>
      <c r="C58" s="112">
        <v>0.6145833333333334</v>
      </c>
      <c r="D58" s="111" t="s">
        <v>5166</v>
      </c>
      <c r="E58" s="113">
        <v>11289.0</v>
      </c>
      <c r="F58" s="114">
        <v>44622.0</v>
      </c>
      <c r="G58" s="111" t="s">
        <v>6523</v>
      </c>
      <c r="H58" s="111" t="s">
        <v>6520</v>
      </c>
      <c r="I58" s="111" t="s">
        <v>6524</v>
      </c>
      <c r="J58" s="111" t="s">
        <v>6427</v>
      </c>
      <c r="K58" s="115"/>
      <c r="L58" s="115" t="s">
        <v>6522</v>
      </c>
      <c r="M58" s="115" t="b">
        <f>IFS($A58=FALSE,"", countif(VLOOKUP($B58,'MARCH 2022'!C:C,1,FALSE),$B58)&gt;=1,TRUE,countif(VLOOKUP($B58,'MARCH 2022'!C:C,1,FALSE),$B58)=0,FALSE)</f>
        <v>0</v>
      </c>
      <c r="N58" s="115" t="b">
        <f>IFS($A58=FALSE,"", countif(VLOOKUP($A58,'MARCH 2022'!A:A,1,FALSE),$A58)&gt;=1,TRUE,countif(VLOOKUP($A58,'MARCH 2022'!A:A,1,FALSE),$A58)=0,FALSE)</f>
        <v>0</v>
      </c>
      <c r="O58" s="111" t="str">
        <f t="shared" si="2"/>
        <v> </v>
      </c>
    </row>
    <row r="59" ht="15.75" customHeight="1">
      <c r="A59" s="110" t="str">
        <f t="shared" si="1"/>
        <v>1603744622</v>
      </c>
      <c r="B59" s="111">
        <v>16037.0</v>
      </c>
      <c r="C59" s="112">
        <v>0.625</v>
      </c>
      <c r="D59" s="111" t="s">
        <v>4368</v>
      </c>
      <c r="E59" s="113">
        <v>16788.0</v>
      </c>
      <c r="F59" s="114">
        <v>44622.0</v>
      </c>
      <c r="G59" s="111" t="s">
        <v>6519</v>
      </c>
      <c r="H59" s="111" t="s">
        <v>6526</v>
      </c>
      <c r="I59" s="111" t="s">
        <v>6527</v>
      </c>
      <c r="J59" s="111" t="s">
        <v>6464</v>
      </c>
      <c r="K59" s="115"/>
      <c r="L59" s="115" t="s">
        <v>6522</v>
      </c>
      <c r="M59" s="115" t="b">
        <f>IFS($A59=FALSE,"", countif(VLOOKUP($B59,'MARCH 2022'!C:C,1,FALSE),$B59)&gt;=1,TRUE,countif(VLOOKUP($B59,'MARCH 2022'!C:C,1,FALSE),$B59)=0,FALSE)</f>
        <v>0</v>
      </c>
      <c r="N59" s="115" t="b">
        <f>IFS($A59=FALSE,"", countif(VLOOKUP($A59,'MARCH 2022'!A:A,1,FALSE),$A59)&gt;=1,TRUE,countif(VLOOKUP($A59,'MARCH 2022'!A:A,1,FALSE),$A59)=0,FALSE)</f>
        <v>0</v>
      </c>
      <c r="O59" s="111" t="str">
        <f t="shared" si="2"/>
        <v> </v>
      </c>
    </row>
    <row r="60" ht="15.75" customHeight="1">
      <c r="A60" s="110" t="str">
        <f t="shared" si="1"/>
        <v>1216744622</v>
      </c>
      <c r="B60" s="111">
        <v>12167.0</v>
      </c>
      <c r="C60" s="112">
        <v>0.625</v>
      </c>
      <c r="D60" s="111" t="s">
        <v>1302</v>
      </c>
      <c r="E60" s="113">
        <v>28330.0</v>
      </c>
      <c r="F60" s="114">
        <v>44622.0</v>
      </c>
      <c r="G60" s="111" t="s">
        <v>6523</v>
      </c>
      <c r="H60" s="111" t="s">
        <v>6526</v>
      </c>
      <c r="I60" s="111" t="s">
        <v>6527</v>
      </c>
      <c r="J60" s="111" t="s">
        <v>6379</v>
      </c>
      <c r="K60" s="115"/>
      <c r="L60" s="115" t="s">
        <v>6522</v>
      </c>
      <c r="M60" s="115" t="b">
        <f>IFS($A60=FALSE,"", countif(VLOOKUP($B60,'MARCH 2022'!C:C,1,FALSE),$B60)&gt;=1,TRUE,countif(VLOOKUP($B60,'MARCH 2022'!C:C,1,FALSE),$B60)=0,FALSE)</f>
        <v>0</v>
      </c>
      <c r="N60" s="115" t="b">
        <f>IFS($A60=FALSE,"", countif(VLOOKUP($A60,'MARCH 2022'!A:A,1,FALSE),$A60)&gt;=1,TRUE,countif(VLOOKUP($A60,'MARCH 2022'!A:A,1,FALSE),$A60)=0,FALSE)</f>
        <v>0</v>
      </c>
      <c r="O60" s="111" t="str">
        <f t="shared" si="2"/>
        <v> </v>
      </c>
    </row>
    <row r="61" ht="15.75" customHeight="1">
      <c r="A61" s="110" t="str">
        <f t="shared" si="1"/>
        <v>1527744622</v>
      </c>
      <c r="B61" s="111">
        <v>15277.0</v>
      </c>
      <c r="C61" s="112">
        <v>0.625</v>
      </c>
      <c r="D61" s="111" t="s">
        <v>3701</v>
      </c>
      <c r="E61" s="113">
        <v>12693.0</v>
      </c>
      <c r="F61" s="114">
        <v>44622.0</v>
      </c>
      <c r="G61" s="111" t="s">
        <v>6523</v>
      </c>
      <c r="H61" s="111" t="s">
        <v>6520</v>
      </c>
      <c r="I61" s="111" t="s">
        <v>6521</v>
      </c>
      <c r="J61" s="111" t="s">
        <v>6476</v>
      </c>
      <c r="K61" s="115"/>
      <c r="L61" s="115" t="s">
        <v>6522</v>
      </c>
      <c r="M61" s="115" t="b">
        <f>IFS($A61=FALSE,"", countif(VLOOKUP($B61,'MARCH 2022'!C:C,1,FALSE),$B61)&gt;=1,TRUE,countif(VLOOKUP($B61,'MARCH 2022'!C:C,1,FALSE),$B61)=0,FALSE)</f>
        <v>0</v>
      </c>
      <c r="N61" s="115" t="b">
        <f>IFS($A61=FALSE,"", countif(VLOOKUP($A61,'MARCH 2022'!A:A,1,FALSE),$A61)&gt;=1,TRUE,countif(VLOOKUP($A61,'MARCH 2022'!A:A,1,FALSE),$A61)=0,FALSE)</f>
        <v>0</v>
      </c>
      <c r="O61" s="111" t="str">
        <f t="shared" si="2"/>
        <v> </v>
      </c>
    </row>
    <row r="62" ht="15.75" customHeight="1">
      <c r="A62" s="110" t="str">
        <f t="shared" si="1"/>
        <v>1187044622</v>
      </c>
      <c r="B62" s="111">
        <v>11870.0</v>
      </c>
      <c r="C62" s="112">
        <v>0.6458333333333334</v>
      </c>
      <c r="D62" s="111" t="s">
        <v>1158</v>
      </c>
      <c r="E62" s="113">
        <v>22904.0</v>
      </c>
      <c r="F62" s="114">
        <v>44622.0</v>
      </c>
      <c r="G62" s="111" t="s">
        <v>6519</v>
      </c>
      <c r="H62" s="111" t="s">
        <v>6520</v>
      </c>
      <c r="I62" s="111" t="s">
        <v>6521</v>
      </c>
      <c r="J62" s="111" t="s">
        <v>6381</v>
      </c>
      <c r="K62" s="115"/>
      <c r="L62" s="115" t="s">
        <v>6522</v>
      </c>
      <c r="M62" s="115" t="b">
        <f>IFS($A62=FALSE,"", countif(VLOOKUP($B62,'MARCH 2022'!C:C,1,FALSE),$B62)&gt;=1,TRUE,countif(VLOOKUP($B62,'MARCH 2022'!C:C,1,FALSE),$B62)=0,FALSE)</f>
        <v>0</v>
      </c>
      <c r="N62" s="115" t="b">
        <f>IFS($A62=FALSE,"", countif(VLOOKUP($A62,'MARCH 2022'!A:A,1,FALSE),$A62)&gt;=1,TRUE,countif(VLOOKUP($A62,'MARCH 2022'!A:A,1,FALSE),$A62)=0,FALSE)</f>
        <v>0</v>
      </c>
      <c r="O62" s="111" t="str">
        <f t="shared" si="2"/>
        <v> </v>
      </c>
    </row>
    <row r="63" ht="15.75" customHeight="1">
      <c r="A63" s="110" t="str">
        <f t="shared" si="1"/>
        <v>1579044622</v>
      </c>
      <c r="B63" s="111">
        <v>15790.0</v>
      </c>
      <c r="C63" s="112">
        <v>0.6458333333333334</v>
      </c>
      <c r="D63" s="111" t="s">
        <v>4147</v>
      </c>
      <c r="E63" s="113">
        <v>30759.0</v>
      </c>
      <c r="F63" s="114">
        <v>44622.0</v>
      </c>
      <c r="G63" s="111" t="s">
        <v>6523</v>
      </c>
      <c r="H63" s="111" t="s">
        <v>6520</v>
      </c>
      <c r="I63" s="111" t="s">
        <v>6524</v>
      </c>
      <c r="J63" s="111" t="s">
        <v>6489</v>
      </c>
      <c r="K63" s="115"/>
      <c r="L63" s="115" t="s">
        <v>6522</v>
      </c>
      <c r="M63" s="115" t="b">
        <f>IFS($A63=FALSE,"", countif(VLOOKUP($B63,'MARCH 2022'!C:C,1,FALSE),$B63)&gt;=1,TRUE,countif(VLOOKUP($B63,'MARCH 2022'!C:C,1,FALSE),$B63)=0,FALSE)</f>
        <v>0</v>
      </c>
      <c r="N63" s="115" t="b">
        <f>IFS($A63=FALSE,"", countif(VLOOKUP($A63,'MARCH 2022'!A:A,1,FALSE),$A63)&gt;=1,TRUE,countif(VLOOKUP($A63,'MARCH 2022'!A:A,1,FALSE),$A63)=0,FALSE)</f>
        <v>0</v>
      </c>
      <c r="O63" s="111" t="str">
        <f t="shared" si="2"/>
        <v> </v>
      </c>
    </row>
    <row r="64" ht="15.75" customHeight="1">
      <c r="A64" s="110" t="str">
        <f t="shared" si="1"/>
        <v>1702244622</v>
      </c>
      <c r="B64" s="111">
        <v>17022.0</v>
      </c>
      <c r="C64" s="112">
        <v>0.6458333333333334</v>
      </c>
      <c r="D64" s="111" t="s">
        <v>5139</v>
      </c>
      <c r="E64" s="113">
        <v>24614.0</v>
      </c>
      <c r="F64" s="114">
        <v>44622.0</v>
      </c>
      <c r="G64" s="111" t="s">
        <v>6523</v>
      </c>
      <c r="H64" s="111" t="s">
        <v>6520</v>
      </c>
      <c r="I64" s="111" t="s">
        <v>6524</v>
      </c>
      <c r="J64" s="111" t="s">
        <v>6379</v>
      </c>
      <c r="K64" s="115"/>
      <c r="L64" s="115" t="s">
        <v>6522</v>
      </c>
      <c r="M64" s="115" t="b">
        <f>IFS($A64=FALSE,"", countif(VLOOKUP($B64,'MARCH 2022'!C:C,1,FALSE),$B64)&gt;=1,TRUE,countif(VLOOKUP($B64,'MARCH 2022'!C:C,1,FALSE),$B64)=0,FALSE)</f>
        <v>0</v>
      </c>
      <c r="N64" s="115" t="b">
        <f>IFS($A64=FALSE,"", countif(VLOOKUP($A64,'MARCH 2022'!A:A,1,FALSE),$A64)&gt;=1,TRUE,countif(VLOOKUP($A64,'MARCH 2022'!A:A,1,FALSE),$A64)=0,FALSE)</f>
        <v>0</v>
      </c>
      <c r="O64" s="111" t="str">
        <f t="shared" si="2"/>
        <v> </v>
      </c>
    </row>
    <row r="65" ht="15.75" customHeight="1">
      <c r="A65" s="110" t="str">
        <f t="shared" si="1"/>
        <v>1616344623</v>
      </c>
      <c r="B65" s="111">
        <v>16163.0</v>
      </c>
      <c r="C65" s="112">
        <v>0.3229166666666667</v>
      </c>
      <c r="D65" s="111" t="s">
        <v>4475</v>
      </c>
      <c r="E65" s="113">
        <v>30495.0</v>
      </c>
      <c r="F65" s="114">
        <v>44623.0</v>
      </c>
      <c r="G65" s="111" t="s">
        <v>6523</v>
      </c>
      <c r="H65" s="111" t="s">
        <v>6526</v>
      </c>
      <c r="I65" s="111" t="s">
        <v>6527</v>
      </c>
      <c r="J65" s="111" t="s">
        <v>6444</v>
      </c>
      <c r="K65" s="115"/>
      <c r="L65" s="115" t="s">
        <v>6522</v>
      </c>
      <c r="M65" s="115" t="b">
        <f>IFS($A65=FALSE,"", countif(VLOOKUP($B65,'MARCH 2022'!C:C,1,FALSE),$B65)&gt;=1,TRUE,countif(VLOOKUP($B65,'MARCH 2022'!C:C,1,FALSE),$B65)=0,FALSE)</f>
        <v>1</v>
      </c>
      <c r="N65" s="115" t="b">
        <f>IFS($A65=FALSE,"", countif(VLOOKUP($A65,'MARCH 2022'!A:A,1,FALSE),$A65)&gt;=1,TRUE,countif(VLOOKUP($A65,'MARCH 2022'!A:A,1,FALSE),$A65)=0,FALSE)</f>
        <v>1</v>
      </c>
      <c r="O65" s="111" t="str">
        <f t="shared" si="2"/>
        <v> </v>
      </c>
    </row>
    <row r="66" ht="15.75" customHeight="1">
      <c r="A66" s="110" t="str">
        <f t="shared" si="1"/>
        <v>1421944623</v>
      </c>
      <c r="B66" s="111">
        <v>14219.0</v>
      </c>
      <c r="C66" s="112">
        <v>0.3541666666666667</v>
      </c>
      <c r="D66" s="111" t="s">
        <v>2829</v>
      </c>
      <c r="E66" s="113">
        <v>24977.0</v>
      </c>
      <c r="F66" s="114">
        <v>44623.0</v>
      </c>
      <c r="G66" s="111" t="s">
        <v>6519</v>
      </c>
      <c r="H66" s="111" t="s">
        <v>6520</v>
      </c>
      <c r="I66" s="111" t="s">
        <v>6524</v>
      </c>
      <c r="J66" s="111" t="s">
        <v>6381</v>
      </c>
      <c r="K66" s="115"/>
      <c r="L66" s="115" t="s">
        <v>6522</v>
      </c>
      <c r="M66" s="115" t="b">
        <f>IFS($A66=FALSE,"", countif(VLOOKUP($B66,'MARCH 2022'!C:C,1,FALSE),$B66)&gt;=1,TRUE,countif(VLOOKUP($B66,'MARCH 2022'!C:C,1,FALSE),$B66)=0,FALSE)</f>
        <v>1</v>
      </c>
      <c r="N66" s="115" t="b">
        <f>IFS($A66=FALSE,"", countif(VLOOKUP($A66,'MARCH 2022'!A:A,1,FALSE),$A66)&gt;=1,TRUE,countif(VLOOKUP($A66,'MARCH 2022'!A:A,1,FALSE),$A66)=0,FALSE)</f>
        <v>1</v>
      </c>
      <c r="O66" s="111" t="str">
        <f t="shared" si="2"/>
        <v> </v>
      </c>
    </row>
    <row r="67" ht="15.75" customHeight="1">
      <c r="A67" s="110" t="str">
        <f t="shared" si="1"/>
        <v>1573944623</v>
      </c>
      <c r="B67" s="111">
        <v>15739.0</v>
      </c>
      <c r="C67" s="112">
        <v>0.375</v>
      </c>
      <c r="D67" s="111" t="s">
        <v>4103</v>
      </c>
      <c r="E67" s="113">
        <v>22716.0</v>
      </c>
      <c r="F67" s="114">
        <v>44623.0</v>
      </c>
      <c r="G67" s="111" t="s">
        <v>6523</v>
      </c>
      <c r="H67" s="111" t="s">
        <v>6520</v>
      </c>
      <c r="I67" s="111" t="s">
        <v>6524</v>
      </c>
      <c r="J67" s="111" t="s">
        <v>6407</v>
      </c>
      <c r="K67" s="115"/>
      <c r="L67" s="115" t="s">
        <v>6522</v>
      </c>
      <c r="M67" s="115" t="b">
        <f>IFS($A67=FALSE,"", countif(VLOOKUP($B67,'MARCH 2022'!C:C,1,FALSE),$B67)&gt;=1,TRUE,countif(VLOOKUP($B67,'MARCH 2022'!C:C,1,FALSE),$B67)=0,FALSE)</f>
        <v>1</v>
      </c>
      <c r="N67" s="115" t="b">
        <f>IFS($A67=FALSE,"", countif(VLOOKUP($A67,'MARCH 2022'!A:A,1,FALSE),$A67)&gt;=1,TRUE,countif(VLOOKUP($A67,'MARCH 2022'!A:A,1,FALSE),$A67)=0,FALSE)</f>
        <v>1</v>
      </c>
      <c r="O67" s="111" t="str">
        <f t="shared" si="2"/>
        <v> </v>
      </c>
    </row>
    <row r="68" ht="15.75" customHeight="1">
      <c r="A68" s="110" t="str">
        <f t="shared" si="1"/>
        <v>1421244623</v>
      </c>
      <c r="B68" s="111">
        <v>14212.0</v>
      </c>
      <c r="C68" s="112">
        <v>0.3854166666666667</v>
      </c>
      <c r="D68" s="111" t="s">
        <v>2824</v>
      </c>
      <c r="E68" s="113">
        <v>21952.0</v>
      </c>
      <c r="F68" s="114">
        <v>44623.0</v>
      </c>
      <c r="G68" s="111" t="s">
        <v>6519</v>
      </c>
      <c r="H68" s="111" t="s">
        <v>6520</v>
      </c>
      <c r="I68" s="111" t="s">
        <v>6521</v>
      </c>
      <c r="J68" s="111" t="s">
        <v>6381</v>
      </c>
      <c r="K68" s="115"/>
      <c r="L68" s="115" t="s">
        <v>6522</v>
      </c>
      <c r="M68" s="115" t="b">
        <f>IFS($A68=FALSE,"", countif(VLOOKUP($B68,'MARCH 2022'!C:C,1,FALSE),$B68)&gt;=1,TRUE,countif(VLOOKUP($B68,'MARCH 2022'!C:C,1,FALSE),$B68)=0,FALSE)</f>
        <v>1</v>
      </c>
      <c r="N68" s="115" t="b">
        <f>IFS($A68=FALSE,"", countif(VLOOKUP($A68,'MARCH 2022'!A:A,1,FALSE),$A68)&gt;=1,TRUE,countif(VLOOKUP($A68,'MARCH 2022'!A:A,1,FALSE),$A68)=0,FALSE)</f>
        <v>1</v>
      </c>
      <c r="O68" s="111" t="str">
        <f t="shared" si="2"/>
        <v> </v>
      </c>
    </row>
    <row r="69" ht="15.75" customHeight="1">
      <c r="A69" s="110" t="str">
        <f t="shared" si="1"/>
        <v>1769644623</v>
      </c>
      <c r="B69" s="111">
        <v>17696.0</v>
      </c>
      <c r="C69" s="112">
        <v>0.3958333333333333</v>
      </c>
      <c r="D69" s="111" t="s">
        <v>5848</v>
      </c>
      <c r="E69" s="113">
        <v>21984.0</v>
      </c>
      <c r="F69" s="114">
        <v>44623.0</v>
      </c>
      <c r="G69" s="111" t="s">
        <v>6523</v>
      </c>
      <c r="H69" s="111" t="s">
        <v>6526</v>
      </c>
      <c r="I69" s="111" t="s">
        <v>6529</v>
      </c>
      <c r="J69" s="111" t="s">
        <v>6407</v>
      </c>
      <c r="K69" s="115"/>
      <c r="L69" s="115" t="s">
        <v>6522</v>
      </c>
      <c r="M69" s="115" t="b">
        <f>IFS($A69=FALSE,"", countif(VLOOKUP($B69,'MARCH 2022'!C:C,1,FALSE),$B69)&gt;=1,TRUE,countif(VLOOKUP($B69,'MARCH 2022'!C:C,1,FALSE),$B69)=0,FALSE)</f>
        <v>1</v>
      </c>
      <c r="N69" s="115" t="b">
        <f>IFS($A69=FALSE,"", countif(VLOOKUP($A69,'MARCH 2022'!A:A,1,FALSE),$A69)&gt;=1,TRUE,countif(VLOOKUP($A69,'MARCH 2022'!A:A,1,FALSE),$A69)=0,FALSE)</f>
        <v>1</v>
      </c>
      <c r="O69" s="111" t="str">
        <f t="shared" si="2"/>
        <v> </v>
      </c>
    </row>
    <row r="70" ht="15.75" customHeight="1">
      <c r="A70" s="110" t="str">
        <f t="shared" si="1"/>
        <v>1716244623</v>
      </c>
      <c r="B70" s="111">
        <v>17162.0</v>
      </c>
      <c r="C70" s="112">
        <v>0.3958333333333333</v>
      </c>
      <c r="D70" s="111" t="s">
        <v>5251</v>
      </c>
      <c r="E70" s="113">
        <v>22211.0</v>
      </c>
      <c r="F70" s="114">
        <v>44623.0</v>
      </c>
      <c r="G70" s="111" t="s">
        <v>6523</v>
      </c>
      <c r="H70" s="111" t="s">
        <v>6520</v>
      </c>
      <c r="I70" s="111" t="s">
        <v>6521</v>
      </c>
      <c r="J70" s="111" t="s">
        <v>6374</v>
      </c>
      <c r="K70" s="115"/>
      <c r="L70" s="115" t="s">
        <v>6522</v>
      </c>
      <c r="M70" s="115" t="b">
        <f>IFS($A70=FALSE,"", countif(VLOOKUP($B70,'MARCH 2022'!C:C,1,FALSE),$B70)&gt;=1,TRUE,countif(VLOOKUP($B70,'MARCH 2022'!C:C,1,FALSE),$B70)=0,FALSE)</f>
        <v>1</v>
      </c>
      <c r="N70" s="115" t="b">
        <f>IFS($A70=FALSE,"", countif(VLOOKUP($A70,'MARCH 2022'!A:A,1,FALSE),$A70)&gt;=1,TRUE,countif(VLOOKUP($A70,'MARCH 2022'!A:A,1,FALSE),$A70)=0,FALSE)</f>
        <v>1</v>
      </c>
      <c r="O70" s="111" t="str">
        <f t="shared" si="2"/>
        <v> </v>
      </c>
    </row>
    <row r="71" ht="15.75" customHeight="1">
      <c r="A71" s="110" t="str">
        <f t="shared" si="1"/>
        <v>1305344623</v>
      </c>
      <c r="B71" s="111">
        <v>13053.0</v>
      </c>
      <c r="C71" s="112">
        <v>0.40625</v>
      </c>
      <c r="D71" s="111" t="s">
        <v>1930</v>
      </c>
      <c r="E71" s="113">
        <v>31604.0</v>
      </c>
      <c r="F71" s="114">
        <v>44623.0</v>
      </c>
      <c r="G71" s="111" t="s">
        <v>6523</v>
      </c>
      <c r="H71" s="111" t="s">
        <v>6520</v>
      </c>
      <c r="I71" s="111" t="s">
        <v>6521</v>
      </c>
      <c r="J71" s="111" t="s">
        <v>6407</v>
      </c>
      <c r="K71" s="115"/>
      <c r="L71" s="115" t="s">
        <v>6522</v>
      </c>
      <c r="M71" s="115" t="b">
        <f>IFS($A71=FALSE,"", countif(VLOOKUP($B71,'MARCH 2022'!C:C,1,FALSE),$B71)&gt;=1,TRUE,countif(VLOOKUP($B71,'MARCH 2022'!C:C,1,FALSE),$B71)=0,FALSE)</f>
        <v>1</v>
      </c>
      <c r="N71" s="115" t="b">
        <f>IFS($A71=FALSE,"", countif(VLOOKUP($A71,'MARCH 2022'!A:A,1,FALSE),$A71)&gt;=1,TRUE,countif(VLOOKUP($A71,'MARCH 2022'!A:A,1,FALSE),$A71)=0,FALSE)</f>
        <v>1</v>
      </c>
      <c r="O71" s="111" t="str">
        <f t="shared" si="2"/>
        <v> </v>
      </c>
    </row>
    <row r="72" ht="15.75" customHeight="1">
      <c r="A72" s="110" t="str">
        <f t="shared" si="1"/>
        <v>1008444623</v>
      </c>
      <c r="B72" s="111">
        <v>10084.0</v>
      </c>
      <c r="C72" s="112">
        <v>0.4375</v>
      </c>
      <c r="D72" s="111" t="s">
        <v>403</v>
      </c>
      <c r="E72" s="113">
        <v>27338.0</v>
      </c>
      <c r="F72" s="114">
        <v>44623.0</v>
      </c>
      <c r="G72" s="111" t="s">
        <v>6523</v>
      </c>
      <c r="H72" s="111" t="s">
        <v>6520</v>
      </c>
      <c r="I72" s="111" t="s">
        <v>6521</v>
      </c>
      <c r="J72" s="111" t="s">
        <v>6489</v>
      </c>
      <c r="K72" s="115"/>
      <c r="L72" s="115" t="s">
        <v>6522</v>
      </c>
      <c r="M72" s="115" t="b">
        <f>IFS($A72=FALSE,"", countif(VLOOKUP($B72,'MARCH 2022'!C:C,1,FALSE),$B72)&gt;=1,TRUE,countif(VLOOKUP($B72,'MARCH 2022'!C:C,1,FALSE),$B72)=0,FALSE)</f>
        <v>1</v>
      </c>
      <c r="N72" s="115" t="b">
        <f>IFS($A72=FALSE,"", countif(VLOOKUP($A72,'MARCH 2022'!A:A,1,FALSE),$A72)&gt;=1,TRUE,countif(VLOOKUP($A72,'MARCH 2022'!A:A,1,FALSE),$A72)=0,FALSE)</f>
        <v>1</v>
      </c>
      <c r="O72" s="111" t="str">
        <f t="shared" si="2"/>
        <v> </v>
      </c>
    </row>
    <row r="73" ht="15.75" customHeight="1">
      <c r="A73" s="110" t="str">
        <f t="shared" si="1"/>
        <v>1212444623</v>
      </c>
      <c r="B73" s="111">
        <v>12124.0</v>
      </c>
      <c r="C73" s="112">
        <v>0.4375</v>
      </c>
      <c r="D73" s="111" t="s">
        <v>1282</v>
      </c>
      <c r="E73" s="113">
        <v>13850.0</v>
      </c>
      <c r="F73" s="114">
        <v>44623.0</v>
      </c>
      <c r="G73" s="111" t="s">
        <v>6523</v>
      </c>
      <c r="H73" s="111" t="s">
        <v>6520</v>
      </c>
      <c r="I73" s="111" t="s">
        <v>6524</v>
      </c>
      <c r="J73" s="111" t="s">
        <v>6384</v>
      </c>
      <c r="K73" s="115"/>
      <c r="L73" s="115" t="s">
        <v>6522</v>
      </c>
      <c r="M73" s="115" t="b">
        <f>IFS($A73=FALSE,"", countif(VLOOKUP($B73,'MARCH 2022'!C:C,1,FALSE),$B73)&gt;=1,TRUE,countif(VLOOKUP($B73,'MARCH 2022'!C:C,1,FALSE),$B73)=0,FALSE)</f>
        <v>1</v>
      </c>
      <c r="N73" s="115" t="b">
        <f>IFS($A73=FALSE,"", countif(VLOOKUP($A73,'MARCH 2022'!A:A,1,FALSE),$A73)&gt;=1,TRUE,countif(VLOOKUP($A73,'MARCH 2022'!A:A,1,FALSE),$A73)=0,FALSE)</f>
        <v>1</v>
      </c>
      <c r="O73" s="111"/>
    </row>
    <row r="74" ht="15.75" customHeight="1">
      <c r="A74" s="110" t="str">
        <f t="shared" si="1"/>
        <v>1015744623</v>
      </c>
      <c r="B74" s="111">
        <v>10157.0</v>
      </c>
      <c r="C74" s="112">
        <v>0.4479166666666667</v>
      </c>
      <c r="D74" s="111" t="s">
        <v>431</v>
      </c>
      <c r="E74" s="113">
        <v>23341.0</v>
      </c>
      <c r="F74" s="114">
        <v>44623.0</v>
      </c>
      <c r="G74" s="111" t="s">
        <v>6523</v>
      </c>
      <c r="H74" s="111" t="s">
        <v>6526</v>
      </c>
      <c r="I74" s="111" t="s">
        <v>6527</v>
      </c>
      <c r="J74" s="111" t="s">
        <v>6381</v>
      </c>
      <c r="K74" s="115"/>
      <c r="L74" s="115" t="s">
        <v>6522</v>
      </c>
      <c r="M74" s="115" t="b">
        <f>IFS($A74=FALSE,"", countif(VLOOKUP($B74,'MARCH 2022'!C:C,1,FALSE),$B74)&gt;=1,TRUE,countif(VLOOKUP($B74,'MARCH 2022'!C:C,1,FALSE),$B74)=0,FALSE)</f>
        <v>1</v>
      </c>
      <c r="N74" s="115" t="b">
        <f>IFS($A74=FALSE,"", countif(VLOOKUP($A74,'MARCH 2022'!A:A,1,FALSE),$A74)&gt;=1,TRUE,countif(VLOOKUP($A74,'MARCH 2022'!A:A,1,FALSE),$A74)=0,FALSE)</f>
        <v>1</v>
      </c>
      <c r="O74" s="111"/>
    </row>
    <row r="75" ht="15.75" customHeight="1">
      <c r="A75" s="110" t="str">
        <f t="shared" si="1"/>
        <v>1498644623</v>
      </c>
      <c r="B75" s="111">
        <v>14986.0</v>
      </c>
      <c r="C75" s="112">
        <v>0.4479166666666667</v>
      </c>
      <c r="D75" s="111" t="s">
        <v>3460</v>
      </c>
      <c r="E75" s="113">
        <v>20985.0</v>
      </c>
      <c r="F75" s="114">
        <v>44623.0</v>
      </c>
      <c r="G75" s="111" t="s">
        <v>6523</v>
      </c>
      <c r="H75" s="111" t="s">
        <v>6526</v>
      </c>
      <c r="I75" s="111" t="s">
        <v>6527</v>
      </c>
      <c r="J75" s="111" t="s">
        <v>6393</v>
      </c>
      <c r="K75" s="115"/>
      <c r="L75" s="115" t="s">
        <v>6522</v>
      </c>
      <c r="M75" s="115" t="b">
        <f>IFS($A75=FALSE,"", countif(VLOOKUP($B75,'MARCH 2022'!C:C,1,FALSE),$B75)&gt;=1,TRUE,countif(VLOOKUP($B75,'MARCH 2022'!C:C,1,FALSE),$B75)=0,FALSE)</f>
        <v>1</v>
      </c>
      <c r="N75" s="115" t="b">
        <f>IFS($A75=FALSE,"", countif(VLOOKUP($A75,'MARCH 2022'!A:A,1,FALSE),$A75)&gt;=1,TRUE,countif(VLOOKUP($A75,'MARCH 2022'!A:A,1,FALSE),$A75)=0,FALSE)</f>
        <v>1</v>
      </c>
      <c r="O75" s="111"/>
    </row>
    <row r="76" ht="15.75" customHeight="1">
      <c r="A76" s="110" t="str">
        <f t="shared" si="1"/>
        <v>1655444623</v>
      </c>
      <c r="B76" s="111">
        <v>16554.0</v>
      </c>
      <c r="C76" s="112">
        <v>0.4479166666666667</v>
      </c>
      <c r="D76" s="111" t="s">
        <v>4778</v>
      </c>
      <c r="E76" s="113">
        <v>28107.0</v>
      </c>
      <c r="F76" s="114">
        <v>44623.0</v>
      </c>
      <c r="G76" s="111" t="s">
        <v>6523</v>
      </c>
      <c r="H76" s="111" t="s">
        <v>6520</v>
      </c>
      <c r="I76" s="111" t="s">
        <v>6521</v>
      </c>
      <c r="J76" s="111" t="s">
        <v>6444</v>
      </c>
      <c r="K76" s="115"/>
      <c r="L76" s="115" t="s">
        <v>6522</v>
      </c>
      <c r="M76" s="115" t="b">
        <f>IFS($A76=FALSE,"", countif(VLOOKUP($B76,'MARCH 2022'!C:C,1,FALSE),$B76)&gt;=1,TRUE,countif(VLOOKUP($B76,'MARCH 2022'!C:C,1,FALSE),$B76)=0,FALSE)</f>
        <v>1</v>
      </c>
      <c r="N76" s="115" t="b">
        <f>IFS($A76=FALSE,"", countif(VLOOKUP($A76,'MARCH 2022'!A:A,1,FALSE),$A76)&gt;=1,TRUE,countif(VLOOKUP($A76,'MARCH 2022'!A:A,1,FALSE),$A76)=0,FALSE)</f>
        <v>1</v>
      </c>
      <c r="O76" s="111"/>
    </row>
    <row r="77" ht="15.75" customHeight="1">
      <c r="A77" s="110" t="str">
        <f t="shared" si="1"/>
        <v>1163744623</v>
      </c>
      <c r="B77" s="111">
        <v>11637.0</v>
      </c>
      <c r="C77" s="112">
        <v>0.4479166666666667</v>
      </c>
      <c r="D77" s="111" t="s">
        <v>1032</v>
      </c>
      <c r="E77" s="113">
        <v>21657.0</v>
      </c>
      <c r="F77" s="114">
        <v>44623.0</v>
      </c>
      <c r="G77" s="111" t="s">
        <v>6523</v>
      </c>
      <c r="H77" s="111" t="s">
        <v>6520</v>
      </c>
      <c r="I77" s="111" t="s">
        <v>6524</v>
      </c>
      <c r="J77" s="111" t="s">
        <v>6379</v>
      </c>
      <c r="K77" s="115"/>
      <c r="L77" s="115" t="s">
        <v>6522</v>
      </c>
      <c r="M77" s="115" t="b">
        <f>IFS($A77=FALSE,"", countif(VLOOKUP($B77,'MARCH 2022'!C:C,1,FALSE),$B77)&gt;=1,TRUE,countif(VLOOKUP($B77,'MARCH 2022'!C:C,1,FALSE),$B77)=0,FALSE)</f>
        <v>1</v>
      </c>
      <c r="N77" s="115" t="b">
        <f>IFS($A77=FALSE,"", countif(VLOOKUP($A77,'MARCH 2022'!A:A,1,FALSE),$A77)&gt;=1,TRUE,countif(VLOOKUP($A77,'MARCH 2022'!A:A,1,FALSE),$A77)=0,FALSE)</f>
        <v>1</v>
      </c>
      <c r="O77" s="111"/>
    </row>
    <row r="78" ht="15.75" customHeight="1">
      <c r="A78" s="110" t="str">
        <f t="shared" si="1"/>
        <v>1344244623</v>
      </c>
      <c r="B78" s="111">
        <v>13442.0</v>
      </c>
      <c r="C78" s="112">
        <v>0.4583333333333333</v>
      </c>
      <c r="D78" s="111" t="s">
        <v>2229</v>
      </c>
      <c r="E78" s="113">
        <v>19087.0</v>
      </c>
      <c r="F78" s="114">
        <v>44623.0</v>
      </c>
      <c r="G78" s="111" t="s">
        <v>6523</v>
      </c>
      <c r="H78" s="111" t="s">
        <v>6526</v>
      </c>
      <c r="I78" s="111" t="s">
        <v>6527</v>
      </c>
      <c r="J78" s="111" t="s">
        <v>6489</v>
      </c>
      <c r="K78" s="115"/>
      <c r="L78" s="115" t="s">
        <v>6522</v>
      </c>
      <c r="M78" s="115" t="b">
        <f>IFS($A78=FALSE,"", countif(VLOOKUP($B78,'MARCH 2022'!C:C,1,FALSE),$B78)&gt;=1,TRUE,countif(VLOOKUP($B78,'MARCH 2022'!C:C,1,FALSE),$B78)=0,FALSE)</f>
        <v>1</v>
      </c>
      <c r="N78" s="115" t="b">
        <f>IFS($A78=FALSE,"", countif(VLOOKUP($A78,'MARCH 2022'!A:A,1,FALSE),$A78)&gt;=1,TRUE,countif(VLOOKUP($A78,'MARCH 2022'!A:A,1,FALSE),$A78)=0,FALSE)</f>
        <v>1</v>
      </c>
      <c r="O78" s="111"/>
    </row>
    <row r="79" ht="15.75" customHeight="1">
      <c r="A79" s="110" t="str">
        <f t="shared" si="1"/>
        <v>943344623</v>
      </c>
      <c r="B79" s="111">
        <v>9433.0</v>
      </c>
      <c r="C79" s="112">
        <v>0.4583333333333333</v>
      </c>
      <c r="D79" s="111" t="s">
        <v>165</v>
      </c>
      <c r="E79" s="113">
        <v>20435.0</v>
      </c>
      <c r="F79" s="114">
        <v>44623.0</v>
      </c>
      <c r="G79" s="111" t="s">
        <v>6523</v>
      </c>
      <c r="H79" s="111" t="s">
        <v>6520</v>
      </c>
      <c r="I79" s="111" t="s">
        <v>6524</v>
      </c>
      <c r="J79" s="111" t="s">
        <v>6477</v>
      </c>
      <c r="K79" s="115"/>
      <c r="L79" s="115" t="s">
        <v>6522</v>
      </c>
      <c r="M79" s="115" t="b">
        <f>IFS($A79=FALSE,"", countif(VLOOKUP($B79,'MARCH 2022'!C:C,1,FALSE),$B79)&gt;=1,TRUE,countif(VLOOKUP($B79,'MARCH 2022'!C:C,1,FALSE),$B79)=0,FALSE)</f>
        <v>1</v>
      </c>
      <c r="N79" s="115" t="b">
        <f>IFS($A79=FALSE,"", countif(VLOOKUP($A79,'MARCH 2022'!A:A,1,FALSE),$A79)&gt;=1,TRUE,countif(VLOOKUP($A79,'MARCH 2022'!A:A,1,FALSE),$A79)=0,FALSE)</f>
        <v>1</v>
      </c>
      <c r="O79" s="111"/>
    </row>
    <row r="80" ht="15.75" customHeight="1">
      <c r="A80" s="110" t="str">
        <f t="shared" si="1"/>
        <v>1748144623</v>
      </c>
      <c r="B80" s="111">
        <v>17481.0</v>
      </c>
      <c r="C80" s="112">
        <v>0.46875</v>
      </c>
      <c r="D80" s="111" t="s">
        <v>5504</v>
      </c>
      <c r="E80" s="113">
        <v>22479.0</v>
      </c>
      <c r="F80" s="114">
        <v>44623.0</v>
      </c>
      <c r="G80" s="111" t="s">
        <v>6523</v>
      </c>
      <c r="H80" s="111" t="s">
        <v>6526</v>
      </c>
      <c r="I80" s="111" t="s">
        <v>6527</v>
      </c>
      <c r="J80" s="111" t="s">
        <v>6372</v>
      </c>
      <c r="K80" s="115"/>
      <c r="L80" s="115" t="s">
        <v>6522</v>
      </c>
      <c r="M80" s="115" t="b">
        <f>IFS($A80=FALSE,"", countif(VLOOKUP($B80,'MARCH 2022'!C:C,1,FALSE),$B80)&gt;=1,TRUE,countif(VLOOKUP($B80,'MARCH 2022'!C:C,1,FALSE),$B80)=0,FALSE)</f>
        <v>1</v>
      </c>
      <c r="N80" s="115" t="b">
        <f>IFS($A80=FALSE,"", countif(VLOOKUP($A80,'MARCH 2022'!A:A,1,FALSE),$A80)&gt;=1,TRUE,countif(VLOOKUP($A80,'MARCH 2022'!A:A,1,FALSE),$A80)=0,FALSE)</f>
        <v>1</v>
      </c>
      <c r="O80" s="111"/>
    </row>
    <row r="81" ht="15.75" customHeight="1">
      <c r="A81" s="110" t="str">
        <f t="shared" si="1"/>
        <v>1580644623</v>
      </c>
      <c r="B81" s="111">
        <v>15806.0</v>
      </c>
      <c r="C81" s="112">
        <v>0.4791666666666667</v>
      </c>
      <c r="D81" s="111" t="s">
        <v>4163</v>
      </c>
      <c r="E81" s="113">
        <v>18664.0</v>
      </c>
      <c r="F81" s="114">
        <v>44623.0</v>
      </c>
      <c r="G81" s="111" t="s">
        <v>6523</v>
      </c>
      <c r="H81" s="111" t="s">
        <v>6526</v>
      </c>
      <c r="I81" s="111" t="s">
        <v>6527</v>
      </c>
      <c r="J81" s="111" t="s">
        <v>6427</v>
      </c>
      <c r="K81" s="115"/>
      <c r="L81" s="115" t="s">
        <v>6522</v>
      </c>
      <c r="M81" s="115" t="b">
        <f>IFS($A81=FALSE,"", countif(VLOOKUP($B81,'MARCH 2022'!C:C,1,FALSE),$B81)&gt;=1,TRUE,countif(VLOOKUP($B81,'MARCH 2022'!C:C,1,FALSE),$B81)=0,FALSE)</f>
        <v>1</v>
      </c>
      <c r="N81" s="115" t="b">
        <f>IFS($A81=FALSE,"", countif(VLOOKUP($A81,'MARCH 2022'!A:A,1,FALSE),$A81)&gt;=1,TRUE,countif(VLOOKUP($A81,'MARCH 2022'!A:A,1,FALSE),$A81)=0,FALSE)</f>
        <v>1</v>
      </c>
      <c r="O81" s="111"/>
    </row>
    <row r="82" ht="15.75" customHeight="1">
      <c r="A82" s="110" t="str">
        <f t="shared" si="1"/>
        <v>1250944623</v>
      </c>
      <c r="B82" s="111">
        <v>12509.0</v>
      </c>
      <c r="C82" s="112">
        <v>0.4791666666666667</v>
      </c>
      <c r="D82" s="111" t="s">
        <v>1503</v>
      </c>
      <c r="E82" s="113">
        <v>19482.0</v>
      </c>
      <c r="F82" s="114">
        <v>44623.0</v>
      </c>
      <c r="G82" s="111" t="s">
        <v>6523</v>
      </c>
      <c r="H82" s="111" t="s">
        <v>6526</v>
      </c>
      <c r="I82" s="111" t="s">
        <v>6527</v>
      </c>
      <c r="J82" s="111" t="s">
        <v>6476</v>
      </c>
      <c r="K82" s="115"/>
      <c r="L82" s="115" t="s">
        <v>6522</v>
      </c>
      <c r="M82" s="115" t="b">
        <f>IFS($A82=FALSE,"", countif(VLOOKUP($B82,'MARCH 2022'!C:C,1,FALSE),$B82)&gt;=1,TRUE,countif(VLOOKUP($B82,'MARCH 2022'!C:C,1,FALSE),$B82)=0,FALSE)</f>
        <v>1</v>
      </c>
      <c r="N82" s="115" t="b">
        <f>IFS($A82=FALSE,"", countif(VLOOKUP($A82,'MARCH 2022'!A:A,1,FALSE),$A82)&gt;=1,TRUE,countif(VLOOKUP($A82,'MARCH 2022'!A:A,1,FALSE),$A82)=0,FALSE)</f>
        <v>1</v>
      </c>
      <c r="O82" s="111"/>
    </row>
    <row r="83" ht="15.75" customHeight="1">
      <c r="A83" s="110" t="str">
        <f t="shared" si="1"/>
        <v>985444623</v>
      </c>
      <c r="B83" s="111">
        <v>9854.0</v>
      </c>
      <c r="C83" s="112">
        <v>0.5416666666666666</v>
      </c>
      <c r="D83" s="111" t="s">
        <v>318</v>
      </c>
      <c r="E83" s="113">
        <v>21614.0</v>
      </c>
      <c r="F83" s="114">
        <v>44623.0</v>
      </c>
      <c r="G83" s="111" t="s">
        <v>6519</v>
      </c>
      <c r="H83" s="111" t="s">
        <v>6520</v>
      </c>
      <c r="I83" s="111" t="s">
        <v>6524</v>
      </c>
      <c r="J83" s="111" t="s">
        <v>6427</v>
      </c>
      <c r="K83" s="115"/>
      <c r="L83" s="115" t="s">
        <v>6522</v>
      </c>
      <c r="M83" s="115" t="b">
        <f>IFS($A83=FALSE,"", countif(VLOOKUP($B83,'MARCH 2022'!C:C,1,FALSE),$B83)&gt;=1,TRUE,countif(VLOOKUP($B83,'MARCH 2022'!C:C,1,FALSE),$B83)=0,FALSE)</f>
        <v>1</v>
      </c>
      <c r="N83" s="115" t="b">
        <f>IFS($A83=FALSE,"", countif(VLOOKUP($A83,'MARCH 2022'!A:A,1,FALSE),$A83)&gt;=1,TRUE,countif(VLOOKUP($A83,'MARCH 2022'!A:A,1,FALSE),$A83)=0,FALSE)</f>
        <v>1</v>
      </c>
      <c r="O83" s="111"/>
    </row>
    <row r="84" ht="15.75" customHeight="1">
      <c r="A84" s="110" t="str">
        <f t="shared" si="1"/>
        <v>1757544623</v>
      </c>
      <c r="B84" s="111">
        <v>17575.0</v>
      </c>
      <c r="C84" s="112">
        <v>0.5625</v>
      </c>
      <c r="D84" s="111" t="s">
        <v>5744</v>
      </c>
      <c r="E84" s="113">
        <v>30266.0</v>
      </c>
      <c r="F84" s="114">
        <v>44623.0</v>
      </c>
      <c r="G84" s="111" t="s">
        <v>6523</v>
      </c>
      <c r="H84" s="111" t="s">
        <v>6520</v>
      </c>
      <c r="I84" s="111" t="s">
        <v>6521</v>
      </c>
      <c r="J84" s="111" t="s">
        <v>6444</v>
      </c>
      <c r="K84" s="115"/>
      <c r="L84" s="115" t="s">
        <v>6522</v>
      </c>
      <c r="M84" s="115" t="b">
        <f>IFS($A84=FALSE,"", countif(VLOOKUP($B84,'MARCH 2022'!C:C,1,FALSE),$B84)&gt;=1,TRUE,countif(VLOOKUP($B84,'MARCH 2022'!C:C,1,FALSE),$B84)=0,FALSE)</f>
        <v>1</v>
      </c>
      <c r="N84" s="115" t="b">
        <f>IFS($A84=FALSE,"", countif(VLOOKUP($A84,'MARCH 2022'!A:A,1,FALSE),$A84)&gt;=1,TRUE,countif(VLOOKUP($A84,'MARCH 2022'!A:A,1,FALSE),$A84)=0,FALSE)</f>
        <v>1</v>
      </c>
      <c r="O84" s="111"/>
    </row>
    <row r="85" ht="15.75" customHeight="1">
      <c r="A85" s="110" t="str">
        <f t="shared" si="1"/>
        <v>1640444623</v>
      </c>
      <c r="B85" s="111">
        <v>16404.0</v>
      </c>
      <c r="C85" s="112">
        <v>0.5625</v>
      </c>
      <c r="D85" s="111" t="s">
        <v>4665</v>
      </c>
      <c r="E85" s="113">
        <v>21743.0</v>
      </c>
      <c r="F85" s="114">
        <v>44623.0</v>
      </c>
      <c r="G85" s="111" t="s">
        <v>6519</v>
      </c>
      <c r="H85" s="111" t="s">
        <v>6520</v>
      </c>
      <c r="I85" s="111" t="s">
        <v>6521</v>
      </c>
      <c r="J85" s="111" t="s">
        <v>6489</v>
      </c>
      <c r="K85" s="115"/>
      <c r="L85" s="115" t="s">
        <v>6522</v>
      </c>
      <c r="M85" s="115" t="b">
        <f>IFS($A85=FALSE,"", countif(VLOOKUP($B85,'MARCH 2022'!C:C,1,FALSE),$B85)&gt;=1,TRUE,countif(VLOOKUP($B85,'MARCH 2022'!C:C,1,FALSE),$B85)=0,FALSE)</f>
        <v>1</v>
      </c>
      <c r="N85" s="115" t="b">
        <f>IFS($A85=FALSE,"", countif(VLOOKUP($A85,'MARCH 2022'!A:A,1,FALSE),$A85)&gt;=1,TRUE,countif(VLOOKUP($A85,'MARCH 2022'!A:A,1,FALSE),$A85)=0,FALSE)</f>
        <v>1</v>
      </c>
      <c r="O85" s="111"/>
    </row>
    <row r="86" ht="15.75" customHeight="1">
      <c r="A86" s="110" t="str">
        <f t="shared" si="1"/>
        <v>928644623</v>
      </c>
      <c r="B86" s="111">
        <v>9286.0</v>
      </c>
      <c r="C86" s="112">
        <v>0.5625</v>
      </c>
      <c r="D86" s="111" t="s">
        <v>130</v>
      </c>
      <c r="E86" s="113">
        <v>14829.0</v>
      </c>
      <c r="F86" s="114">
        <v>44623.0</v>
      </c>
      <c r="G86" s="111" t="s">
        <v>6519</v>
      </c>
      <c r="H86" s="111" t="s">
        <v>6526</v>
      </c>
      <c r="I86" s="111" t="s">
        <v>6527</v>
      </c>
      <c r="J86" s="111" t="s">
        <v>6427</v>
      </c>
      <c r="K86" s="115"/>
      <c r="L86" s="115" t="s">
        <v>6522</v>
      </c>
      <c r="M86" s="115" t="b">
        <f>IFS($A86=FALSE,"", countif(VLOOKUP($B86,'MARCH 2022'!C:C,1,FALSE),$B86)&gt;=1,TRUE,countif(VLOOKUP($B86,'MARCH 2022'!C:C,1,FALSE),$B86)=0,FALSE)</f>
        <v>1</v>
      </c>
      <c r="N86" s="115" t="b">
        <f>IFS($A86=FALSE,"", countif(VLOOKUP($A86,'MARCH 2022'!A:A,1,FALSE),$A86)&gt;=1,TRUE,countif(VLOOKUP($A86,'MARCH 2022'!A:A,1,FALSE),$A86)=0,FALSE)</f>
        <v>1</v>
      </c>
      <c r="O86" s="111"/>
    </row>
    <row r="87" ht="15.75" customHeight="1">
      <c r="A87" s="110" t="str">
        <f t="shared" si="1"/>
        <v>1794844623</v>
      </c>
      <c r="B87" s="111">
        <v>17948.0</v>
      </c>
      <c r="C87" s="112">
        <v>0.5625</v>
      </c>
      <c r="D87" s="111" t="s">
        <v>6044</v>
      </c>
      <c r="E87" s="113">
        <v>21335.0</v>
      </c>
      <c r="F87" s="114">
        <v>44623.0</v>
      </c>
      <c r="G87" s="111" t="s">
        <v>6519</v>
      </c>
      <c r="H87" s="111" t="s">
        <v>6520</v>
      </c>
      <c r="I87" s="111" t="s">
        <v>6524</v>
      </c>
      <c r="J87" s="111" t="s">
        <v>6379</v>
      </c>
      <c r="K87" s="115"/>
      <c r="L87" s="115" t="s">
        <v>6522</v>
      </c>
      <c r="M87" s="115" t="b">
        <f>IFS($A87=FALSE,"", countif(VLOOKUP($B87,'MARCH 2022'!C:C,1,FALSE),$B87)&gt;=1,TRUE,countif(VLOOKUP($B87,'MARCH 2022'!C:C,1,FALSE),$B87)=0,FALSE)</f>
        <v>1</v>
      </c>
      <c r="N87" s="115" t="b">
        <f>IFS($A87=FALSE,"", countif(VLOOKUP($A87,'MARCH 2022'!A:A,1,FALSE),$A87)&gt;=1,TRUE,countif(VLOOKUP($A87,'MARCH 2022'!A:A,1,FALSE),$A87)=0,FALSE)</f>
        <v>1</v>
      </c>
      <c r="O87" s="111"/>
    </row>
    <row r="88" ht="15.75" customHeight="1">
      <c r="A88" s="110" t="str">
        <f t="shared" si="1"/>
        <v>1718244623</v>
      </c>
      <c r="B88" s="111">
        <v>17182.0</v>
      </c>
      <c r="C88" s="112">
        <v>0.5729166666666666</v>
      </c>
      <c r="D88" s="111" t="s">
        <v>5268</v>
      </c>
      <c r="E88" s="113">
        <v>24399.0</v>
      </c>
      <c r="F88" s="114">
        <v>44623.0</v>
      </c>
      <c r="G88" s="111" t="s">
        <v>6523</v>
      </c>
      <c r="H88" s="111" t="s">
        <v>6520</v>
      </c>
      <c r="I88" s="111" t="s">
        <v>6521</v>
      </c>
      <c r="J88" s="111" t="s">
        <v>6489</v>
      </c>
      <c r="K88" s="115"/>
      <c r="L88" s="115" t="s">
        <v>6522</v>
      </c>
      <c r="M88" s="115" t="b">
        <f>IFS($A88=FALSE,"", countif(VLOOKUP($B88,'MARCH 2022'!C:C,1,FALSE),$B88)&gt;=1,TRUE,countif(VLOOKUP($B88,'MARCH 2022'!C:C,1,FALSE),$B88)=0,FALSE)</f>
        <v>1</v>
      </c>
      <c r="N88" s="115" t="b">
        <f>IFS($A88=FALSE,"", countif(VLOOKUP($A88,'MARCH 2022'!A:A,1,FALSE),$A88)&gt;=1,TRUE,countif(VLOOKUP($A88,'MARCH 2022'!A:A,1,FALSE),$A88)=0,FALSE)</f>
        <v>1</v>
      </c>
      <c r="O88" s="111"/>
    </row>
    <row r="89" ht="15.75" customHeight="1">
      <c r="A89" s="110" t="str">
        <f t="shared" si="1"/>
        <v>1429344623</v>
      </c>
      <c r="B89" s="111">
        <v>14293.0</v>
      </c>
      <c r="C89" s="112">
        <v>0.5833333333333334</v>
      </c>
      <c r="D89" s="111" t="s">
        <v>2888</v>
      </c>
      <c r="E89" s="113">
        <v>15468.0</v>
      </c>
      <c r="F89" s="114">
        <v>44623.0</v>
      </c>
      <c r="G89" s="111" t="s">
        <v>6523</v>
      </c>
      <c r="H89" s="111" t="s">
        <v>6520</v>
      </c>
      <c r="I89" s="111" t="s">
        <v>6521</v>
      </c>
      <c r="J89" s="111" t="s">
        <v>6384</v>
      </c>
      <c r="K89" s="115"/>
      <c r="L89" s="115" t="s">
        <v>6522</v>
      </c>
      <c r="M89" s="115" t="b">
        <f>IFS($A89=FALSE,"", countif(VLOOKUP($B89,'MARCH 2022'!C:C,1,FALSE),$B89)&gt;=1,TRUE,countif(VLOOKUP($B89,'MARCH 2022'!C:C,1,FALSE),$B89)=0,FALSE)</f>
        <v>1</v>
      </c>
      <c r="N89" s="115" t="b">
        <f>IFS($A89=FALSE,"", countif(VLOOKUP($A89,'MARCH 2022'!A:A,1,FALSE),$A89)&gt;=1,TRUE,countif(VLOOKUP($A89,'MARCH 2022'!A:A,1,FALSE),$A89)=0,FALSE)</f>
        <v>1</v>
      </c>
      <c r="O89" s="111"/>
    </row>
    <row r="90" ht="15.75" customHeight="1">
      <c r="A90" s="110" t="str">
        <f t="shared" si="1"/>
        <v>1687544623</v>
      </c>
      <c r="B90" s="111">
        <v>16875.0</v>
      </c>
      <c r="C90" s="112">
        <v>0.5833333333333334</v>
      </c>
      <c r="D90" s="111" t="s">
        <v>5022</v>
      </c>
      <c r="E90" s="113">
        <v>19869.0</v>
      </c>
      <c r="F90" s="114">
        <v>44623.0</v>
      </c>
      <c r="G90" s="111" t="s">
        <v>6519</v>
      </c>
      <c r="H90" s="111" t="s">
        <v>6526</v>
      </c>
      <c r="I90" s="111" t="s">
        <v>6527</v>
      </c>
      <c r="J90" s="111" t="s">
        <v>6489</v>
      </c>
      <c r="K90" s="115"/>
      <c r="L90" s="115" t="s">
        <v>6522</v>
      </c>
      <c r="M90" s="115" t="b">
        <f>IFS($A90=FALSE,"", countif(VLOOKUP($B90,'MARCH 2022'!C:C,1,FALSE),$B90)&gt;=1,TRUE,countif(VLOOKUP($B90,'MARCH 2022'!C:C,1,FALSE),$B90)=0,FALSE)</f>
        <v>1</v>
      </c>
      <c r="N90" s="115" t="b">
        <f>IFS($A90=FALSE,"", countif(VLOOKUP($A90,'MARCH 2022'!A:A,1,FALSE),$A90)&gt;=1,TRUE,countif(VLOOKUP($A90,'MARCH 2022'!A:A,1,FALSE),$A90)=0,FALSE)</f>
        <v>1</v>
      </c>
      <c r="O90" s="111"/>
    </row>
    <row r="91" ht="15.75" customHeight="1">
      <c r="A91" s="110" t="str">
        <f t="shared" si="1"/>
        <v>979444623</v>
      </c>
      <c r="B91" s="111">
        <v>9794.0</v>
      </c>
      <c r="C91" s="112">
        <v>0.6041666666666666</v>
      </c>
      <c r="D91" s="111" t="s">
        <v>289</v>
      </c>
      <c r="E91" s="113">
        <v>24881.0</v>
      </c>
      <c r="F91" s="114">
        <v>44623.0</v>
      </c>
      <c r="G91" s="111" t="s">
        <v>6523</v>
      </c>
      <c r="H91" s="111" t="s">
        <v>6520</v>
      </c>
      <c r="I91" s="111" t="s">
        <v>6521</v>
      </c>
      <c r="J91" s="111" t="s">
        <v>6379</v>
      </c>
      <c r="K91" s="115"/>
      <c r="L91" s="115" t="s">
        <v>6522</v>
      </c>
      <c r="M91" s="115" t="b">
        <f>IFS($A91=FALSE,"", countif(VLOOKUP($B91,'MARCH 2022'!C:C,1,FALSE),$B91)&gt;=1,TRUE,countif(VLOOKUP($B91,'MARCH 2022'!C:C,1,FALSE),$B91)=0,FALSE)</f>
        <v>1</v>
      </c>
      <c r="N91" s="115" t="b">
        <f>IFS($A91=FALSE,"", countif(VLOOKUP($A91,'MARCH 2022'!A:A,1,FALSE),$A91)&gt;=1,TRUE,countif(VLOOKUP($A91,'MARCH 2022'!A:A,1,FALSE),$A91)=0,FALSE)</f>
        <v>1</v>
      </c>
      <c r="O91" s="111"/>
    </row>
    <row r="92" ht="15.75" customHeight="1">
      <c r="A92" s="110" t="str">
        <f t="shared" si="1"/>
        <v>941644623</v>
      </c>
      <c r="B92" s="111">
        <v>9416.0</v>
      </c>
      <c r="C92" s="112">
        <v>0.6041666666666666</v>
      </c>
      <c r="D92" s="111" t="s">
        <v>156</v>
      </c>
      <c r="E92" s="113">
        <v>30339.0</v>
      </c>
      <c r="F92" s="114">
        <v>44623.0</v>
      </c>
      <c r="G92" s="111" t="s">
        <v>6519</v>
      </c>
      <c r="H92" s="111" t="s">
        <v>6520</v>
      </c>
      <c r="I92" s="111" t="s">
        <v>6521</v>
      </c>
      <c r="J92" s="111" t="s">
        <v>6407</v>
      </c>
      <c r="K92" s="115"/>
      <c r="L92" s="115" t="s">
        <v>6522</v>
      </c>
      <c r="M92" s="115" t="b">
        <f>IFS($A92=FALSE,"", countif(VLOOKUP($B92,'MARCH 2022'!C:C,1,FALSE),$B92)&gt;=1,TRUE,countif(VLOOKUP($B92,'MARCH 2022'!C:C,1,FALSE),$B92)=0,FALSE)</f>
        <v>1</v>
      </c>
      <c r="N92" s="115" t="b">
        <f>IFS($A92=FALSE,"", countif(VLOOKUP($A92,'MARCH 2022'!A:A,1,FALSE),$A92)&gt;=1,TRUE,countif(VLOOKUP($A92,'MARCH 2022'!A:A,1,FALSE),$A92)=0,FALSE)</f>
        <v>1</v>
      </c>
      <c r="O92" s="111"/>
    </row>
    <row r="93" ht="15.75" customHeight="1">
      <c r="A93" s="110" t="str">
        <f t="shared" si="1"/>
        <v>1634744623</v>
      </c>
      <c r="B93" s="111">
        <v>16347.0</v>
      </c>
      <c r="C93" s="112">
        <v>0.6041666666666666</v>
      </c>
      <c r="D93" s="111" t="s">
        <v>4619</v>
      </c>
      <c r="E93" s="113">
        <v>21818.0</v>
      </c>
      <c r="F93" s="114">
        <v>44623.0</v>
      </c>
      <c r="G93" s="111" t="s">
        <v>6523</v>
      </c>
      <c r="H93" s="111" t="s">
        <v>6520</v>
      </c>
      <c r="I93" s="111" t="s">
        <v>6524</v>
      </c>
      <c r="J93" s="111" t="s">
        <v>6427</v>
      </c>
      <c r="K93" s="115"/>
      <c r="L93" s="115" t="s">
        <v>6522</v>
      </c>
      <c r="M93" s="115" t="b">
        <f>IFS($A93=FALSE,"", countif(VLOOKUP($B93,'MARCH 2022'!C:C,1,FALSE),$B93)&gt;=1,TRUE,countif(VLOOKUP($B93,'MARCH 2022'!C:C,1,FALSE),$B93)=0,FALSE)</f>
        <v>1</v>
      </c>
      <c r="N93" s="115" t="b">
        <f>IFS($A93=FALSE,"", countif(VLOOKUP($A93,'MARCH 2022'!A:A,1,FALSE),$A93)&gt;=1,TRUE,countif(VLOOKUP($A93,'MARCH 2022'!A:A,1,FALSE),$A93)=0,FALSE)</f>
        <v>1</v>
      </c>
      <c r="O93" s="111"/>
    </row>
    <row r="94" ht="15.75" customHeight="1">
      <c r="A94" s="110" t="str">
        <f t="shared" si="1"/>
        <v>1287544623</v>
      </c>
      <c r="B94" s="111">
        <v>12875.0</v>
      </c>
      <c r="C94" s="112">
        <v>0.6145833333333334</v>
      </c>
      <c r="D94" s="111" t="s">
        <v>1781</v>
      </c>
      <c r="E94" s="113">
        <v>21789.0</v>
      </c>
      <c r="F94" s="114">
        <v>44623.0</v>
      </c>
      <c r="G94" s="111" t="s">
        <v>6523</v>
      </c>
      <c r="H94" s="111" t="s">
        <v>6520</v>
      </c>
      <c r="I94" s="111" t="s">
        <v>6524</v>
      </c>
      <c r="J94" s="111" t="s">
        <v>6372</v>
      </c>
      <c r="K94" s="115"/>
      <c r="L94" s="115" t="s">
        <v>6522</v>
      </c>
      <c r="M94" s="115" t="b">
        <f>IFS($A94=FALSE,"", countif(VLOOKUP($B94,'MARCH 2022'!C:C,1,FALSE),$B94)&gt;=1,TRUE,countif(VLOOKUP($B94,'MARCH 2022'!C:C,1,FALSE),$B94)=0,FALSE)</f>
        <v>1</v>
      </c>
      <c r="N94" s="115" t="b">
        <f>IFS($A94=FALSE,"", countif(VLOOKUP($A94,'MARCH 2022'!A:A,1,FALSE),$A94)&gt;=1,TRUE,countif(VLOOKUP($A94,'MARCH 2022'!A:A,1,FALSE),$A94)=0,FALSE)</f>
        <v>1</v>
      </c>
      <c r="O94" s="111"/>
    </row>
    <row r="95" ht="15.75" customHeight="1">
      <c r="A95" s="110" t="str">
        <f t="shared" si="1"/>
        <v>1183044623</v>
      </c>
      <c r="B95" s="111">
        <v>11830.0</v>
      </c>
      <c r="C95" s="112">
        <v>0.625</v>
      </c>
      <c r="D95" s="111" t="s">
        <v>1131</v>
      </c>
      <c r="E95" s="113">
        <v>28760.0</v>
      </c>
      <c r="F95" s="114">
        <v>44623.0</v>
      </c>
      <c r="G95" s="111" t="s">
        <v>6523</v>
      </c>
      <c r="H95" s="111" t="s">
        <v>6526</v>
      </c>
      <c r="I95" s="111" t="s">
        <v>6527</v>
      </c>
      <c r="J95" s="111" t="s">
        <v>6374</v>
      </c>
      <c r="K95" s="115"/>
      <c r="L95" s="115" t="s">
        <v>6522</v>
      </c>
      <c r="M95" s="115" t="b">
        <f>IFS($A95=FALSE,"", countif(VLOOKUP($B95,'MARCH 2022'!C:C,1,FALSE),$B95)&gt;=1,TRUE,countif(VLOOKUP($B95,'MARCH 2022'!C:C,1,FALSE),$B95)=0,FALSE)</f>
        <v>1</v>
      </c>
      <c r="N95" s="115" t="b">
        <f>IFS($A95=FALSE,"", countif(VLOOKUP($A95,'MARCH 2022'!A:A,1,FALSE),$A95)&gt;=1,TRUE,countif(VLOOKUP($A95,'MARCH 2022'!A:A,1,FALSE),$A95)=0,FALSE)</f>
        <v>1</v>
      </c>
      <c r="O95" s="111"/>
    </row>
    <row r="96" ht="15.75" customHeight="1">
      <c r="A96" s="110" t="str">
        <f t="shared" si="1"/>
        <v>937644623</v>
      </c>
      <c r="B96" s="111">
        <v>9376.0</v>
      </c>
      <c r="C96" s="112">
        <v>0.6354166666666666</v>
      </c>
      <c r="D96" s="111" t="s">
        <v>146</v>
      </c>
      <c r="E96" s="113">
        <v>18198.0</v>
      </c>
      <c r="F96" s="114">
        <v>44623.0</v>
      </c>
      <c r="G96" s="111" t="s">
        <v>6523</v>
      </c>
      <c r="H96" s="111" t="s">
        <v>6526</v>
      </c>
      <c r="I96" s="111" t="s">
        <v>6529</v>
      </c>
      <c r="J96" s="111" t="s">
        <v>6427</v>
      </c>
      <c r="K96" s="115"/>
      <c r="L96" s="115" t="s">
        <v>6522</v>
      </c>
      <c r="M96" s="115" t="b">
        <f>IFS($A96=FALSE,"", countif(VLOOKUP($B96,'MARCH 2022'!C:C,1,FALSE),$B96)&gt;=1,TRUE,countif(VLOOKUP($B96,'MARCH 2022'!C:C,1,FALSE),$B96)=0,FALSE)</f>
        <v>1</v>
      </c>
      <c r="N96" s="115" t="b">
        <f>IFS($A96=FALSE,"", countif(VLOOKUP($A96,'MARCH 2022'!A:A,1,FALSE),$A96)&gt;=1,TRUE,countif(VLOOKUP($A96,'MARCH 2022'!A:A,1,FALSE),$A96)=0,FALSE)</f>
        <v>1</v>
      </c>
      <c r="O96" s="111"/>
    </row>
    <row r="97" ht="15.75" customHeight="1">
      <c r="A97" s="110" t="str">
        <f t="shared" si="1"/>
        <v>1266244623</v>
      </c>
      <c r="B97" s="111">
        <v>12662.0</v>
      </c>
      <c r="C97" s="112">
        <v>0.6458333333333334</v>
      </c>
      <c r="D97" s="111" t="s">
        <v>1609</v>
      </c>
      <c r="E97" s="113">
        <v>25947.0</v>
      </c>
      <c r="F97" s="114">
        <v>44623.0</v>
      </c>
      <c r="G97" s="111" t="s">
        <v>6519</v>
      </c>
      <c r="H97" s="111" t="s">
        <v>6520</v>
      </c>
      <c r="I97" s="111" t="s">
        <v>6521</v>
      </c>
      <c r="J97" s="111" t="s">
        <v>6381</v>
      </c>
      <c r="K97" s="115"/>
      <c r="L97" s="115" t="s">
        <v>6522</v>
      </c>
      <c r="M97" s="115" t="b">
        <f>IFS($A97=FALSE,"", countif(VLOOKUP($B97,'MARCH 2022'!C:C,1,FALSE),$B97)&gt;=1,TRUE,countif(VLOOKUP($B97,'MARCH 2022'!C:C,1,FALSE),$B97)=0,FALSE)</f>
        <v>1</v>
      </c>
      <c r="N97" s="115" t="b">
        <f>IFS($A97=FALSE,"", countif(VLOOKUP($A97,'MARCH 2022'!A:A,1,FALSE),$A97)&gt;=1,TRUE,countif(VLOOKUP($A97,'MARCH 2022'!A:A,1,FALSE),$A97)=0,FALSE)</f>
        <v>1</v>
      </c>
      <c r="O97" s="111"/>
    </row>
    <row r="98" ht="15.75" customHeight="1">
      <c r="A98" s="110" t="str">
        <f t="shared" si="1"/>
        <v>1224644624</v>
      </c>
      <c r="B98" s="111">
        <v>12246.0</v>
      </c>
      <c r="C98" s="112">
        <v>0.3229166666666667</v>
      </c>
      <c r="D98" s="111" t="s">
        <v>1338</v>
      </c>
      <c r="E98" s="113">
        <v>27076.0</v>
      </c>
      <c r="F98" s="114">
        <v>44624.0</v>
      </c>
      <c r="G98" s="111" t="s">
        <v>6523</v>
      </c>
      <c r="H98" s="111" t="s">
        <v>6526</v>
      </c>
      <c r="I98" s="111" t="s">
        <v>6527</v>
      </c>
      <c r="J98" s="111" t="s">
        <v>6393</v>
      </c>
      <c r="K98" s="115"/>
      <c r="L98" s="115" t="s">
        <v>6522</v>
      </c>
      <c r="M98" s="115" t="b">
        <f>IFS($A98=FALSE,"", countif(VLOOKUP($B98,'MARCH 2022'!C:C,1,FALSE),$B98)&gt;=1,TRUE,countif(VLOOKUP($B98,'MARCH 2022'!C:C,1,FALSE),$B98)=0,FALSE)</f>
        <v>0</v>
      </c>
      <c r="N98" s="115" t="b">
        <f>IFS($A98=FALSE,"", countif(VLOOKUP($A98,'MARCH 2022'!A:A,1,FALSE),$A98)&gt;=1,TRUE,countif(VLOOKUP($A98,'MARCH 2022'!A:A,1,FALSE),$A98)=0,FALSE)</f>
        <v>0</v>
      </c>
      <c r="O98" s="111"/>
    </row>
    <row r="99" ht="15.75" customHeight="1">
      <c r="A99" s="110" t="str">
        <f t="shared" si="1"/>
        <v>1270444624</v>
      </c>
      <c r="B99" s="111">
        <v>12704.0</v>
      </c>
      <c r="C99" s="112">
        <v>0.3333333333333333</v>
      </c>
      <c r="D99" s="111" t="s">
        <v>1641</v>
      </c>
      <c r="E99" s="113">
        <v>26124.0</v>
      </c>
      <c r="F99" s="114">
        <v>44624.0</v>
      </c>
      <c r="G99" s="111" t="s">
        <v>6523</v>
      </c>
      <c r="H99" s="111" t="s">
        <v>6526</v>
      </c>
      <c r="I99" s="111" t="s">
        <v>6527</v>
      </c>
      <c r="J99" s="111" t="s">
        <v>6476</v>
      </c>
      <c r="K99" s="115"/>
      <c r="L99" s="115" t="s">
        <v>6522</v>
      </c>
      <c r="M99" s="115" t="b">
        <f>IFS($A99=FALSE,"", countif(VLOOKUP($B99,'MARCH 2022'!C:C,1,FALSE),$B99)&gt;=1,TRUE,countif(VLOOKUP($B99,'MARCH 2022'!C:C,1,FALSE),$B99)=0,FALSE)</f>
        <v>0</v>
      </c>
      <c r="N99" s="115" t="b">
        <f>IFS($A99=FALSE,"", countif(VLOOKUP($A99,'MARCH 2022'!A:A,1,FALSE),$A99)&gt;=1,TRUE,countif(VLOOKUP($A99,'MARCH 2022'!A:A,1,FALSE),$A99)=0,FALSE)</f>
        <v>0</v>
      </c>
      <c r="O99" s="111"/>
    </row>
    <row r="100" ht="15.75" customHeight="1">
      <c r="A100" s="110" t="str">
        <f t="shared" si="1"/>
        <v>1492644624</v>
      </c>
      <c r="B100" s="111">
        <v>14926.0</v>
      </c>
      <c r="C100" s="112">
        <v>0.3333333333333333</v>
      </c>
      <c r="D100" s="111" t="s">
        <v>3411</v>
      </c>
      <c r="E100" s="113">
        <v>21137.0</v>
      </c>
      <c r="F100" s="114">
        <v>44624.0</v>
      </c>
      <c r="G100" s="111" t="s">
        <v>6519</v>
      </c>
      <c r="H100" s="111" t="s">
        <v>6520</v>
      </c>
      <c r="I100" s="111" t="s">
        <v>6521</v>
      </c>
      <c r="J100" s="111" t="s">
        <v>6381</v>
      </c>
      <c r="K100" s="115"/>
      <c r="L100" s="115" t="s">
        <v>6522</v>
      </c>
      <c r="M100" s="115" t="b">
        <f>IFS($A100=FALSE,"", countif(VLOOKUP($B100,'MARCH 2022'!C:C,1,FALSE),$B100)&gt;=1,TRUE,countif(VLOOKUP($B100,'MARCH 2022'!C:C,1,FALSE),$B100)=0,FALSE)</f>
        <v>0</v>
      </c>
      <c r="N100" s="115" t="b">
        <f>IFS($A100=FALSE,"", countif(VLOOKUP($A100,'MARCH 2022'!A:A,1,FALSE),$A100)&gt;=1,TRUE,countif(VLOOKUP($A100,'MARCH 2022'!A:A,1,FALSE),$A100)=0,FALSE)</f>
        <v>0</v>
      </c>
      <c r="O100" s="111"/>
    </row>
    <row r="101" ht="15.75" customHeight="1">
      <c r="A101" s="110" t="str">
        <f t="shared" si="1"/>
        <v>1061444624</v>
      </c>
      <c r="B101" s="111">
        <v>10614.0</v>
      </c>
      <c r="C101" s="112">
        <v>0.34375</v>
      </c>
      <c r="D101" s="111" t="s">
        <v>607</v>
      </c>
      <c r="E101" s="113">
        <v>19605.0</v>
      </c>
      <c r="F101" s="114">
        <v>44624.0</v>
      </c>
      <c r="G101" s="111" t="s">
        <v>6519</v>
      </c>
      <c r="H101" s="111" t="s">
        <v>6520</v>
      </c>
      <c r="I101" s="111" t="s">
        <v>6521</v>
      </c>
      <c r="J101" s="111" t="s">
        <v>6372</v>
      </c>
      <c r="K101" s="115"/>
      <c r="L101" s="115" t="s">
        <v>6522</v>
      </c>
      <c r="M101" s="115" t="b">
        <f>IFS($A101=FALSE,"", countif(VLOOKUP($B101,'MARCH 2022'!C:C,1,FALSE),$B101)&gt;=1,TRUE,countif(VLOOKUP($B101,'MARCH 2022'!C:C,1,FALSE),$B101)=0,FALSE)</f>
        <v>0</v>
      </c>
      <c r="N101" s="115" t="b">
        <f>IFS($A101=FALSE,"", countif(VLOOKUP($A101,'MARCH 2022'!A:A,1,FALSE),$A101)&gt;=1,TRUE,countif(VLOOKUP($A101,'MARCH 2022'!A:A,1,FALSE),$A101)=0,FALSE)</f>
        <v>0</v>
      </c>
      <c r="O101" s="111"/>
    </row>
    <row r="102" ht="15.75" customHeight="1">
      <c r="A102" s="110" t="str">
        <f t="shared" si="1"/>
        <v>1595544624</v>
      </c>
      <c r="B102" s="111">
        <v>15955.0</v>
      </c>
      <c r="C102" s="112">
        <v>0.3541666666666667</v>
      </c>
      <c r="D102" s="111" t="s">
        <v>4297</v>
      </c>
      <c r="E102" s="113">
        <v>24783.0</v>
      </c>
      <c r="F102" s="114">
        <v>44624.0</v>
      </c>
      <c r="G102" s="111" t="s">
        <v>6523</v>
      </c>
      <c r="H102" s="111" t="s">
        <v>6520</v>
      </c>
      <c r="I102" s="111" t="s">
        <v>6521</v>
      </c>
      <c r="J102" s="111" t="s">
        <v>6372</v>
      </c>
      <c r="K102" s="115"/>
      <c r="L102" s="115" t="s">
        <v>6522</v>
      </c>
      <c r="M102" s="115" t="b">
        <f>IFS($A102=FALSE,"", countif(VLOOKUP($B102,'MARCH 2022'!C:C,1,FALSE),$B102)&gt;=1,TRUE,countif(VLOOKUP($B102,'MARCH 2022'!C:C,1,FALSE),$B102)=0,FALSE)</f>
        <v>0</v>
      </c>
      <c r="N102" s="115" t="b">
        <f>IFS($A102=FALSE,"", countif(VLOOKUP($A102,'MARCH 2022'!A:A,1,FALSE),$A102)&gt;=1,TRUE,countif(VLOOKUP($A102,'MARCH 2022'!A:A,1,FALSE),$A102)=0,FALSE)</f>
        <v>0</v>
      </c>
      <c r="O102" s="111"/>
    </row>
    <row r="103" ht="15.75" customHeight="1">
      <c r="A103" s="110" t="str">
        <f t="shared" si="1"/>
        <v>1199944624</v>
      </c>
      <c r="B103" s="111">
        <v>11999.0</v>
      </c>
      <c r="C103" s="112">
        <v>0.3645833333333333</v>
      </c>
      <c r="D103" s="111" t="s">
        <v>1219</v>
      </c>
      <c r="E103" s="113">
        <v>18431.0</v>
      </c>
      <c r="F103" s="114">
        <v>44624.0</v>
      </c>
      <c r="G103" s="111" t="s">
        <v>6523</v>
      </c>
      <c r="H103" s="111" t="s">
        <v>6520</v>
      </c>
      <c r="I103" s="111" t="s">
        <v>6521</v>
      </c>
      <c r="J103" s="111" t="s">
        <v>6427</v>
      </c>
      <c r="K103" s="115"/>
      <c r="L103" s="115" t="s">
        <v>6522</v>
      </c>
      <c r="M103" s="115" t="b">
        <f>IFS($A103=FALSE,"", countif(VLOOKUP($B103,'MARCH 2022'!C:C,1,FALSE),$B103)&gt;=1,TRUE,countif(VLOOKUP($B103,'MARCH 2022'!C:C,1,FALSE),$B103)=0,FALSE)</f>
        <v>0</v>
      </c>
      <c r="N103" s="115" t="b">
        <f>IFS($A103=FALSE,"", countif(VLOOKUP($A103,'MARCH 2022'!A:A,1,FALSE),$A103)&gt;=1,TRUE,countif(VLOOKUP($A103,'MARCH 2022'!A:A,1,FALSE),$A103)=0,FALSE)</f>
        <v>0</v>
      </c>
      <c r="O103" s="111"/>
    </row>
    <row r="104" ht="15.75" customHeight="1">
      <c r="A104" s="110" t="str">
        <f t="shared" si="1"/>
        <v>1513244624</v>
      </c>
      <c r="B104" s="111">
        <v>15132.0</v>
      </c>
      <c r="C104" s="112">
        <v>0.375</v>
      </c>
      <c r="D104" s="111" t="s">
        <v>3584</v>
      </c>
      <c r="E104" s="113">
        <v>24767.0</v>
      </c>
      <c r="F104" s="114">
        <v>44624.0</v>
      </c>
      <c r="G104" s="111" t="s">
        <v>6523</v>
      </c>
      <c r="H104" s="111" t="s">
        <v>6526</v>
      </c>
      <c r="I104" s="111" t="s">
        <v>6527</v>
      </c>
      <c r="J104" s="111" t="s">
        <v>6416</v>
      </c>
      <c r="K104" s="115"/>
      <c r="L104" s="115" t="s">
        <v>6522</v>
      </c>
      <c r="M104" s="115" t="b">
        <f>IFS($A104=FALSE,"", countif(VLOOKUP($B104,'MARCH 2022'!C:C,1,FALSE),$B104)&gt;=1,TRUE,countif(VLOOKUP($B104,'MARCH 2022'!C:C,1,FALSE),$B104)=0,FALSE)</f>
        <v>0</v>
      </c>
      <c r="N104" s="115" t="b">
        <f>IFS($A104=FALSE,"", countif(VLOOKUP($A104,'MARCH 2022'!A:A,1,FALSE),$A104)&gt;=1,TRUE,countif(VLOOKUP($A104,'MARCH 2022'!A:A,1,FALSE),$A104)=0,FALSE)</f>
        <v>0</v>
      </c>
      <c r="O104" s="111"/>
    </row>
    <row r="105" ht="15.75" customHeight="1">
      <c r="A105" s="110" t="str">
        <f t="shared" si="1"/>
        <v>1111644624</v>
      </c>
      <c r="B105" s="111">
        <v>11116.0</v>
      </c>
      <c r="C105" s="112">
        <v>0.375</v>
      </c>
      <c r="D105" s="111" t="s">
        <v>815</v>
      </c>
      <c r="E105" s="113">
        <v>17610.0</v>
      </c>
      <c r="F105" s="114">
        <v>44624.0</v>
      </c>
      <c r="G105" s="111" t="s">
        <v>6523</v>
      </c>
      <c r="H105" s="111" t="s">
        <v>6520</v>
      </c>
      <c r="I105" s="111" t="s">
        <v>6524</v>
      </c>
      <c r="J105" s="111" t="s">
        <v>6427</v>
      </c>
      <c r="K105" s="115"/>
      <c r="L105" s="115" t="s">
        <v>6522</v>
      </c>
      <c r="M105" s="115" t="b">
        <f>IFS($A105=FALSE,"", countif(VLOOKUP($B105,'MARCH 2022'!C:C,1,FALSE),$B105)&gt;=1,TRUE,countif(VLOOKUP($B105,'MARCH 2022'!C:C,1,FALSE),$B105)=0,FALSE)</f>
        <v>0</v>
      </c>
      <c r="N105" s="115" t="b">
        <f>IFS($A105=FALSE,"", countif(VLOOKUP($A105,'MARCH 2022'!A:A,1,FALSE),$A105)&gt;=1,TRUE,countif(VLOOKUP($A105,'MARCH 2022'!A:A,1,FALSE),$A105)=0,FALSE)</f>
        <v>0</v>
      </c>
      <c r="O105" s="111"/>
    </row>
    <row r="106" ht="15.75" customHeight="1">
      <c r="A106" s="110" t="str">
        <f t="shared" si="1"/>
        <v>1393744624</v>
      </c>
      <c r="B106" s="111">
        <v>13937.0</v>
      </c>
      <c r="C106" s="112">
        <v>0.3854166666666667</v>
      </c>
      <c r="D106" s="111" t="s">
        <v>2619</v>
      </c>
      <c r="E106" s="113">
        <v>33308.0</v>
      </c>
      <c r="F106" s="114">
        <v>44624.0</v>
      </c>
      <c r="G106" s="111" t="s">
        <v>6519</v>
      </c>
      <c r="H106" s="111" t="s">
        <v>6520</v>
      </c>
      <c r="I106" s="111" t="s">
        <v>6521</v>
      </c>
      <c r="J106" s="111" t="s">
        <v>6438</v>
      </c>
      <c r="K106" s="115"/>
      <c r="L106" s="115" t="s">
        <v>6522</v>
      </c>
      <c r="M106" s="115" t="b">
        <f>IFS($A106=FALSE,"", countif(VLOOKUP($B106,'MARCH 2022'!C:C,1,FALSE),$B106)&gt;=1,TRUE,countif(VLOOKUP($B106,'MARCH 2022'!C:C,1,FALSE),$B106)=0,FALSE)</f>
        <v>0</v>
      </c>
      <c r="N106" s="115" t="b">
        <f>IFS($A106=FALSE,"", countif(VLOOKUP($A106,'MARCH 2022'!A:A,1,FALSE),$A106)&gt;=1,TRUE,countif(VLOOKUP($A106,'MARCH 2022'!A:A,1,FALSE),$A106)=0,FALSE)</f>
        <v>0</v>
      </c>
      <c r="O106" s="111"/>
    </row>
    <row r="107" ht="15.75" customHeight="1">
      <c r="A107" s="110" t="str">
        <f t="shared" si="1"/>
        <v>1594244624</v>
      </c>
      <c r="B107" s="111">
        <v>15942.0</v>
      </c>
      <c r="C107" s="112">
        <v>0.3958333333333333</v>
      </c>
      <c r="D107" s="111" t="s">
        <v>4288</v>
      </c>
      <c r="E107" s="113">
        <v>20598.0</v>
      </c>
      <c r="F107" s="114">
        <v>44624.0</v>
      </c>
      <c r="G107" s="111" t="s">
        <v>6519</v>
      </c>
      <c r="H107" s="111" t="s">
        <v>6520</v>
      </c>
      <c r="I107" s="111" t="s">
        <v>6521</v>
      </c>
      <c r="J107" s="111" t="s">
        <v>6477</v>
      </c>
      <c r="K107" s="115"/>
      <c r="L107" s="115" t="s">
        <v>6522</v>
      </c>
      <c r="M107" s="115" t="b">
        <f>IFS($A107=FALSE,"", countif(VLOOKUP($B107,'MARCH 2022'!C:C,1,FALSE),$B107)&gt;=1,TRUE,countif(VLOOKUP($B107,'MARCH 2022'!C:C,1,FALSE),$B107)=0,FALSE)</f>
        <v>0</v>
      </c>
      <c r="N107" s="115" t="b">
        <f>IFS($A107=FALSE,"", countif(VLOOKUP($A107,'MARCH 2022'!A:A,1,FALSE),$A107)&gt;=1,TRUE,countif(VLOOKUP($A107,'MARCH 2022'!A:A,1,FALSE),$A107)=0,FALSE)</f>
        <v>0</v>
      </c>
      <c r="O107" s="111"/>
    </row>
    <row r="108" ht="15.75" customHeight="1">
      <c r="A108" s="110" t="str">
        <f t="shared" si="1"/>
        <v>1750844624</v>
      </c>
      <c r="B108" s="111">
        <v>17508.0</v>
      </c>
      <c r="C108" s="112">
        <v>0.3958333333333333</v>
      </c>
      <c r="D108" s="111" t="s">
        <v>5858</v>
      </c>
      <c r="E108" s="113">
        <v>26371.0</v>
      </c>
      <c r="F108" s="114">
        <v>44624.0</v>
      </c>
      <c r="G108" s="111" t="s">
        <v>6523</v>
      </c>
      <c r="H108" s="111" t="s">
        <v>6520</v>
      </c>
      <c r="I108" s="111" t="s">
        <v>6521</v>
      </c>
      <c r="J108" s="111" t="s">
        <v>6389</v>
      </c>
      <c r="K108" s="115"/>
      <c r="L108" s="115" t="s">
        <v>6522</v>
      </c>
      <c r="M108" s="115" t="b">
        <f>IFS($A108=FALSE,"", countif(VLOOKUP($B108,'MARCH 2022'!C:C,1,FALSE),$B108)&gt;=1,TRUE,countif(VLOOKUP($B108,'MARCH 2022'!C:C,1,FALSE),$B108)=0,FALSE)</f>
        <v>0</v>
      </c>
      <c r="N108" s="115" t="b">
        <f>IFS($A108=FALSE,"", countif(VLOOKUP($A108,'MARCH 2022'!A:A,1,FALSE),$A108)&gt;=1,TRUE,countif(VLOOKUP($A108,'MARCH 2022'!A:A,1,FALSE),$A108)=0,FALSE)</f>
        <v>0</v>
      </c>
      <c r="O108" s="111"/>
    </row>
    <row r="109" ht="15.75" customHeight="1">
      <c r="A109" s="110" t="str">
        <f t="shared" si="1"/>
        <v>1518144624</v>
      </c>
      <c r="B109" s="111">
        <v>15181.0</v>
      </c>
      <c r="C109" s="112">
        <v>0.3958333333333333</v>
      </c>
      <c r="D109" s="111" t="s">
        <v>3622</v>
      </c>
      <c r="E109" s="113">
        <v>25311.0</v>
      </c>
      <c r="F109" s="114">
        <v>44624.0</v>
      </c>
      <c r="G109" s="111" t="s">
        <v>6523</v>
      </c>
      <c r="H109" s="111" t="s">
        <v>6520</v>
      </c>
      <c r="I109" s="111" t="s">
        <v>6524</v>
      </c>
      <c r="J109" s="111" t="s">
        <v>6427</v>
      </c>
      <c r="K109" s="115"/>
      <c r="L109" s="115" t="s">
        <v>6522</v>
      </c>
      <c r="M109" s="115" t="b">
        <f>IFS($A109=FALSE,"", countif(VLOOKUP($B109,'MARCH 2022'!C:C,1,FALSE),$B109)&gt;=1,TRUE,countif(VLOOKUP($B109,'MARCH 2022'!C:C,1,FALSE),$B109)=0,FALSE)</f>
        <v>0</v>
      </c>
      <c r="N109" s="115" t="b">
        <f>IFS($A109=FALSE,"", countif(VLOOKUP($A109,'MARCH 2022'!A:A,1,FALSE),$A109)&gt;=1,TRUE,countif(VLOOKUP($A109,'MARCH 2022'!A:A,1,FALSE),$A109)=0,FALSE)</f>
        <v>0</v>
      </c>
      <c r="O109" s="111"/>
    </row>
    <row r="110" ht="15.75" customHeight="1">
      <c r="A110" s="110" t="str">
        <f t="shared" si="1"/>
        <v>1408444624</v>
      </c>
      <c r="B110" s="111">
        <v>14084.0</v>
      </c>
      <c r="C110" s="112">
        <v>0.3958333333333333</v>
      </c>
      <c r="D110" s="111" t="s">
        <v>2726</v>
      </c>
      <c r="E110" s="113">
        <v>29711.0</v>
      </c>
      <c r="F110" s="114">
        <v>44624.0</v>
      </c>
      <c r="G110" s="111" t="s">
        <v>6519</v>
      </c>
      <c r="H110" s="111" t="s">
        <v>6520</v>
      </c>
      <c r="I110" s="111" t="s">
        <v>6524</v>
      </c>
      <c r="J110" s="111" t="s">
        <v>6489</v>
      </c>
      <c r="K110" s="115"/>
      <c r="L110" s="115" t="s">
        <v>6522</v>
      </c>
      <c r="M110" s="115" t="b">
        <f>IFS($A110=FALSE,"", countif(VLOOKUP($B110,'MARCH 2022'!C:C,1,FALSE),$B110)&gt;=1,TRUE,countif(VLOOKUP($B110,'MARCH 2022'!C:C,1,FALSE),$B110)=0,FALSE)</f>
        <v>0</v>
      </c>
      <c r="N110" s="115" t="b">
        <f>IFS($A110=FALSE,"", countif(VLOOKUP($A110,'MARCH 2022'!A:A,1,FALSE),$A110)&gt;=1,TRUE,countif(VLOOKUP($A110,'MARCH 2022'!A:A,1,FALSE),$A110)=0,FALSE)</f>
        <v>0</v>
      </c>
      <c r="O110" s="111"/>
    </row>
    <row r="111" ht="15.75" customHeight="1">
      <c r="A111" s="110" t="str">
        <f t="shared" si="1"/>
        <v>1337044624</v>
      </c>
      <c r="B111" s="111">
        <v>13370.0</v>
      </c>
      <c r="C111" s="112">
        <v>0.40625</v>
      </c>
      <c r="D111" s="111" t="s">
        <v>2176</v>
      </c>
      <c r="E111" s="113">
        <v>35860.0</v>
      </c>
      <c r="F111" s="114">
        <v>44624.0</v>
      </c>
      <c r="G111" s="111" t="s">
        <v>6523</v>
      </c>
      <c r="H111" s="111" t="s">
        <v>6520</v>
      </c>
      <c r="I111" s="111" t="s">
        <v>6524</v>
      </c>
      <c r="J111" s="111" t="s">
        <v>6406</v>
      </c>
      <c r="K111" s="115"/>
      <c r="L111" s="115" t="s">
        <v>6522</v>
      </c>
      <c r="M111" s="115" t="b">
        <f>IFS($A111=FALSE,"", countif(VLOOKUP($B111,'MARCH 2022'!C:C,1,FALSE),$B111)&gt;=1,TRUE,countif(VLOOKUP($B111,'MARCH 2022'!C:C,1,FALSE),$B111)=0,FALSE)</f>
        <v>0</v>
      </c>
      <c r="N111" s="115" t="b">
        <f>IFS($A111=FALSE,"", countif(VLOOKUP($A111,'MARCH 2022'!A:A,1,FALSE),$A111)&gt;=1,TRUE,countif(VLOOKUP($A111,'MARCH 2022'!A:A,1,FALSE),$A111)=0,FALSE)</f>
        <v>0</v>
      </c>
      <c r="O111" s="111"/>
    </row>
    <row r="112" ht="15.75" customHeight="1">
      <c r="A112" s="110" t="str">
        <f t="shared" si="1"/>
        <v>1737944624</v>
      </c>
      <c r="B112" s="111">
        <v>17379.0</v>
      </c>
      <c r="C112" s="112">
        <v>0.4166666666666667</v>
      </c>
      <c r="D112" s="111" t="s">
        <v>5932</v>
      </c>
      <c r="E112" s="113">
        <v>25124.0</v>
      </c>
      <c r="F112" s="114">
        <v>44624.0</v>
      </c>
      <c r="G112" s="111" t="s">
        <v>6519</v>
      </c>
      <c r="H112" s="111" t="s">
        <v>6520</v>
      </c>
      <c r="I112" s="111" t="s">
        <v>6521</v>
      </c>
      <c r="J112" s="111" t="s">
        <v>6489</v>
      </c>
      <c r="K112" s="115"/>
      <c r="L112" s="115" t="s">
        <v>6522</v>
      </c>
      <c r="M112" s="115" t="b">
        <f>IFS($A112=FALSE,"", countif(VLOOKUP($B112,'MARCH 2022'!C:C,1,FALSE),$B112)&gt;=1,TRUE,countif(VLOOKUP($B112,'MARCH 2022'!C:C,1,FALSE),$B112)=0,FALSE)</f>
        <v>0</v>
      </c>
      <c r="N112" s="115" t="b">
        <f>IFS($A112=FALSE,"", countif(VLOOKUP($A112,'MARCH 2022'!A:A,1,FALSE),$A112)&gt;=1,TRUE,countif(VLOOKUP($A112,'MARCH 2022'!A:A,1,FALSE),$A112)=0,FALSE)</f>
        <v>0</v>
      </c>
      <c r="O112" s="111"/>
    </row>
    <row r="113" ht="15.75" customHeight="1">
      <c r="A113" s="110" t="str">
        <f t="shared" si="1"/>
        <v>1052444624</v>
      </c>
      <c r="B113" s="111">
        <v>10524.0</v>
      </c>
      <c r="C113" s="112">
        <v>0.4166666666666667</v>
      </c>
      <c r="D113" s="111" t="s">
        <v>583</v>
      </c>
      <c r="E113" s="113">
        <v>27107.0</v>
      </c>
      <c r="F113" s="114">
        <v>44624.0</v>
      </c>
      <c r="G113" s="111" t="s">
        <v>6523</v>
      </c>
      <c r="H113" s="111" t="s">
        <v>6520</v>
      </c>
      <c r="I113" s="111" t="s">
        <v>6524</v>
      </c>
      <c r="J113" s="111" t="s">
        <v>6489</v>
      </c>
      <c r="K113" s="115"/>
      <c r="L113" s="115" t="s">
        <v>6522</v>
      </c>
      <c r="M113" s="115" t="b">
        <f>IFS($A113=FALSE,"", countif(VLOOKUP($B113,'MARCH 2022'!C:C,1,FALSE),$B113)&gt;=1,TRUE,countif(VLOOKUP($B113,'MARCH 2022'!C:C,1,FALSE),$B113)=0,FALSE)</f>
        <v>0</v>
      </c>
      <c r="N113" s="115" t="b">
        <f>IFS($A113=FALSE,"", countif(VLOOKUP($A113,'MARCH 2022'!A:A,1,FALSE),$A113)&gt;=1,TRUE,countif(VLOOKUP($A113,'MARCH 2022'!A:A,1,FALSE),$A113)=0,FALSE)</f>
        <v>0</v>
      </c>
      <c r="O113" s="111"/>
    </row>
    <row r="114" ht="15.75" customHeight="1">
      <c r="A114" s="110" t="str">
        <f t="shared" si="1"/>
        <v>1447744624</v>
      </c>
      <c r="B114" s="111">
        <v>14477.0</v>
      </c>
      <c r="C114" s="112">
        <v>0.4375</v>
      </c>
      <c r="D114" s="111" t="s">
        <v>3032</v>
      </c>
      <c r="E114" s="113">
        <v>26501.0</v>
      </c>
      <c r="F114" s="114">
        <v>44624.0</v>
      </c>
      <c r="G114" s="111" t="s">
        <v>6519</v>
      </c>
      <c r="H114" s="111" t="s">
        <v>6526</v>
      </c>
      <c r="I114" s="111" t="s">
        <v>6527</v>
      </c>
      <c r="J114" s="111" t="s">
        <v>6407</v>
      </c>
      <c r="K114" s="115"/>
      <c r="L114" s="115" t="s">
        <v>6522</v>
      </c>
      <c r="M114" s="115" t="b">
        <f>IFS($A114=FALSE,"", countif(VLOOKUP($B114,'MARCH 2022'!C:C,1,FALSE),$B114)&gt;=1,TRUE,countif(VLOOKUP($B114,'MARCH 2022'!C:C,1,FALSE),$B114)=0,FALSE)</f>
        <v>0</v>
      </c>
      <c r="N114" s="115" t="b">
        <f>IFS($A114=FALSE,"", countif(VLOOKUP($A114,'MARCH 2022'!A:A,1,FALSE),$A114)&gt;=1,TRUE,countif(VLOOKUP($A114,'MARCH 2022'!A:A,1,FALSE),$A114)=0,FALSE)</f>
        <v>0</v>
      </c>
      <c r="O114" s="111"/>
    </row>
    <row r="115" ht="15.75" customHeight="1">
      <c r="A115" s="110" t="str">
        <f t="shared" si="1"/>
        <v>1286244624</v>
      </c>
      <c r="B115" s="111">
        <v>12862.0</v>
      </c>
      <c r="C115" s="112">
        <v>0.4479166666666667</v>
      </c>
      <c r="D115" s="111" t="s">
        <v>1770</v>
      </c>
      <c r="E115" s="113">
        <v>23750.0</v>
      </c>
      <c r="F115" s="114">
        <v>44624.0</v>
      </c>
      <c r="G115" s="111" t="s">
        <v>6523</v>
      </c>
      <c r="H115" s="111" t="s">
        <v>6520</v>
      </c>
      <c r="I115" s="111" t="s">
        <v>6521</v>
      </c>
      <c r="J115" s="111" t="s">
        <v>6381</v>
      </c>
      <c r="K115" s="115"/>
      <c r="L115" s="115" t="s">
        <v>6522</v>
      </c>
      <c r="M115" s="115" t="b">
        <f>IFS($A115=FALSE,"", countif(VLOOKUP($B115,'MARCH 2022'!C:C,1,FALSE),$B115)&gt;=1,TRUE,countif(VLOOKUP($B115,'MARCH 2022'!C:C,1,FALSE),$B115)=0,FALSE)</f>
        <v>0</v>
      </c>
      <c r="N115" s="115" t="b">
        <f>IFS($A115=FALSE,"", countif(VLOOKUP($A115,'MARCH 2022'!A:A,1,FALSE),$A115)&gt;=1,TRUE,countif(VLOOKUP($A115,'MARCH 2022'!A:A,1,FALSE),$A115)=0,FALSE)</f>
        <v>0</v>
      </c>
      <c r="O115" s="111"/>
    </row>
    <row r="116" ht="15.75" customHeight="1">
      <c r="A116" s="110" t="str">
        <f t="shared" si="1"/>
        <v>1693644624</v>
      </c>
      <c r="B116" s="111">
        <v>16936.0</v>
      </c>
      <c r="C116" s="112">
        <v>0.4479166666666667</v>
      </c>
      <c r="D116" s="111" t="s">
        <v>5072</v>
      </c>
      <c r="E116" s="113">
        <v>26117.0</v>
      </c>
      <c r="F116" s="114">
        <v>44624.0</v>
      </c>
      <c r="G116" s="111" t="s">
        <v>6523</v>
      </c>
      <c r="H116" s="111" t="s">
        <v>6520</v>
      </c>
      <c r="I116" s="111" t="s">
        <v>6524</v>
      </c>
      <c r="J116" s="111" t="s">
        <v>6444</v>
      </c>
      <c r="K116" s="115"/>
      <c r="L116" s="115" t="s">
        <v>6522</v>
      </c>
      <c r="M116" s="115" t="b">
        <f>IFS($A116=FALSE,"", countif(VLOOKUP($B116,'MARCH 2022'!C:C,1,FALSE),$B116)&gt;=1,TRUE,countif(VLOOKUP($B116,'MARCH 2022'!C:C,1,FALSE),$B116)=0,FALSE)</f>
        <v>0</v>
      </c>
      <c r="N116" s="115" t="b">
        <f>IFS($A116=FALSE,"", countif(VLOOKUP($A116,'MARCH 2022'!A:A,1,FALSE),$A116)&gt;=1,TRUE,countif(VLOOKUP($A116,'MARCH 2022'!A:A,1,FALSE),$A116)=0,FALSE)</f>
        <v>0</v>
      </c>
      <c r="O116" s="111"/>
    </row>
    <row r="117" ht="15.75" customHeight="1">
      <c r="A117" s="110" t="str">
        <f t="shared" si="1"/>
        <v>1383544624</v>
      </c>
      <c r="B117" s="111">
        <v>13835.0</v>
      </c>
      <c r="C117" s="112">
        <v>0.46875</v>
      </c>
      <c r="D117" s="111" t="s">
        <v>2540</v>
      </c>
      <c r="E117" s="113">
        <v>18179.0</v>
      </c>
      <c r="F117" s="114">
        <v>44624.0</v>
      </c>
      <c r="G117" s="111" t="s">
        <v>6523</v>
      </c>
      <c r="H117" s="111" t="s">
        <v>6526</v>
      </c>
      <c r="I117" s="111" t="s">
        <v>6527</v>
      </c>
      <c r="J117" s="111" t="s">
        <v>6489</v>
      </c>
      <c r="K117" s="115"/>
      <c r="L117" s="115" t="s">
        <v>6522</v>
      </c>
      <c r="M117" s="115" t="b">
        <f>IFS($A117=FALSE,"", countif(VLOOKUP($B117,'MARCH 2022'!C:C,1,FALSE),$B117)&gt;=1,TRUE,countif(VLOOKUP($B117,'MARCH 2022'!C:C,1,FALSE),$B117)=0,FALSE)</f>
        <v>0</v>
      </c>
      <c r="N117" s="115" t="b">
        <f>IFS($A117=FALSE,"", countif(VLOOKUP($A117,'MARCH 2022'!A:A,1,FALSE),$A117)&gt;=1,TRUE,countif(VLOOKUP($A117,'MARCH 2022'!A:A,1,FALSE),$A117)=0,FALSE)</f>
        <v>0</v>
      </c>
      <c r="O117" s="111"/>
    </row>
    <row r="118" ht="15.75" customHeight="1">
      <c r="A118" s="110" t="str">
        <f t="shared" si="1"/>
        <v>1617844624</v>
      </c>
      <c r="B118" s="111">
        <v>16178.0</v>
      </c>
      <c r="C118" s="112">
        <v>0.5416666666666666</v>
      </c>
      <c r="D118" s="111" t="s">
        <v>4488</v>
      </c>
      <c r="E118" s="113">
        <v>16356.0</v>
      </c>
      <c r="F118" s="114">
        <v>44624.0</v>
      </c>
      <c r="G118" s="111" t="s">
        <v>6523</v>
      </c>
      <c r="H118" s="111" t="s">
        <v>6526</v>
      </c>
      <c r="I118" s="111" t="s">
        <v>6529</v>
      </c>
      <c r="J118" s="111" t="s">
        <v>6427</v>
      </c>
      <c r="K118" s="115"/>
      <c r="L118" s="115" t="s">
        <v>6522</v>
      </c>
      <c r="M118" s="115" t="b">
        <f>IFS($A118=FALSE,"", countif(VLOOKUP($B118,'MARCH 2022'!C:C,1,FALSE),$B118)&gt;=1,TRUE,countif(VLOOKUP($B118,'MARCH 2022'!C:C,1,FALSE),$B118)=0,FALSE)</f>
        <v>0</v>
      </c>
      <c r="N118" s="115" t="b">
        <f>IFS($A118=FALSE,"", countif(VLOOKUP($A118,'MARCH 2022'!A:A,1,FALSE),$A118)&gt;=1,TRUE,countif(VLOOKUP($A118,'MARCH 2022'!A:A,1,FALSE),$A118)=0,FALSE)</f>
        <v>0</v>
      </c>
      <c r="O118" s="111"/>
    </row>
    <row r="119" ht="15.75" customHeight="1">
      <c r="A119" s="110" t="str">
        <f t="shared" si="1"/>
        <v>1640144624</v>
      </c>
      <c r="B119" s="111">
        <v>16401.0</v>
      </c>
      <c r="C119" s="112">
        <v>0.5416666666666666</v>
      </c>
      <c r="D119" s="111" t="s">
        <v>4662</v>
      </c>
      <c r="E119" s="113">
        <v>23628.0</v>
      </c>
      <c r="F119" s="114">
        <v>44624.0</v>
      </c>
      <c r="G119" s="111" t="s">
        <v>6523</v>
      </c>
      <c r="H119" s="111" t="s">
        <v>6520</v>
      </c>
      <c r="I119" s="111" t="s">
        <v>6524</v>
      </c>
      <c r="J119" s="111" t="s">
        <v>6407</v>
      </c>
      <c r="K119" s="115"/>
      <c r="L119" s="115" t="s">
        <v>6522</v>
      </c>
      <c r="M119" s="115" t="b">
        <f>IFS($A119=FALSE,"", countif(VLOOKUP($B119,'MARCH 2022'!C:C,1,FALSE),$B119)&gt;=1,TRUE,countif(VLOOKUP($B119,'MARCH 2022'!C:C,1,FALSE),$B119)=0,FALSE)</f>
        <v>0</v>
      </c>
      <c r="N119" s="115" t="b">
        <f>IFS($A119=FALSE,"", countif(VLOOKUP($A119,'MARCH 2022'!A:A,1,FALSE),$A119)&gt;=1,TRUE,countif(VLOOKUP($A119,'MARCH 2022'!A:A,1,FALSE),$A119)=0,FALSE)</f>
        <v>0</v>
      </c>
      <c r="O119" s="111"/>
    </row>
    <row r="120" ht="15.75" customHeight="1">
      <c r="A120" s="110" t="str">
        <f t="shared" si="1"/>
        <v>1033844624</v>
      </c>
      <c r="B120" s="111">
        <v>10338.0</v>
      </c>
      <c r="C120" s="112">
        <v>0.5520833333333334</v>
      </c>
      <c r="D120" s="111" t="s">
        <v>502</v>
      </c>
      <c r="E120" s="113">
        <v>34388.0</v>
      </c>
      <c r="F120" s="114">
        <v>44624.0</v>
      </c>
      <c r="G120" s="111" t="s">
        <v>6523</v>
      </c>
      <c r="H120" s="111" t="s">
        <v>6520</v>
      </c>
      <c r="I120" s="111" t="s">
        <v>6524</v>
      </c>
      <c r="J120" s="111" t="s">
        <v>6416</v>
      </c>
      <c r="K120" s="115"/>
      <c r="L120" s="115" t="s">
        <v>6522</v>
      </c>
      <c r="M120" s="115" t="b">
        <f>IFS($A120=FALSE,"", countif(VLOOKUP($B120,'MARCH 2022'!C:C,1,FALSE),$B120)&gt;=1,TRUE,countif(VLOOKUP($B120,'MARCH 2022'!C:C,1,FALSE),$B120)=0,FALSE)</f>
        <v>0</v>
      </c>
      <c r="N120" s="115" t="b">
        <f>IFS($A120=FALSE,"", countif(VLOOKUP($A120,'MARCH 2022'!A:A,1,FALSE),$A120)&gt;=1,TRUE,countif(VLOOKUP($A120,'MARCH 2022'!A:A,1,FALSE),$A120)=0,FALSE)</f>
        <v>0</v>
      </c>
      <c r="O120" s="111"/>
    </row>
    <row r="121" ht="15.75" customHeight="1">
      <c r="A121" s="110" t="str">
        <f t="shared" si="1"/>
        <v>1556044624</v>
      </c>
      <c r="B121" s="111">
        <v>15560.0</v>
      </c>
      <c r="C121" s="112">
        <v>0.5625</v>
      </c>
      <c r="D121" s="111" t="s">
        <v>3941</v>
      </c>
      <c r="E121" s="113">
        <v>22819.0</v>
      </c>
      <c r="F121" s="114">
        <v>44624.0</v>
      </c>
      <c r="G121" s="111" t="s">
        <v>6523</v>
      </c>
      <c r="H121" s="111" t="s">
        <v>6526</v>
      </c>
      <c r="I121" s="111" t="s">
        <v>6527</v>
      </c>
      <c r="J121" s="111" t="s">
        <v>6379</v>
      </c>
      <c r="K121" s="115"/>
      <c r="L121" s="115" t="s">
        <v>6522</v>
      </c>
      <c r="M121" s="115" t="b">
        <f>IFS($A121=FALSE,"", countif(VLOOKUP($B121,'MARCH 2022'!C:C,1,FALSE),$B121)&gt;=1,TRUE,countif(VLOOKUP($B121,'MARCH 2022'!C:C,1,FALSE),$B121)=0,FALSE)</f>
        <v>0</v>
      </c>
      <c r="N121" s="115" t="b">
        <f>IFS($A121=FALSE,"", countif(VLOOKUP($A121,'MARCH 2022'!A:A,1,FALSE),$A121)&gt;=1,TRUE,countif(VLOOKUP($A121,'MARCH 2022'!A:A,1,FALSE),$A121)=0,FALSE)</f>
        <v>0</v>
      </c>
      <c r="O121" s="111"/>
    </row>
    <row r="122" ht="15.75" customHeight="1">
      <c r="A122" s="110" t="str">
        <f t="shared" si="1"/>
        <v>1173644624</v>
      </c>
      <c r="B122" s="111">
        <v>11736.0</v>
      </c>
      <c r="C122" s="112">
        <v>0.5625</v>
      </c>
      <c r="D122" s="111" t="s">
        <v>1081</v>
      </c>
      <c r="E122" s="113">
        <v>21851.0</v>
      </c>
      <c r="F122" s="114">
        <v>44624.0</v>
      </c>
      <c r="G122" s="111" t="s">
        <v>6519</v>
      </c>
      <c r="H122" s="111" t="s">
        <v>6520</v>
      </c>
      <c r="I122" s="111" t="s">
        <v>6521</v>
      </c>
      <c r="J122" s="111" t="s">
        <v>6381</v>
      </c>
      <c r="K122" s="115"/>
      <c r="L122" s="115" t="s">
        <v>6522</v>
      </c>
      <c r="M122" s="115" t="b">
        <f>IFS($A122=FALSE,"", countif(VLOOKUP($B122,'MARCH 2022'!C:C,1,FALSE),$B122)&gt;=1,TRUE,countif(VLOOKUP($B122,'MARCH 2022'!C:C,1,FALSE),$B122)=0,FALSE)</f>
        <v>0</v>
      </c>
      <c r="N122" s="115" t="b">
        <f>IFS($A122=FALSE,"", countif(VLOOKUP($A122,'MARCH 2022'!A:A,1,FALSE),$A122)&gt;=1,TRUE,countif(VLOOKUP($A122,'MARCH 2022'!A:A,1,FALSE),$A122)=0,FALSE)</f>
        <v>0</v>
      </c>
      <c r="O122" s="111"/>
    </row>
    <row r="123" ht="15.75" customHeight="1">
      <c r="A123" s="110" t="str">
        <f t="shared" si="1"/>
        <v>1169444624</v>
      </c>
      <c r="B123" s="111">
        <v>11694.0</v>
      </c>
      <c r="C123" s="112">
        <v>0.5625</v>
      </c>
      <c r="D123" s="111" t="s">
        <v>1064</v>
      </c>
      <c r="E123" s="113">
        <v>22602.0</v>
      </c>
      <c r="F123" s="114">
        <v>44624.0</v>
      </c>
      <c r="G123" s="111" t="s">
        <v>6523</v>
      </c>
      <c r="H123" s="111" t="s">
        <v>6520</v>
      </c>
      <c r="I123" s="111" t="s">
        <v>6521</v>
      </c>
      <c r="J123" s="111" t="s">
        <v>6372</v>
      </c>
      <c r="K123" s="115"/>
      <c r="L123" s="115" t="s">
        <v>6522</v>
      </c>
      <c r="M123" s="115" t="b">
        <f>IFS($A123=FALSE,"", countif(VLOOKUP($B123,'MARCH 2022'!C:C,1,FALSE),$B123)&gt;=1,TRUE,countif(VLOOKUP($B123,'MARCH 2022'!C:C,1,FALSE),$B123)=0,FALSE)</f>
        <v>0</v>
      </c>
      <c r="N123" s="115" t="b">
        <f>IFS($A123=FALSE,"", countif(VLOOKUP($A123,'MARCH 2022'!A:A,1,FALSE),$A123)&gt;=1,TRUE,countif(VLOOKUP($A123,'MARCH 2022'!A:A,1,FALSE),$A123)=0,FALSE)</f>
        <v>0</v>
      </c>
      <c r="O123" s="111"/>
    </row>
    <row r="124" ht="15.75" customHeight="1">
      <c r="A124" s="110" t="str">
        <f t="shared" si="1"/>
        <v>1016044624</v>
      </c>
      <c r="B124" s="111">
        <v>10160.0</v>
      </c>
      <c r="C124" s="112">
        <v>0.5729166666666666</v>
      </c>
      <c r="D124" s="111" t="s">
        <v>434</v>
      </c>
      <c r="E124" s="113">
        <v>21263.0</v>
      </c>
      <c r="F124" s="114">
        <v>44624.0</v>
      </c>
      <c r="G124" s="111" t="s">
        <v>6523</v>
      </c>
      <c r="H124" s="111" t="s">
        <v>6526</v>
      </c>
      <c r="I124" s="111" t="s">
        <v>6527</v>
      </c>
      <c r="J124" s="111" t="s">
        <v>6381</v>
      </c>
      <c r="K124" s="115"/>
      <c r="L124" s="115" t="s">
        <v>6522</v>
      </c>
      <c r="M124" s="115" t="b">
        <f>IFS($A124=FALSE,"", countif(VLOOKUP($B124,'MARCH 2022'!C:C,1,FALSE),$B124)&gt;=1,TRUE,countif(VLOOKUP($B124,'MARCH 2022'!C:C,1,FALSE),$B124)=0,FALSE)</f>
        <v>0</v>
      </c>
      <c r="N124" s="115" t="b">
        <f>IFS($A124=FALSE,"", countif(VLOOKUP($A124,'MARCH 2022'!A:A,1,FALSE),$A124)&gt;=1,TRUE,countif(VLOOKUP($A124,'MARCH 2022'!A:A,1,FALSE),$A124)=0,FALSE)</f>
        <v>0</v>
      </c>
      <c r="O124" s="111"/>
    </row>
    <row r="125" ht="15.75" customHeight="1">
      <c r="A125" s="110" t="str">
        <f t="shared" si="1"/>
        <v>1786144624</v>
      </c>
      <c r="B125" s="111">
        <v>17861.0</v>
      </c>
      <c r="C125" s="112">
        <v>0.5833333333333334</v>
      </c>
      <c r="D125" s="111" t="s">
        <v>6148</v>
      </c>
      <c r="E125" s="113">
        <v>21685.0</v>
      </c>
      <c r="F125" s="114">
        <v>44624.0</v>
      </c>
      <c r="G125" s="111" t="s">
        <v>6523</v>
      </c>
      <c r="H125" s="111" t="s">
        <v>6520</v>
      </c>
      <c r="I125" s="111" t="s">
        <v>6521</v>
      </c>
      <c r="J125" s="111" t="s">
        <v>6420</v>
      </c>
      <c r="K125" s="115"/>
      <c r="L125" s="115" t="s">
        <v>6522</v>
      </c>
      <c r="M125" s="115" t="b">
        <f>IFS($A125=FALSE,"", countif(VLOOKUP($B125,'MARCH 2022'!C:C,1,FALSE),$B125)&gt;=1,TRUE,countif(VLOOKUP($B125,'MARCH 2022'!C:C,1,FALSE),$B125)=0,FALSE)</f>
        <v>0</v>
      </c>
      <c r="N125" s="115" t="b">
        <f>IFS($A125=FALSE,"", countif(VLOOKUP($A125,'MARCH 2022'!A:A,1,FALSE),$A125)&gt;=1,TRUE,countif(VLOOKUP($A125,'MARCH 2022'!A:A,1,FALSE),$A125)=0,FALSE)</f>
        <v>0</v>
      </c>
      <c r="O125" s="111"/>
    </row>
    <row r="126" ht="15.75" customHeight="1">
      <c r="A126" s="110" t="str">
        <f t="shared" si="1"/>
        <v>1328344624</v>
      </c>
      <c r="B126" s="111">
        <v>13283.0</v>
      </c>
      <c r="C126" s="112">
        <v>0.6041666666666666</v>
      </c>
      <c r="D126" s="111" t="s">
        <v>2112</v>
      </c>
      <c r="E126" s="113">
        <v>28196.0</v>
      </c>
      <c r="F126" s="114">
        <v>44624.0</v>
      </c>
      <c r="G126" s="111" t="s">
        <v>6523</v>
      </c>
      <c r="H126" s="111" t="s">
        <v>6526</v>
      </c>
      <c r="I126" s="111" t="s">
        <v>6527</v>
      </c>
      <c r="J126" s="111" t="s">
        <v>6489</v>
      </c>
      <c r="K126" s="115"/>
      <c r="L126" s="115" t="s">
        <v>6522</v>
      </c>
      <c r="M126" s="115" t="b">
        <f>IFS($A126=FALSE,"", countif(VLOOKUP($B126,'MARCH 2022'!C:C,1,FALSE),$B126)&gt;=1,TRUE,countif(VLOOKUP($B126,'MARCH 2022'!C:C,1,FALSE),$B126)=0,FALSE)</f>
        <v>0</v>
      </c>
      <c r="N126" s="115" t="b">
        <f>IFS($A126=FALSE,"", countif(VLOOKUP($A126,'MARCH 2022'!A:A,1,FALSE),$A126)&gt;=1,TRUE,countif(VLOOKUP($A126,'MARCH 2022'!A:A,1,FALSE),$A126)=0,FALSE)</f>
        <v>0</v>
      </c>
      <c r="O126" s="111"/>
    </row>
    <row r="127" ht="15.75" customHeight="1">
      <c r="A127" s="110" t="str">
        <f t="shared" si="1"/>
        <v>1157344624</v>
      </c>
      <c r="B127" s="111">
        <v>11573.0</v>
      </c>
      <c r="C127" s="112">
        <v>0.6145833333333334</v>
      </c>
      <c r="D127" s="111" t="s">
        <v>1012</v>
      </c>
      <c r="E127" s="113">
        <v>31522.0</v>
      </c>
      <c r="F127" s="114">
        <v>44624.0</v>
      </c>
      <c r="G127" s="111" t="s">
        <v>6523</v>
      </c>
      <c r="H127" s="111" t="s">
        <v>6520</v>
      </c>
      <c r="I127" s="111" t="s">
        <v>6524</v>
      </c>
      <c r="J127" s="111" t="s">
        <v>6492</v>
      </c>
      <c r="K127" s="115"/>
      <c r="L127" s="115" t="s">
        <v>6522</v>
      </c>
      <c r="M127" s="115" t="b">
        <f>IFS($A127=FALSE,"", countif(VLOOKUP($B127,'MARCH 2022'!C:C,1,FALSE),$B127)&gt;=1,TRUE,countif(VLOOKUP($B127,'MARCH 2022'!C:C,1,FALSE),$B127)=0,FALSE)</f>
        <v>0</v>
      </c>
      <c r="N127" s="115" t="b">
        <f>IFS($A127=FALSE,"", countif(VLOOKUP($A127,'MARCH 2022'!A:A,1,FALSE),$A127)&gt;=1,TRUE,countif(VLOOKUP($A127,'MARCH 2022'!A:A,1,FALSE),$A127)=0,FALSE)</f>
        <v>0</v>
      </c>
      <c r="O127" s="111"/>
    </row>
    <row r="128" ht="15.75" customHeight="1">
      <c r="A128" s="110" t="str">
        <f t="shared" si="1"/>
        <v>963044624</v>
      </c>
      <c r="B128" s="111">
        <v>9630.0</v>
      </c>
      <c r="C128" s="112">
        <v>0.625</v>
      </c>
      <c r="D128" s="111" t="s">
        <v>238</v>
      </c>
      <c r="E128" s="113">
        <v>26628.0</v>
      </c>
      <c r="F128" s="114">
        <v>44624.0</v>
      </c>
      <c r="G128" s="111" t="s">
        <v>6519</v>
      </c>
      <c r="H128" s="111" t="s">
        <v>6520</v>
      </c>
      <c r="I128" s="111" t="s">
        <v>6521</v>
      </c>
      <c r="J128" s="111" t="s">
        <v>6489</v>
      </c>
      <c r="K128" s="115"/>
      <c r="L128" s="115" t="s">
        <v>6522</v>
      </c>
      <c r="M128" s="115" t="b">
        <f>IFS($A128=FALSE,"", countif(VLOOKUP($B128,'MARCH 2022'!C:C,1,FALSE),$B128)&gt;=1,TRUE,countif(VLOOKUP($B128,'MARCH 2022'!C:C,1,FALSE),$B128)=0,FALSE)</f>
        <v>0</v>
      </c>
      <c r="N128" s="115" t="b">
        <f>IFS($A128=FALSE,"", countif(VLOOKUP($A128,'MARCH 2022'!A:A,1,FALSE),$A128)&gt;=1,TRUE,countif(VLOOKUP($A128,'MARCH 2022'!A:A,1,FALSE),$A128)=0,FALSE)</f>
        <v>0</v>
      </c>
      <c r="O128" s="111"/>
    </row>
    <row r="129" ht="15.75" customHeight="1">
      <c r="A129" s="110" t="str">
        <f t="shared" si="1"/>
        <v>1407544624</v>
      </c>
      <c r="B129" s="111">
        <v>14075.0</v>
      </c>
      <c r="C129" s="112">
        <v>0.625</v>
      </c>
      <c r="D129" s="111" t="s">
        <v>2719</v>
      </c>
      <c r="E129" s="113">
        <v>17613.0</v>
      </c>
      <c r="F129" s="114">
        <v>44624.0</v>
      </c>
      <c r="G129" s="111" t="s">
        <v>6523</v>
      </c>
      <c r="H129" s="111" t="s">
        <v>6520</v>
      </c>
      <c r="I129" s="111" t="s">
        <v>6524</v>
      </c>
      <c r="J129" s="111" t="s">
        <v>6489</v>
      </c>
      <c r="K129" s="115"/>
      <c r="L129" s="115" t="s">
        <v>6522</v>
      </c>
      <c r="M129" s="115" t="b">
        <f>IFS($A129=FALSE,"", countif(VLOOKUP($B129,'MARCH 2022'!C:C,1,FALSE),$B129)&gt;=1,TRUE,countif(VLOOKUP($B129,'MARCH 2022'!C:C,1,FALSE),$B129)=0,FALSE)</f>
        <v>0</v>
      </c>
      <c r="N129" s="115" t="b">
        <f>IFS($A129=FALSE,"", countif(VLOOKUP($A129,'MARCH 2022'!A:A,1,FALSE),$A129)&gt;=1,TRUE,countif(VLOOKUP($A129,'MARCH 2022'!A:A,1,FALSE),$A129)=0,FALSE)</f>
        <v>0</v>
      </c>
      <c r="O129" s="111"/>
    </row>
    <row r="130" ht="15.75" customHeight="1">
      <c r="A130" s="110" t="str">
        <f t="shared" si="1"/>
        <v>1830044624</v>
      </c>
      <c r="B130" s="111">
        <v>18300.0</v>
      </c>
      <c r="C130" s="112">
        <v>0.625</v>
      </c>
      <c r="D130" s="111" t="s">
        <v>6532</v>
      </c>
      <c r="E130" s="113">
        <v>23237.0</v>
      </c>
      <c r="F130" s="114">
        <v>44624.0</v>
      </c>
      <c r="G130" s="111" t="s">
        <v>6525</v>
      </c>
      <c r="H130" s="111" t="s">
        <v>6526</v>
      </c>
      <c r="I130" s="111" t="s">
        <v>6527</v>
      </c>
      <c r="J130" s="111" t="s">
        <v>6379</v>
      </c>
      <c r="K130" s="115"/>
      <c r="L130" s="115" t="s">
        <v>6522</v>
      </c>
      <c r="M130" s="115" t="b">
        <f>IFS($A130=FALSE,"", countif(VLOOKUP($B130,'MARCH 2022'!C:C,1,FALSE),$B130)&gt;=1,TRUE,countif(VLOOKUP($B130,'MARCH 2022'!C:C,1,FALSE),$B130)=0,FALSE)</f>
        <v>0</v>
      </c>
      <c r="N130" s="115" t="b">
        <f>IFS($A130=FALSE,"", countif(VLOOKUP($A130,'MARCH 2022'!A:A,1,FALSE),$A130)&gt;=1,TRUE,countif(VLOOKUP($A130,'MARCH 2022'!A:A,1,FALSE),$A130)=0,FALSE)</f>
        <v>0</v>
      </c>
      <c r="O130" s="111"/>
    </row>
    <row r="131" ht="15.75" customHeight="1">
      <c r="A131" s="110" t="str">
        <f t="shared" si="1"/>
        <v>1360044624</v>
      </c>
      <c r="B131" s="111">
        <v>13600.0</v>
      </c>
      <c r="C131" s="112">
        <v>0.6458333333333334</v>
      </c>
      <c r="D131" s="111" t="s">
        <v>5298</v>
      </c>
      <c r="E131" s="113">
        <v>25019.0</v>
      </c>
      <c r="F131" s="114">
        <v>44624.0</v>
      </c>
      <c r="G131" s="111" t="s">
        <v>6523</v>
      </c>
      <c r="H131" s="111" t="s">
        <v>6520</v>
      </c>
      <c r="I131" s="111" t="s">
        <v>6521</v>
      </c>
      <c r="J131" s="111" t="s">
        <v>6410</v>
      </c>
      <c r="K131" s="115"/>
      <c r="L131" s="115" t="s">
        <v>6522</v>
      </c>
      <c r="M131" s="115" t="b">
        <f>IFS($A131=FALSE,"", countif(VLOOKUP($B131,'MARCH 2022'!C:C,1,FALSE),$B131)&gt;=1,TRUE,countif(VLOOKUP($B131,'MARCH 2022'!C:C,1,FALSE),$B131)=0,FALSE)</f>
        <v>0</v>
      </c>
      <c r="N131" s="115" t="b">
        <f>IFS($A131=FALSE,"", countif(VLOOKUP($A131,'MARCH 2022'!A:A,1,FALSE),$A131)&gt;=1,TRUE,countif(VLOOKUP($A131,'MARCH 2022'!A:A,1,FALSE),$A131)=0,FALSE)</f>
        <v>0</v>
      </c>
      <c r="O131" s="111"/>
    </row>
    <row r="132" ht="15.75" customHeight="1">
      <c r="A132" s="110" t="str">
        <f t="shared" si="1"/>
        <v>1183144624</v>
      </c>
      <c r="B132" s="111">
        <v>11831.0</v>
      </c>
      <c r="C132" s="112">
        <v>0.6458333333333334</v>
      </c>
      <c r="D132" s="111" t="s">
        <v>1132</v>
      </c>
      <c r="E132" s="113">
        <v>26933.0</v>
      </c>
      <c r="F132" s="114">
        <v>44624.0</v>
      </c>
      <c r="G132" s="111" t="s">
        <v>6523</v>
      </c>
      <c r="H132" s="111" t="s">
        <v>6520</v>
      </c>
      <c r="I132" s="111" t="s">
        <v>6521</v>
      </c>
      <c r="J132" s="111" t="s">
        <v>6403</v>
      </c>
      <c r="K132" s="115"/>
      <c r="L132" s="115" t="s">
        <v>6522</v>
      </c>
      <c r="M132" s="115" t="b">
        <f>IFS($A132=FALSE,"", countif(VLOOKUP($B132,'MARCH 2022'!C:C,1,FALSE),$B132)&gt;=1,TRUE,countif(VLOOKUP($B132,'MARCH 2022'!C:C,1,FALSE),$B132)=0,FALSE)</f>
        <v>0</v>
      </c>
      <c r="N132" s="115" t="b">
        <f>IFS($A132=FALSE,"", countif(VLOOKUP($A132,'MARCH 2022'!A:A,1,FALSE),$A132)&gt;=1,TRUE,countif(VLOOKUP($A132,'MARCH 2022'!A:A,1,FALSE),$A132)=0,FALSE)</f>
        <v>0</v>
      </c>
      <c r="O132" s="111"/>
    </row>
    <row r="133" ht="15.75" customHeight="1">
      <c r="A133" s="110" t="str">
        <f t="shared" si="1"/>
        <v>1397044627</v>
      </c>
      <c r="B133" s="111">
        <v>13970.0</v>
      </c>
      <c r="C133" s="112">
        <v>0.3333333333333333</v>
      </c>
      <c r="D133" s="111" t="s">
        <v>2646</v>
      </c>
      <c r="E133" s="113">
        <v>16671.0</v>
      </c>
      <c r="F133" s="114">
        <v>44627.0</v>
      </c>
      <c r="G133" s="111" t="s">
        <v>6523</v>
      </c>
      <c r="H133" s="111" t="s">
        <v>6520</v>
      </c>
      <c r="I133" s="111" t="s">
        <v>6521</v>
      </c>
      <c r="J133" s="111" t="s">
        <v>6448</v>
      </c>
      <c r="K133" s="115"/>
      <c r="L133" s="115" t="s">
        <v>6522</v>
      </c>
      <c r="M133" s="115" t="b">
        <f>IFS($A133=FALSE,"", countif(VLOOKUP($B133,'MARCH 2022'!C:C,1,FALSE),$B133)&gt;=1,TRUE,countif(VLOOKUP($B133,'MARCH 2022'!C:C,1,FALSE),$B133)=0,FALSE)</f>
        <v>1</v>
      </c>
      <c r="N133" s="115" t="b">
        <f>IFS($A133=FALSE,"", countif(VLOOKUP($A133,'MARCH 2022'!A:A,1,FALSE),$A133)&gt;=1,TRUE,countif(VLOOKUP($A133,'MARCH 2022'!A:A,1,FALSE),$A133)=0,FALSE)</f>
        <v>1</v>
      </c>
      <c r="O133" s="111"/>
    </row>
    <row r="134" ht="15.75" customHeight="1">
      <c r="A134" s="110" t="str">
        <f t="shared" si="1"/>
        <v>1814544627</v>
      </c>
      <c r="B134" s="111">
        <v>18145.0</v>
      </c>
      <c r="C134" s="112">
        <v>0.34375</v>
      </c>
      <c r="D134" s="111" t="s">
        <v>6283</v>
      </c>
      <c r="E134" s="113">
        <v>19197.0</v>
      </c>
      <c r="F134" s="114">
        <v>44627.0</v>
      </c>
      <c r="G134" s="111" t="s">
        <v>6525</v>
      </c>
      <c r="H134" s="111" t="s">
        <v>6526</v>
      </c>
      <c r="I134" s="111" t="s">
        <v>6527</v>
      </c>
      <c r="J134" s="111" t="s">
        <v>6427</v>
      </c>
      <c r="K134" s="115"/>
      <c r="L134" s="115" t="s">
        <v>6522</v>
      </c>
      <c r="M134" s="115" t="b">
        <f>IFS($A134=FALSE,"", countif(VLOOKUP($B134,'MARCH 2022'!C:C,1,FALSE),$B134)&gt;=1,TRUE,countif(VLOOKUP($B134,'MARCH 2022'!C:C,1,FALSE),$B134)=0,FALSE)</f>
        <v>1</v>
      </c>
      <c r="N134" s="115" t="b">
        <f>IFS($A134=FALSE,"", countif(VLOOKUP($A134,'MARCH 2022'!A:A,1,FALSE),$A134)&gt;=1,TRUE,countif(VLOOKUP($A134,'MARCH 2022'!A:A,1,FALSE),$A134)=0,FALSE)</f>
        <v>1</v>
      </c>
      <c r="O134" s="111"/>
    </row>
    <row r="135" ht="15.75" customHeight="1">
      <c r="A135" s="110" t="str">
        <f t="shared" si="1"/>
        <v>1486244627</v>
      </c>
      <c r="B135" s="111">
        <v>14862.0</v>
      </c>
      <c r="C135" s="112">
        <v>0.34375</v>
      </c>
      <c r="D135" s="111" t="s">
        <v>3359</v>
      </c>
      <c r="E135" s="113">
        <v>24183.0</v>
      </c>
      <c r="F135" s="114">
        <v>44627.0</v>
      </c>
      <c r="G135" s="111" t="s">
        <v>6523</v>
      </c>
      <c r="H135" s="111" t="s">
        <v>6520</v>
      </c>
      <c r="I135" s="111" t="s">
        <v>6521</v>
      </c>
      <c r="J135" s="111" t="s">
        <v>6381</v>
      </c>
      <c r="K135" s="115"/>
      <c r="L135" s="115" t="s">
        <v>6522</v>
      </c>
      <c r="M135" s="115" t="b">
        <f>IFS($A135=FALSE,"", countif(VLOOKUP($B135,'MARCH 2022'!C:C,1,FALSE),$B135)&gt;=1,TRUE,countif(VLOOKUP($B135,'MARCH 2022'!C:C,1,FALSE),$B135)=0,FALSE)</f>
        <v>1</v>
      </c>
      <c r="N135" s="115" t="b">
        <f>IFS($A135=FALSE,"", countif(VLOOKUP($A135,'MARCH 2022'!A:A,1,FALSE),$A135)&gt;=1,TRUE,countif(VLOOKUP($A135,'MARCH 2022'!A:A,1,FALSE),$A135)=0,FALSE)</f>
        <v>1</v>
      </c>
      <c r="O135" s="111"/>
    </row>
    <row r="136" ht="15.75" customHeight="1">
      <c r="A136" s="110" t="str">
        <f t="shared" si="1"/>
        <v>1746144627</v>
      </c>
      <c r="B136" s="111">
        <v>17461.0</v>
      </c>
      <c r="C136" s="112">
        <v>0.3541666666666667</v>
      </c>
      <c r="D136" s="111" t="s">
        <v>5963</v>
      </c>
      <c r="E136" s="113">
        <v>27036.0</v>
      </c>
      <c r="F136" s="114">
        <v>44627.0</v>
      </c>
      <c r="G136" s="111" t="s">
        <v>6523</v>
      </c>
      <c r="H136" s="111" t="s">
        <v>6520</v>
      </c>
      <c r="I136" s="111" t="s">
        <v>6524</v>
      </c>
      <c r="J136" s="111" t="s">
        <v>6438</v>
      </c>
      <c r="K136" s="115"/>
      <c r="L136" s="115" t="s">
        <v>6522</v>
      </c>
      <c r="M136" s="115" t="b">
        <f>IFS($A136=FALSE,"", countif(VLOOKUP($B136,'MARCH 2022'!C:C,1,FALSE),$B136)&gt;=1,TRUE,countif(VLOOKUP($B136,'MARCH 2022'!C:C,1,FALSE),$B136)=0,FALSE)</f>
        <v>1</v>
      </c>
      <c r="N136" s="115" t="b">
        <f>IFS($A136=FALSE,"", countif(VLOOKUP($A136,'MARCH 2022'!A:A,1,FALSE),$A136)&gt;=1,TRUE,countif(VLOOKUP($A136,'MARCH 2022'!A:A,1,FALSE),$A136)=0,FALSE)</f>
        <v>1</v>
      </c>
      <c r="O136" s="111"/>
    </row>
    <row r="137" ht="15.75" customHeight="1">
      <c r="A137" s="110" t="str">
        <f t="shared" si="1"/>
        <v>1579144627</v>
      </c>
      <c r="B137" s="111">
        <v>15791.0</v>
      </c>
      <c r="C137" s="112">
        <v>0.3541666666666667</v>
      </c>
      <c r="D137" s="111" t="s">
        <v>4148</v>
      </c>
      <c r="E137" s="113">
        <v>21098.0</v>
      </c>
      <c r="F137" s="114">
        <v>44627.0</v>
      </c>
      <c r="G137" s="111" t="s">
        <v>6519</v>
      </c>
      <c r="H137" s="111" t="s">
        <v>6520</v>
      </c>
      <c r="I137" s="111" t="s">
        <v>6524</v>
      </c>
      <c r="J137" s="111" t="s">
        <v>6381</v>
      </c>
      <c r="K137" s="115"/>
      <c r="L137" s="115" t="s">
        <v>6522</v>
      </c>
      <c r="M137" s="115" t="b">
        <f>IFS($A137=FALSE,"", countif(VLOOKUP($B137,'MARCH 2022'!C:C,1,FALSE),$B137)&gt;=1,TRUE,countif(VLOOKUP($B137,'MARCH 2022'!C:C,1,FALSE),$B137)=0,FALSE)</f>
        <v>1</v>
      </c>
      <c r="N137" s="115" t="b">
        <f>IFS($A137=FALSE,"", countif(VLOOKUP($A137,'MARCH 2022'!A:A,1,FALSE),$A137)&gt;=1,TRUE,countif(VLOOKUP($A137,'MARCH 2022'!A:A,1,FALSE),$A137)=0,FALSE)</f>
        <v>1</v>
      </c>
      <c r="O137" s="111"/>
    </row>
    <row r="138" ht="15.75" customHeight="1">
      <c r="A138" s="110" t="str">
        <f t="shared" si="1"/>
        <v>1824344627</v>
      </c>
      <c r="B138" s="111">
        <v>18243.0</v>
      </c>
      <c r="C138" s="112">
        <v>0.3645833333333333</v>
      </c>
      <c r="D138" s="111" t="s">
        <v>6284</v>
      </c>
      <c r="E138" s="113">
        <v>17081.0</v>
      </c>
      <c r="F138" s="114">
        <v>44627.0</v>
      </c>
      <c r="G138" s="111" t="s">
        <v>6525</v>
      </c>
      <c r="H138" s="111" t="s">
        <v>6526</v>
      </c>
      <c r="I138" s="111" t="s">
        <v>6527</v>
      </c>
      <c r="J138" s="111" t="s">
        <v>6427</v>
      </c>
      <c r="K138" s="115"/>
      <c r="L138" s="115" t="s">
        <v>6522</v>
      </c>
      <c r="M138" s="115" t="b">
        <f>IFS($A138=FALSE,"", countif(VLOOKUP($B138,'MARCH 2022'!C:C,1,FALSE),$B138)&gt;=1,TRUE,countif(VLOOKUP($B138,'MARCH 2022'!C:C,1,FALSE),$B138)=0,FALSE)</f>
        <v>1</v>
      </c>
      <c r="N138" s="115" t="b">
        <f>IFS($A138=FALSE,"", countif(VLOOKUP($A138,'MARCH 2022'!A:A,1,FALSE),$A138)&gt;=1,TRUE,countif(VLOOKUP($A138,'MARCH 2022'!A:A,1,FALSE),$A138)=0,FALSE)</f>
        <v>1</v>
      </c>
      <c r="O138" s="111"/>
    </row>
    <row r="139" ht="15.75" customHeight="1">
      <c r="A139" s="110" t="str">
        <f t="shared" si="1"/>
        <v>1018544627</v>
      </c>
      <c r="B139" s="111">
        <v>10185.0</v>
      </c>
      <c r="C139" s="112">
        <v>0.3645833333333333</v>
      </c>
      <c r="D139" s="111" t="s">
        <v>446</v>
      </c>
      <c r="E139" s="113">
        <v>24575.0</v>
      </c>
      <c r="F139" s="114">
        <v>44627.0</v>
      </c>
      <c r="G139" s="111" t="s">
        <v>6519</v>
      </c>
      <c r="H139" s="111" t="s">
        <v>6526</v>
      </c>
      <c r="I139" s="111" t="s">
        <v>6527</v>
      </c>
      <c r="J139" s="111" t="s">
        <v>6384</v>
      </c>
      <c r="K139" s="115"/>
      <c r="L139" s="115" t="s">
        <v>6522</v>
      </c>
      <c r="M139" s="115" t="b">
        <f>IFS($A139=FALSE,"", countif(VLOOKUP($B139,'MARCH 2022'!C:C,1,FALSE),$B139)&gt;=1,TRUE,countif(VLOOKUP($B139,'MARCH 2022'!C:C,1,FALSE),$B139)=0,FALSE)</f>
        <v>1</v>
      </c>
      <c r="N139" s="115" t="b">
        <f>IFS($A139=FALSE,"", countif(VLOOKUP($A139,'MARCH 2022'!A:A,1,FALSE),$A139)&gt;=1,TRUE,countif(VLOOKUP($A139,'MARCH 2022'!A:A,1,FALSE),$A139)=0,FALSE)</f>
        <v>1</v>
      </c>
      <c r="O139" s="111"/>
    </row>
    <row r="140" ht="15.75" customHeight="1">
      <c r="A140" s="110" t="str">
        <f t="shared" si="1"/>
        <v>1611744627</v>
      </c>
      <c r="B140" s="111">
        <v>16117.0</v>
      </c>
      <c r="C140" s="112">
        <v>0.375</v>
      </c>
      <c r="D140" s="111" t="s">
        <v>4436</v>
      </c>
      <c r="E140" s="113">
        <v>21870.0</v>
      </c>
      <c r="F140" s="114">
        <v>44627.0</v>
      </c>
      <c r="G140" s="111" t="s">
        <v>6523</v>
      </c>
      <c r="H140" s="111" t="s">
        <v>6520</v>
      </c>
      <c r="I140" s="111" t="s">
        <v>6521</v>
      </c>
      <c r="J140" s="111" t="s">
        <v>6384</v>
      </c>
      <c r="K140" s="115"/>
      <c r="L140" s="115" t="s">
        <v>6522</v>
      </c>
      <c r="M140" s="115" t="b">
        <f>IFS($A140=FALSE,"", countif(VLOOKUP($B140,'MARCH 2022'!C:C,1,FALSE),$B140)&gt;=1,TRUE,countif(VLOOKUP($B140,'MARCH 2022'!C:C,1,FALSE),$B140)=0,FALSE)</f>
        <v>1</v>
      </c>
      <c r="N140" s="115" t="b">
        <f>IFS($A140=FALSE,"", countif(VLOOKUP($A140,'MARCH 2022'!A:A,1,FALSE),$A140)&gt;=1,TRUE,countif(VLOOKUP($A140,'MARCH 2022'!A:A,1,FALSE),$A140)=0,FALSE)</f>
        <v>1</v>
      </c>
      <c r="O140" s="111"/>
    </row>
    <row r="141" ht="15.75" customHeight="1">
      <c r="A141" s="110" t="str">
        <f t="shared" si="1"/>
        <v>1821544627</v>
      </c>
      <c r="B141" s="111">
        <v>18215.0</v>
      </c>
      <c r="C141" s="112">
        <v>0.3958333333333333</v>
      </c>
      <c r="D141" s="111" t="s">
        <v>6285</v>
      </c>
      <c r="E141" s="113">
        <v>19281.0</v>
      </c>
      <c r="F141" s="114">
        <v>44627.0</v>
      </c>
      <c r="G141" s="111" t="s">
        <v>6525</v>
      </c>
      <c r="H141" s="111" t="s">
        <v>6526</v>
      </c>
      <c r="I141" s="111" t="s">
        <v>6527</v>
      </c>
      <c r="J141" s="111" t="s">
        <v>6417</v>
      </c>
      <c r="K141" s="115"/>
      <c r="L141" s="115" t="s">
        <v>6522</v>
      </c>
      <c r="M141" s="115" t="b">
        <f>IFS($A141=FALSE,"", countif(VLOOKUP($B141,'MARCH 2022'!C:C,1,FALSE),$B141)&gt;=1,TRUE,countif(VLOOKUP($B141,'MARCH 2022'!C:C,1,FALSE),$B141)=0,FALSE)</f>
        <v>1</v>
      </c>
      <c r="N141" s="115" t="b">
        <f>IFS($A141=FALSE,"", countif(VLOOKUP($A141,'MARCH 2022'!A:A,1,FALSE),$A141)&gt;=1,TRUE,countif(VLOOKUP($A141,'MARCH 2022'!A:A,1,FALSE),$A141)=0,FALSE)</f>
        <v>1</v>
      </c>
      <c r="O141" s="111"/>
    </row>
    <row r="142" ht="15.75" customHeight="1">
      <c r="A142" s="110" t="str">
        <f t="shared" si="1"/>
        <v>1410344627</v>
      </c>
      <c r="B142" s="111">
        <v>14103.0</v>
      </c>
      <c r="C142" s="112">
        <v>0.3958333333333333</v>
      </c>
      <c r="D142" s="111" t="s">
        <v>2744</v>
      </c>
      <c r="E142" s="113">
        <v>16960.0</v>
      </c>
      <c r="F142" s="114">
        <v>44627.0</v>
      </c>
      <c r="G142" s="111" t="s">
        <v>6519</v>
      </c>
      <c r="H142" s="111" t="s">
        <v>6526</v>
      </c>
      <c r="I142" s="111" t="s">
        <v>6527</v>
      </c>
      <c r="J142" s="111" t="s">
        <v>6489</v>
      </c>
      <c r="K142" s="115"/>
      <c r="L142" s="115" t="s">
        <v>6522</v>
      </c>
      <c r="M142" s="115" t="b">
        <f>IFS($A142=FALSE,"", countif(VLOOKUP($B142,'MARCH 2022'!C:C,1,FALSE),$B142)&gt;=1,TRUE,countif(VLOOKUP($B142,'MARCH 2022'!C:C,1,FALSE),$B142)=0,FALSE)</f>
        <v>1</v>
      </c>
      <c r="N142" s="115" t="b">
        <f>IFS($A142=FALSE,"", countif(VLOOKUP($A142,'MARCH 2022'!A:A,1,FALSE),$A142)&gt;=1,TRUE,countif(VLOOKUP($A142,'MARCH 2022'!A:A,1,FALSE),$A142)=0,FALSE)</f>
        <v>1</v>
      </c>
      <c r="O142" s="111"/>
    </row>
    <row r="143" ht="15.75" customHeight="1">
      <c r="A143" s="110" t="str">
        <f t="shared" si="1"/>
        <v>1536844627</v>
      </c>
      <c r="B143" s="111">
        <v>15368.0</v>
      </c>
      <c r="C143" s="112">
        <v>0.3958333333333333</v>
      </c>
      <c r="D143" s="111" t="s">
        <v>3775</v>
      </c>
      <c r="E143" s="113">
        <v>14748.0</v>
      </c>
      <c r="F143" s="114">
        <v>44627.0</v>
      </c>
      <c r="G143" s="111" t="s">
        <v>6523</v>
      </c>
      <c r="H143" s="111" t="s">
        <v>6520</v>
      </c>
      <c r="I143" s="111" t="s">
        <v>6521</v>
      </c>
      <c r="J143" s="111" t="s">
        <v>6476</v>
      </c>
      <c r="K143" s="115"/>
      <c r="L143" s="115" t="s">
        <v>6522</v>
      </c>
      <c r="M143" s="115" t="b">
        <f>IFS($A143=FALSE,"", countif(VLOOKUP($B143,'MARCH 2022'!C:C,1,FALSE),$B143)&gt;=1,TRUE,countif(VLOOKUP($B143,'MARCH 2022'!C:C,1,FALSE),$B143)=0,FALSE)</f>
        <v>1</v>
      </c>
      <c r="N143" s="115" t="b">
        <f>IFS($A143=FALSE,"", countif(VLOOKUP($A143,'MARCH 2022'!A:A,1,FALSE),$A143)&gt;=1,TRUE,countif(VLOOKUP($A143,'MARCH 2022'!A:A,1,FALSE),$A143)=0,FALSE)</f>
        <v>1</v>
      </c>
      <c r="O143" s="111"/>
    </row>
    <row r="144" ht="15.75" customHeight="1">
      <c r="A144" s="110" t="str">
        <f t="shared" si="1"/>
        <v>1060744627</v>
      </c>
      <c r="B144" s="111">
        <v>10607.0</v>
      </c>
      <c r="C144" s="112">
        <v>0.40625</v>
      </c>
      <c r="D144" s="111" t="s">
        <v>603</v>
      </c>
      <c r="E144" s="113">
        <v>18965.0</v>
      </c>
      <c r="F144" s="114">
        <v>44627.0</v>
      </c>
      <c r="G144" s="111" t="s">
        <v>6523</v>
      </c>
      <c r="H144" s="111" t="s">
        <v>6520</v>
      </c>
      <c r="I144" s="111" t="s">
        <v>6524</v>
      </c>
      <c r="J144" s="111" t="s">
        <v>6448</v>
      </c>
      <c r="K144" s="115"/>
      <c r="L144" s="115" t="s">
        <v>6522</v>
      </c>
      <c r="M144" s="115" t="b">
        <f>IFS($A144=FALSE,"", countif(VLOOKUP($B144,'MARCH 2022'!C:C,1,FALSE),$B144)&gt;=1,TRUE,countif(VLOOKUP($B144,'MARCH 2022'!C:C,1,FALSE),$B144)=0,FALSE)</f>
        <v>1</v>
      </c>
      <c r="N144" s="115" t="b">
        <f>IFS($A144=FALSE,"", countif(VLOOKUP($A144,'MARCH 2022'!A:A,1,FALSE),$A144)&gt;=1,TRUE,countif(VLOOKUP($A144,'MARCH 2022'!A:A,1,FALSE),$A144)=0,FALSE)</f>
        <v>1</v>
      </c>
      <c r="O144" s="111"/>
    </row>
    <row r="145" ht="15.75" customHeight="1">
      <c r="A145" s="110" t="str">
        <f t="shared" si="1"/>
        <v>942644627</v>
      </c>
      <c r="B145" s="111">
        <v>9426.0</v>
      </c>
      <c r="C145" s="112">
        <v>0.4166666666666667</v>
      </c>
      <c r="D145" s="111" t="s">
        <v>162</v>
      </c>
      <c r="E145" s="113">
        <v>19051.0</v>
      </c>
      <c r="F145" s="114">
        <v>44627.0</v>
      </c>
      <c r="G145" s="111" t="s">
        <v>6523</v>
      </c>
      <c r="H145" s="111" t="s">
        <v>6526</v>
      </c>
      <c r="I145" s="111" t="s">
        <v>6527</v>
      </c>
      <c r="J145" s="111" t="s">
        <v>6407</v>
      </c>
      <c r="K145" s="115"/>
      <c r="L145" s="115" t="s">
        <v>6522</v>
      </c>
      <c r="M145" s="115" t="b">
        <f>IFS($A145=FALSE,"", countif(VLOOKUP($B145,'MARCH 2022'!C:C,1,FALSE),$B145)&gt;=1,TRUE,countif(VLOOKUP($B145,'MARCH 2022'!C:C,1,FALSE),$B145)=0,FALSE)</f>
        <v>1</v>
      </c>
      <c r="N145" s="115" t="b">
        <f>IFS($A145=FALSE,"", countif(VLOOKUP($A145,'MARCH 2022'!A:A,1,FALSE),$A145)&gt;=1,TRUE,countif(VLOOKUP($A145,'MARCH 2022'!A:A,1,FALSE),$A145)=0,FALSE)</f>
        <v>1</v>
      </c>
      <c r="O145" s="111"/>
    </row>
    <row r="146" ht="15.75" customHeight="1">
      <c r="A146" s="110" t="str">
        <f t="shared" si="1"/>
        <v>1589144627</v>
      </c>
      <c r="B146" s="111">
        <v>15891.0</v>
      </c>
      <c r="C146" s="112">
        <v>0.4166666666666667</v>
      </c>
      <c r="D146" s="111" t="s">
        <v>4242</v>
      </c>
      <c r="E146" s="113">
        <v>25116.0</v>
      </c>
      <c r="F146" s="114">
        <v>44627.0</v>
      </c>
      <c r="G146" s="111" t="s">
        <v>6519</v>
      </c>
      <c r="H146" s="111" t="s">
        <v>6520</v>
      </c>
      <c r="I146" s="111" t="s">
        <v>6521</v>
      </c>
      <c r="J146" s="111" t="s">
        <v>6435</v>
      </c>
      <c r="K146" s="115"/>
      <c r="L146" s="115" t="s">
        <v>6522</v>
      </c>
      <c r="M146" s="115" t="b">
        <f>IFS($A146=FALSE,"", countif(VLOOKUP($B146,'MARCH 2022'!C:C,1,FALSE),$B146)&gt;=1,TRUE,countif(VLOOKUP($B146,'MARCH 2022'!C:C,1,FALSE),$B146)=0,FALSE)</f>
        <v>1</v>
      </c>
      <c r="N146" s="115" t="b">
        <f>IFS($A146=FALSE,"", countif(VLOOKUP($A146,'MARCH 2022'!A:A,1,FALSE),$A146)&gt;=1,TRUE,countif(VLOOKUP($A146,'MARCH 2022'!A:A,1,FALSE),$A146)=0,FALSE)</f>
        <v>1</v>
      </c>
      <c r="O146" s="111"/>
    </row>
    <row r="147" ht="15.75" customHeight="1">
      <c r="A147" s="110" t="str">
        <f t="shared" si="1"/>
        <v>1589244627</v>
      </c>
      <c r="B147" s="111">
        <v>15892.0</v>
      </c>
      <c r="C147" s="112">
        <v>0.4270833333333333</v>
      </c>
      <c r="D147" s="111" t="s">
        <v>4243</v>
      </c>
      <c r="E147" s="113">
        <v>23446.0</v>
      </c>
      <c r="F147" s="114">
        <v>44627.0</v>
      </c>
      <c r="G147" s="111" t="s">
        <v>6519</v>
      </c>
      <c r="H147" s="111" t="s">
        <v>6520</v>
      </c>
      <c r="I147" s="111" t="s">
        <v>6521</v>
      </c>
      <c r="J147" s="111" t="s">
        <v>6435</v>
      </c>
      <c r="K147" s="115"/>
      <c r="L147" s="115" t="s">
        <v>6522</v>
      </c>
      <c r="M147" s="115" t="b">
        <f>IFS($A147=FALSE,"", countif(VLOOKUP($B147,'MARCH 2022'!C:C,1,FALSE),$B147)&gt;=1,TRUE,countif(VLOOKUP($B147,'MARCH 2022'!C:C,1,FALSE),$B147)=0,FALSE)</f>
        <v>1</v>
      </c>
      <c r="N147" s="115" t="b">
        <f>IFS($A147=FALSE,"", countif(VLOOKUP($A147,'MARCH 2022'!A:A,1,FALSE),$A147)&gt;=1,TRUE,countif(VLOOKUP($A147,'MARCH 2022'!A:A,1,FALSE),$A147)=0,FALSE)</f>
        <v>1</v>
      </c>
      <c r="O147" s="111"/>
    </row>
    <row r="148" ht="15.75" customHeight="1">
      <c r="A148" s="110" t="str">
        <f t="shared" si="1"/>
        <v>1517644627</v>
      </c>
      <c r="B148" s="111">
        <v>15176.0</v>
      </c>
      <c r="C148" s="112">
        <v>0.4375</v>
      </c>
      <c r="D148" s="111" t="s">
        <v>3618</v>
      </c>
      <c r="E148" s="113">
        <v>26214.0</v>
      </c>
      <c r="F148" s="114">
        <v>44627.0</v>
      </c>
      <c r="G148" s="111" t="s">
        <v>6523</v>
      </c>
      <c r="H148" s="111" t="s">
        <v>6520</v>
      </c>
      <c r="I148" s="111" t="s">
        <v>6521</v>
      </c>
      <c r="J148" s="111" t="s">
        <v>6372</v>
      </c>
      <c r="K148" s="115"/>
      <c r="L148" s="115" t="s">
        <v>6522</v>
      </c>
      <c r="M148" s="115" t="b">
        <f>IFS($A148=FALSE,"", countif(VLOOKUP($B148,'MARCH 2022'!C:C,1,FALSE),$B148)&gt;=1,TRUE,countif(VLOOKUP($B148,'MARCH 2022'!C:C,1,FALSE),$B148)=0,FALSE)</f>
        <v>1</v>
      </c>
      <c r="N148" s="115" t="b">
        <f>IFS($A148=FALSE,"", countif(VLOOKUP($A148,'MARCH 2022'!A:A,1,FALSE),$A148)&gt;=1,TRUE,countif(VLOOKUP($A148,'MARCH 2022'!A:A,1,FALSE),$A148)=0,FALSE)</f>
        <v>1</v>
      </c>
      <c r="O148" s="111"/>
    </row>
    <row r="149" ht="15.75" customHeight="1">
      <c r="A149" s="110" t="str">
        <f t="shared" si="1"/>
        <v>1824244627</v>
      </c>
      <c r="B149" s="111">
        <v>18242.0</v>
      </c>
      <c r="C149" s="112">
        <v>0.4479166666666667</v>
      </c>
      <c r="D149" s="111" t="s">
        <v>6286</v>
      </c>
      <c r="E149" s="113">
        <v>22087.0</v>
      </c>
      <c r="F149" s="114">
        <v>44627.0</v>
      </c>
      <c r="G149" s="111" t="s">
        <v>6525</v>
      </c>
      <c r="H149" s="111" t="s">
        <v>6526</v>
      </c>
      <c r="I149" s="111" t="s">
        <v>6527</v>
      </c>
      <c r="J149" s="111" t="s">
        <v>6489</v>
      </c>
      <c r="K149" s="115"/>
      <c r="L149" s="115" t="s">
        <v>6522</v>
      </c>
      <c r="M149" s="115" t="b">
        <f>IFS($A149=FALSE,"", countif(VLOOKUP($B149,'MARCH 2022'!C:C,1,FALSE),$B149)&gt;=1,TRUE,countif(VLOOKUP($B149,'MARCH 2022'!C:C,1,FALSE),$B149)=0,FALSE)</f>
        <v>1</v>
      </c>
      <c r="N149" s="115" t="b">
        <f>IFS($A149=FALSE,"", countif(VLOOKUP($A149,'MARCH 2022'!A:A,1,FALSE),$A149)&gt;=1,TRUE,countif(VLOOKUP($A149,'MARCH 2022'!A:A,1,FALSE),$A149)=0,FALSE)</f>
        <v>1</v>
      </c>
      <c r="O149" s="111"/>
    </row>
    <row r="150" ht="15.75" customHeight="1">
      <c r="A150" s="110" t="str">
        <f t="shared" si="1"/>
        <v>1826744627</v>
      </c>
      <c r="B150" s="111">
        <v>18267.0</v>
      </c>
      <c r="C150" s="112">
        <v>0.4479166666666667</v>
      </c>
      <c r="D150" s="111" t="s">
        <v>4678</v>
      </c>
      <c r="E150" s="113">
        <v>19572.0</v>
      </c>
      <c r="F150" s="114">
        <v>44627.0</v>
      </c>
      <c r="G150" s="111" t="s">
        <v>6525</v>
      </c>
      <c r="H150" s="111" t="s">
        <v>6526</v>
      </c>
      <c r="I150" s="111" t="s">
        <v>6527</v>
      </c>
      <c r="J150" s="111" t="s">
        <v>6375</v>
      </c>
      <c r="K150" s="115"/>
      <c r="L150" s="115" t="s">
        <v>6522</v>
      </c>
      <c r="M150" s="115" t="b">
        <f>IFS($A150=FALSE,"", countif(VLOOKUP($B150,'MARCH 2022'!C:C,1,FALSE),$B150)&gt;=1,TRUE,countif(VLOOKUP($B150,'MARCH 2022'!C:C,1,FALSE),$B150)=0,FALSE)</f>
        <v>1</v>
      </c>
      <c r="N150" s="115" t="b">
        <f>IFS($A150=FALSE,"", countif(VLOOKUP($A150,'MARCH 2022'!A:A,1,FALSE),$A150)&gt;=1,TRUE,countif(VLOOKUP($A150,'MARCH 2022'!A:A,1,FALSE),$A150)=0,FALSE)</f>
        <v>1</v>
      </c>
      <c r="O150" s="111"/>
    </row>
    <row r="151" ht="15.75" customHeight="1">
      <c r="A151" s="110" t="str">
        <f t="shared" si="1"/>
        <v>947944627</v>
      </c>
      <c r="B151" s="111">
        <v>9479.0</v>
      </c>
      <c r="C151" s="112">
        <v>0.4583333333333333</v>
      </c>
      <c r="D151" s="111" t="s">
        <v>177</v>
      </c>
      <c r="E151" s="113">
        <v>19225.0</v>
      </c>
      <c r="F151" s="114">
        <v>44627.0</v>
      </c>
      <c r="G151" s="111" t="s">
        <v>6519</v>
      </c>
      <c r="H151" s="111" t="s">
        <v>6520</v>
      </c>
      <c r="I151" s="111" t="s">
        <v>6524</v>
      </c>
      <c r="J151" s="111" t="s">
        <v>6427</v>
      </c>
      <c r="K151" s="115"/>
      <c r="L151" s="115" t="s">
        <v>6522</v>
      </c>
      <c r="M151" s="115" t="b">
        <f>IFS($A151=FALSE,"", countif(VLOOKUP($B151,'MARCH 2022'!C:C,1,FALSE),$B151)&gt;=1,TRUE,countif(VLOOKUP($B151,'MARCH 2022'!C:C,1,FALSE),$B151)=0,FALSE)</f>
        <v>1</v>
      </c>
      <c r="N151" s="115" t="b">
        <f>IFS($A151=FALSE,"", countif(VLOOKUP($A151,'MARCH 2022'!A:A,1,FALSE),$A151)&gt;=1,TRUE,countif(VLOOKUP($A151,'MARCH 2022'!A:A,1,FALSE),$A151)=0,FALSE)</f>
        <v>1</v>
      </c>
      <c r="O151" s="111"/>
    </row>
    <row r="152" ht="15.75" customHeight="1">
      <c r="A152" s="110" t="str">
        <f t="shared" si="1"/>
        <v>937744627</v>
      </c>
      <c r="B152" s="111">
        <v>9377.0</v>
      </c>
      <c r="C152" s="112">
        <v>0.46875</v>
      </c>
      <c r="D152" s="111" t="s">
        <v>147</v>
      </c>
      <c r="E152" s="113">
        <v>26302.0</v>
      </c>
      <c r="F152" s="114">
        <v>44627.0</v>
      </c>
      <c r="G152" s="111" t="s">
        <v>6523</v>
      </c>
      <c r="H152" s="111" t="s">
        <v>6520</v>
      </c>
      <c r="I152" s="111" t="s">
        <v>6521</v>
      </c>
      <c r="J152" s="111" t="s">
        <v>6427</v>
      </c>
      <c r="K152" s="115"/>
      <c r="L152" s="115" t="s">
        <v>6522</v>
      </c>
      <c r="M152" s="115" t="b">
        <f>IFS($A152=FALSE,"", countif(VLOOKUP($B152,'MARCH 2022'!C:C,1,FALSE),$B152)&gt;=1,TRUE,countif(VLOOKUP($B152,'MARCH 2022'!C:C,1,FALSE),$B152)=0,FALSE)</f>
        <v>1</v>
      </c>
      <c r="N152" s="115" t="b">
        <f>IFS($A152=FALSE,"", countif(VLOOKUP($A152,'MARCH 2022'!A:A,1,FALSE),$A152)&gt;=1,TRUE,countif(VLOOKUP($A152,'MARCH 2022'!A:A,1,FALSE),$A152)=0,FALSE)</f>
        <v>1</v>
      </c>
      <c r="O152" s="111"/>
    </row>
    <row r="153" ht="15.75" customHeight="1">
      <c r="A153" s="110" t="str">
        <f t="shared" si="1"/>
        <v>1412644627</v>
      </c>
      <c r="B153" s="111">
        <v>14126.0</v>
      </c>
      <c r="C153" s="112">
        <v>0.46875</v>
      </c>
      <c r="D153" s="111" t="s">
        <v>2762</v>
      </c>
      <c r="E153" s="113">
        <v>18823.0</v>
      </c>
      <c r="F153" s="114">
        <v>44627.0</v>
      </c>
      <c r="G153" s="111" t="s">
        <v>6519</v>
      </c>
      <c r="H153" s="111" t="s">
        <v>6520</v>
      </c>
      <c r="I153" s="111" t="s">
        <v>6524</v>
      </c>
      <c r="J153" s="111" t="s">
        <v>6489</v>
      </c>
      <c r="K153" s="115"/>
      <c r="L153" s="115" t="s">
        <v>6522</v>
      </c>
      <c r="M153" s="115" t="b">
        <f>IFS($A153=FALSE,"", countif(VLOOKUP($B153,'MARCH 2022'!C:C,1,FALSE),$B153)&gt;=1,TRUE,countif(VLOOKUP($B153,'MARCH 2022'!C:C,1,FALSE),$B153)=0,FALSE)</f>
        <v>1</v>
      </c>
      <c r="N153" s="115" t="b">
        <f>IFS($A153=FALSE,"", countif(VLOOKUP($A153,'MARCH 2022'!A:A,1,FALSE),$A153)&gt;=1,TRUE,countif(VLOOKUP($A153,'MARCH 2022'!A:A,1,FALSE),$A153)=0,FALSE)</f>
        <v>1</v>
      </c>
      <c r="O153" s="111"/>
    </row>
    <row r="154" ht="15.75" customHeight="1">
      <c r="A154" s="110" t="str">
        <f t="shared" si="1"/>
        <v>1827344627</v>
      </c>
      <c r="B154" s="111">
        <v>18273.0</v>
      </c>
      <c r="C154" s="112">
        <v>0.5416666666666666</v>
      </c>
      <c r="D154" s="111" t="s">
        <v>6287</v>
      </c>
      <c r="E154" s="113">
        <v>26448.0</v>
      </c>
      <c r="F154" s="114">
        <v>44627.0</v>
      </c>
      <c r="G154" s="111" t="s">
        <v>6525</v>
      </c>
      <c r="H154" s="111" t="s">
        <v>6526</v>
      </c>
      <c r="I154" s="111" t="s">
        <v>6527</v>
      </c>
      <c r="J154" s="111" t="s">
        <v>6533</v>
      </c>
      <c r="K154" s="115"/>
      <c r="L154" s="115" t="s">
        <v>6522</v>
      </c>
      <c r="M154" s="115" t="b">
        <f>IFS($A154=FALSE,"", countif(VLOOKUP($B154,'MARCH 2022'!C:C,1,FALSE),$B154)&gt;=1,TRUE,countif(VLOOKUP($B154,'MARCH 2022'!C:C,1,FALSE),$B154)=0,FALSE)</f>
        <v>1</v>
      </c>
      <c r="N154" s="115" t="b">
        <f>IFS($A154=FALSE,"", countif(VLOOKUP($A154,'MARCH 2022'!A:A,1,FALSE),$A154)&gt;=1,TRUE,countif(VLOOKUP($A154,'MARCH 2022'!A:A,1,FALSE),$A154)=0,FALSE)</f>
        <v>1</v>
      </c>
      <c r="O154" s="111"/>
    </row>
    <row r="155" ht="15.75" customHeight="1">
      <c r="A155" s="110" t="str">
        <f t="shared" si="1"/>
        <v>1642544627</v>
      </c>
      <c r="B155" s="111">
        <v>16425.0</v>
      </c>
      <c r="C155" s="112">
        <v>0.5416666666666666</v>
      </c>
      <c r="D155" s="111" t="s">
        <v>4675</v>
      </c>
      <c r="E155" s="113">
        <v>28522.0</v>
      </c>
      <c r="F155" s="114">
        <v>44627.0</v>
      </c>
      <c r="G155" s="111" t="s">
        <v>6523</v>
      </c>
      <c r="H155" s="111" t="s">
        <v>6520</v>
      </c>
      <c r="I155" s="111" t="s">
        <v>6521</v>
      </c>
      <c r="J155" s="111" t="s">
        <v>6420</v>
      </c>
      <c r="K155" s="115"/>
      <c r="L155" s="115" t="s">
        <v>6522</v>
      </c>
      <c r="M155" s="115" t="b">
        <f>IFS($A155=FALSE,"", countif(VLOOKUP($B155,'MARCH 2022'!C:C,1,FALSE),$B155)&gt;=1,TRUE,countif(VLOOKUP($B155,'MARCH 2022'!C:C,1,FALSE),$B155)=0,FALSE)</f>
        <v>1</v>
      </c>
      <c r="N155" s="115" t="b">
        <f>IFS($A155=FALSE,"", countif(VLOOKUP($A155,'MARCH 2022'!A:A,1,FALSE),$A155)&gt;=1,TRUE,countif(VLOOKUP($A155,'MARCH 2022'!A:A,1,FALSE),$A155)=0,FALSE)</f>
        <v>1</v>
      </c>
      <c r="O155" s="111"/>
    </row>
    <row r="156" ht="15.75" customHeight="1">
      <c r="A156" s="110" t="str">
        <f t="shared" si="1"/>
        <v>1831644627</v>
      </c>
      <c r="B156" s="111">
        <v>18316.0</v>
      </c>
      <c r="C156" s="112">
        <v>0.5625</v>
      </c>
      <c r="D156" s="111" t="s">
        <v>6288</v>
      </c>
      <c r="E156" s="113">
        <v>24528.0</v>
      </c>
      <c r="F156" s="114">
        <v>44627.0</v>
      </c>
      <c r="G156" s="111" t="s">
        <v>6525</v>
      </c>
      <c r="H156" s="111" t="s">
        <v>6526</v>
      </c>
      <c r="I156" s="111" t="s">
        <v>6527</v>
      </c>
      <c r="J156" s="111" t="s">
        <v>6407</v>
      </c>
      <c r="K156" s="115"/>
      <c r="L156" s="115" t="s">
        <v>6522</v>
      </c>
      <c r="M156" s="115" t="b">
        <f>IFS($A156=FALSE,"", countif(VLOOKUP($B156,'MARCH 2022'!C:C,1,FALSE),$B156)&gt;=1,TRUE,countif(VLOOKUP($B156,'MARCH 2022'!C:C,1,FALSE),$B156)=0,FALSE)</f>
        <v>1</v>
      </c>
      <c r="N156" s="115" t="b">
        <f>IFS($A156=FALSE,"", countif(VLOOKUP($A156,'MARCH 2022'!A:A,1,FALSE),$A156)&gt;=1,TRUE,countif(VLOOKUP($A156,'MARCH 2022'!A:A,1,FALSE),$A156)=0,FALSE)</f>
        <v>1</v>
      </c>
      <c r="O156" s="111"/>
    </row>
    <row r="157" ht="15.75" customHeight="1">
      <c r="A157" s="110" t="str">
        <f t="shared" si="1"/>
        <v>1616744627</v>
      </c>
      <c r="B157" s="111">
        <v>16167.0</v>
      </c>
      <c r="C157" s="112">
        <v>0.5625</v>
      </c>
      <c r="D157" s="111" t="s">
        <v>4479</v>
      </c>
      <c r="E157" s="113">
        <v>19877.0</v>
      </c>
      <c r="F157" s="114">
        <v>44627.0</v>
      </c>
      <c r="G157" s="111" t="s">
        <v>6519</v>
      </c>
      <c r="H157" s="111" t="s">
        <v>6520</v>
      </c>
      <c r="I157" s="111" t="s">
        <v>6521</v>
      </c>
      <c r="J157" s="111" t="s">
        <v>6476</v>
      </c>
      <c r="K157" s="115"/>
      <c r="L157" s="115" t="s">
        <v>6522</v>
      </c>
      <c r="M157" s="115" t="b">
        <f>IFS($A157=FALSE,"", countif(VLOOKUP($B157,'MARCH 2022'!C:C,1,FALSE),$B157)&gt;=1,TRUE,countif(VLOOKUP($B157,'MARCH 2022'!C:C,1,FALSE),$B157)=0,FALSE)</f>
        <v>1</v>
      </c>
      <c r="N157" s="115" t="b">
        <f>IFS($A157=FALSE,"", countif(VLOOKUP($A157,'MARCH 2022'!A:A,1,FALSE),$A157)&gt;=1,TRUE,countif(VLOOKUP($A157,'MARCH 2022'!A:A,1,FALSE),$A157)=0,FALSE)</f>
        <v>1</v>
      </c>
      <c r="O157" s="111"/>
    </row>
    <row r="158" ht="15.75" customHeight="1">
      <c r="A158" s="110" t="str">
        <f t="shared" si="1"/>
        <v>1616644627</v>
      </c>
      <c r="B158" s="111">
        <v>16166.0</v>
      </c>
      <c r="C158" s="112">
        <v>0.5625</v>
      </c>
      <c r="D158" s="111" t="s">
        <v>4478</v>
      </c>
      <c r="E158" s="113">
        <v>21767.0</v>
      </c>
      <c r="F158" s="114">
        <v>44627.0</v>
      </c>
      <c r="G158" s="111" t="s">
        <v>6519</v>
      </c>
      <c r="H158" s="111" t="s">
        <v>6520</v>
      </c>
      <c r="I158" s="111" t="s">
        <v>6521</v>
      </c>
      <c r="J158" s="111" t="s">
        <v>6476</v>
      </c>
      <c r="K158" s="115"/>
      <c r="L158" s="115" t="s">
        <v>6522</v>
      </c>
      <c r="M158" s="115" t="b">
        <f>IFS($A158=FALSE,"", countif(VLOOKUP($B158,'MARCH 2022'!C:C,1,FALSE),$B158)&gt;=1,TRUE,countif(VLOOKUP($B158,'MARCH 2022'!C:C,1,FALSE),$B158)=0,FALSE)</f>
        <v>1</v>
      </c>
      <c r="N158" s="115" t="b">
        <f>IFS($A158=FALSE,"", countif(VLOOKUP($A158,'MARCH 2022'!A:A,1,FALSE),$A158)&gt;=1,TRUE,countif(VLOOKUP($A158,'MARCH 2022'!A:A,1,FALSE),$A158)=0,FALSE)</f>
        <v>1</v>
      </c>
      <c r="O158" s="111"/>
    </row>
    <row r="159" ht="15.75" customHeight="1">
      <c r="A159" s="110" t="str">
        <f t="shared" si="1"/>
        <v>1691444627</v>
      </c>
      <c r="B159" s="111">
        <v>16914.0</v>
      </c>
      <c r="C159" s="112">
        <v>0.5729166666666666</v>
      </c>
      <c r="D159" s="111" t="s">
        <v>5055</v>
      </c>
      <c r="E159" s="113">
        <v>22267.0</v>
      </c>
      <c r="F159" s="114">
        <v>44627.0</v>
      </c>
      <c r="G159" s="111" t="s">
        <v>6519</v>
      </c>
      <c r="H159" s="111" t="s">
        <v>6526</v>
      </c>
      <c r="I159" s="111" t="s">
        <v>6529</v>
      </c>
      <c r="J159" s="111" t="s">
        <v>6406</v>
      </c>
      <c r="K159" s="115"/>
      <c r="L159" s="115" t="s">
        <v>6522</v>
      </c>
      <c r="M159" s="115" t="b">
        <f>IFS($A159=FALSE,"", countif(VLOOKUP($B159,'MARCH 2022'!C:C,1,FALSE),$B159)&gt;=1,TRUE,countif(VLOOKUP($B159,'MARCH 2022'!C:C,1,FALSE),$B159)=0,FALSE)</f>
        <v>1</v>
      </c>
      <c r="N159" s="115" t="b">
        <f>IFS($A159=FALSE,"", countif(VLOOKUP($A159,'MARCH 2022'!A:A,1,FALSE),$A159)&gt;=1,TRUE,countif(VLOOKUP($A159,'MARCH 2022'!A:A,1,FALSE),$A159)=0,FALSE)</f>
        <v>1</v>
      </c>
      <c r="O159" s="111"/>
    </row>
    <row r="160" ht="15.75" customHeight="1">
      <c r="A160" s="110" t="str">
        <f t="shared" si="1"/>
        <v>1560244627</v>
      </c>
      <c r="B160" s="111">
        <v>15602.0</v>
      </c>
      <c r="C160" s="112">
        <v>0.5833333333333334</v>
      </c>
      <c r="D160" s="111" t="s">
        <v>3976</v>
      </c>
      <c r="E160" s="113">
        <v>21253.0</v>
      </c>
      <c r="F160" s="114">
        <v>44627.0</v>
      </c>
      <c r="G160" s="111" t="s">
        <v>6523</v>
      </c>
      <c r="H160" s="111" t="s">
        <v>6520</v>
      </c>
      <c r="I160" s="111" t="s">
        <v>6524</v>
      </c>
      <c r="J160" s="111" t="s">
        <v>6427</v>
      </c>
      <c r="K160" s="115"/>
      <c r="L160" s="115" t="s">
        <v>6522</v>
      </c>
      <c r="M160" s="115" t="b">
        <f>IFS($A160=FALSE,"", countif(VLOOKUP($B160,'MARCH 2022'!C:C,1,FALSE),$B160)&gt;=1,TRUE,countif(VLOOKUP($B160,'MARCH 2022'!C:C,1,FALSE),$B160)=0,FALSE)</f>
        <v>1</v>
      </c>
      <c r="N160" s="115" t="b">
        <f>IFS($A160=FALSE,"", countif(VLOOKUP($A160,'MARCH 2022'!A:A,1,FALSE),$A160)&gt;=1,TRUE,countif(VLOOKUP($A160,'MARCH 2022'!A:A,1,FALSE),$A160)=0,FALSE)</f>
        <v>1</v>
      </c>
      <c r="O160" s="111"/>
    </row>
    <row r="161" ht="15.75" customHeight="1">
      <c r="A161" s="110" t="str">
        <f t="shared" si="1"/>
        <v>1829544627</v>
      </c>
      <c r="B161" s="111">
        <v>18295.0</v>
      </c>
      <c r="C161" s="112">
        <v>0.59375</v>
      </c>
      <c r="D161" s="111" t="s">
        <v>6289</v>
      </c>
      <c r="E161" s="113">
        <v>23133.0</v>
      </c>
      <c r="F161" s="114">
        <v>44627.0</v>
      </c>
      <c r="G161" s="111" t="s">
        <v>6525</v>
      </c>
      <c r="H161" s="111" t="s">
        <v>6526</v>
      </c>
      <c r="I161" s="111" t="s">
        <v>6527</v>
      </c>
      <c r="J161" s="111" t="s">
        <v>6391</v>
      </c>
      <c r="K161" s="115"/>
      <c r="L161" s="115" t="s">
        <v>6522</v>
      </c>
      <c r="M161" s="115" t="b">
        <f>IFS($A161=FALSE,"", countif(VLOOKUP($B161,'MARCH 2022'!C:C,1,FALSE),$B161)&gt;=1,TRUE,countif(VLOOKUP($B161,'MARCH 2022'!C:C,1,FALSE),$B161)=0,FALSE)</f>
        <v>1</v>
      </c>
      <c r="N161" s="115" t="b">
        <f>IFS($A161=FALSE,"", countif(VLOOKUP($A161,'MARCH 2022'!A:A,1,FALSE),$A161)&gt;=1,TRUE,countif(VLOOKUP($A161,'MARCH 2022'!A:A,1,FALSE),$A161)=0,FALSE)</f>
        <v>1</v>
      </c>
      <c r="O161" s="111"/>
    </row>
    <row r="162" ht="15.75" customHeight="1">
      <c r="A162" s="110" t="str">
        <f t="shared" si="1"/>
        <v>1825044627</v>
      </c>
      <c r="B162" s="111">
        <v>18250.0</v>
      </c>
      <c r="C162" s="112">
        <v>0.59375</v>
      </c>
      <c r="D162" s="111" t="s">
        <v>6290</v>
      </c>
      <c r="E162" s="113">
        <v>19954.0</v>
      </c>
      <c r="F162" s="114">
        <v>44627.0</v>
      </c>
      <c r="G162" s="111" t="s">
        <v>6525</v>
      </c>
      <c r="H162" s="111" t="s">
        <v>6526</v>
      </c>
      <c r="I162" s="111" t="s">
        <v>6527</v>
      </c>
      <c r="J162" s="111" t="s">
        <v>6417</v>
      </c>
      <c r="K162" s="115"/>
      <c r="L162" s="115" t="s">
        <v>6522</v>
      </c>
      <c r="M162" s="115" t="b">
        <f>IFS($A162=FALSE,"", countif(VLOOKUP($B162,'MARCH 2022'!C:C,1,FALSE),$B162)&gt;=1,TRUE,countif(VLOOKUP($B162,'MARCH 2022'!C:C,1,FALSE),$B162)=0,FALSE)</f>
        <v>1</v>
      </c>
      <c r="N162" s="115" t="b">
        <f>IFS($A162=FALSE,"", countif(VLOOKUP($A162,'MARCH 2022'!A:A,1,FALSE),$A162)&gt;=1,TRUE,countif(VLOOKUP($A162,'MARCH 2022'!A:A,1,FALSE),$A162)=0,FALSE)</f>
        <v>1</v>
      </c>
      <c r="O162" s="111"/>
    </row>
    <row r="163" ht="15.75" customHeight="1">
      <c r="A163" s="110" t="str">
        <f t="shared" si="1"/>
        <v>1823644627</v>
      </c>
      <c r="B163" s="111">
        <v>18236.0</v>
      </c>
      <c r="C163" s="112">
        <v>0.59375</v>
      </c>
      <c r="D163" s="111" t="s">
        <v>6291</v>
      </c>
      <c r="E163" s="113">
        <v>21885.0</v>
      </c>
      <c r="F163" s="114">
        <v>44627.0</v>
      </c>
      <c r="G163" s="111" t="s">
        <v>6525</v>
      </c>
      <c r="H163" s="111" t="s">
        <v>6526</v>
      </c>
      <c r="I163" s="111" t="s">
        <v>6527</v>
      </c>
      <c r="J163" s="111" t="s">
        <v>6420</v>
      </c>
      <c r="K163" s="115"/>
      <c r="L163" s="115" t="s">
        <v>6522</v>
      </c>
      <c r="M163" s="115" t="b">
        <f>IFS($A163=FALSE,"", countif(VLOOKUP($B163,'MARCH 2022'!C:C,1,FALSE),$B163)&gt;=1,TRUE,countif(VLOOKUP($B163,'MARCH 2022'!C:C,1,FALSE),$B163)=0,FALSE)</f>
        <v>1</v>
      </c>
      <c r="N163" s="115" t="b">
        <f>IFS($A163=FALSE,"", countif(VLOOKUP($A163,'MARCH 2022'!A:A,1,FALSE),$A163)&gt;=1,TRUE,countif(VLOOKUP($A163,'MARCH 2022'!A:A,1,FALSE),$A163)=0,FALSE)</f>
        <v>1</v>
      </c>
      <c r="O163" s="111"/>
    </row>
    <row r="164" ht="15.75" customHeight="1">
      <c r="A164" s="110" t="str">
        <f t="shared" si="1"/>
        <v>1667744627</v>
      </c>
      <c r="B164" s="111">
        <v>16677.0</v>
      </c>
      <c r="C164" s="112">
        <v>0.6041666666666666</v>
      </c>
      <c r="D164" s="111" t="s">
        <v>4867</v>
      </c>
      <c r="E164" s="113">
        <v>20737.0</v>
      </c>
      <c r="F164" s="114">
        <v>44627.0</v>
      </c>
      <c r="G164" s="111" t="s">
        <v>6519</v>
      </c>
      <c r="H164" s="111" t="s">
        <v>6520</v>
      </c>
      <c r="I164" s="111" t="s">
        <v>6524</v>
      </c>
      <c r="J164" s="111" t="s">
        <v>6427</v>
      </c>
      <c r="K164" s="115"/>
      <c r="L164" s="115" t="s">
        <v>6522</v>
      </c>
      <c r="M164" s="115" t="b">
        <f>IFS($A164=FALSE,"", countif(VLOOKUP($B164,'MARCH 2022'!C:C,1,FALSE),$B164)&gt;=1,TRUE,countif(VLOOKUP($B164,'MARCH 2022'!C:C,1,FALSE),$B164)=0,FALSE)</f>
        <v>1</v>
      </c>
      <c r="N164" s="115" t="b">
        <f>IFS($A164=FALSE,"", countif(VLOOKUP($A164,'MARCH 2022'!A:A,1,FALSE),$A164)&gt;=1,TRUE,countif(VLOOKUP($A164,'MARCH 2022'!A:A,1,FALSE),$A164)=0,FALSE)</f>
        <v>1</v>
      </c>
      <c r="O164" s="111"/>
    </row>
    <row r="165" ht="15.75" customHeight="1">
      <c r="A165" s="110" t="str">
        <f t="shared" si="1"/>
        <v>1813644627</v>
      </c>
      <c r="B165" s="111">
        <v>18136.0</v>
      </c>
      <c r="C165" s="112">
        <v>0.6145833333333334</v>
      </c>
      <c r="D165" s="111" t="s">
        <v>6292</v>
      </c>
      <c r="E165" s="113">
        <v>26779.0</v>
      </c>
      <c r="F165" s="114">
        <v>44627.0</v>
      </c>
      <c r="G165" s="111" t="s">
        <v>6525</v>
      </c>
      <c r="H165" s="111" t="s">
        <v>6526</v>
      </c>
      <c r="I165" s="111" t="s">
        <v>6527</v>
      </c>
      <c r="J165" s="111" t="s">
        <v>6438</v>
      </c>
      <c r="K165" s="115"/>
      <c r="L165" s="115" t="s">
        <v>6522</v>
      </c>
      <c r="M165" s="115" t="b">
        <f>IFS($A165=FALSE,"", countif(VLOOKUP($B165,'MARCH 2022'!C:C,1,FALSE),$B165)&gt;=1,TRUE,countif(VLOOKUP($B165,'MARCH 2022'!C:C,1,FALSE),$B165)=0,FALSE)</f>
        <v>1</v>
      </c>
      <c r="N165" s="115" t="b">
        <f>IFS($A165=FALSE,"", countif(VLOOKUP($A165,'MARCH 2022'!A:A,1,FALSE),$A165)&gt;=1,TRUE,countif(VLOOKUP($A165,'MARCH 2022'!A:A,1,FALSE),$A165)=0,FALSE)</f>
        <v>1</v>
      </c>
      <c r="O165" s="111"/>
    </row>
    <row r="166" ht="15.75" customHeight="1">
      <c r="A166" s="110" t="str">
        <f t="shared" si="1"/>
        <v>1119244627</v>
      </c>
      <c r="B166" s="111">
        <v>11192.0</v>
      </c>
      <c r="C166" s="112">
        <v>0.6145833333333334</v>
      </c>
      <c r="D166" s="111" t="s">
        <v>853</v>
      </c>
      <c r="E166" s="113">
        <v>29533.0</v>
      </c>
      <c r="F166" s="114">
        <v>44627.0</v>
      </c>
      <c r="G166" s="111" t="s">
        <v>6523</v>
      </c>
      <c r="H166" s="111" t="s">
        <v>6526</v>
      </c>
      <c r="I166" s="111" t="s">
        <v>6529</v>
      </c>
      <c r="J166" s="111" t="s">
        <v>6427</v>
      </c>
      <c r="K166" s="115"/>
      <c r="L166" s="115" t="s">
        <v>6522</v>
      </c>
      <c r="M166" s="115" t="b">
        <f>IFS($A166=FALSE,"", countif(VLOOKUP($B166,'MARCH 2022'!C:C,1,FALSE),$B166)&gt;=1,TRUE,countif(VLOOKUP($B166,'MARCH 2022'!C:C,1,FALSE),$B166)=0,FALSE)</f>
        <v>1</v>
      </c>
      <c r="N166" s="115" t="b">
        <f>IFS($A166=FALSE,"", countif(VLOOKUP($A166,'MARCH 2022'!A:A,1,FALSE),$A166)&gt;=1,TRUE,countif(VLOOKUP($A166,'MARCH 2022'!A:A,1,FALSE),$A166)=0,FALSE)</f>
        <v>1</v>
      </c>
      <c r="O166" s="111"/>
    </row>
    <row r="167" ht="15.75" customHeight="1">
      <c r="A167" s="110" t="str">
        <f t="shared" si="1"/>
        <v>1564244627</v>
      </c>
      <c r="B167" s="111">
        <v>15642.0</v>
      </c>
      <c r="C167" s="112">
        <v>0.625</v>
      </c>
      <c r="D167" s="111" t="s">
        <v>4012</v>
      </c>
      <c r="E167" s="113">
        <v>22702.0</v>
      </c>
      <c r="F167" s="114">
        <v>44627.0</v>
      </c>
      <c r="G167" s="111" t="s">
        <v>6519</v>
      </c>
      <c r="H167" s="111" t="s">
        <v>6520</v>
      </c>
      <c r="I167" s="111" t="s">
        <v>6524</v>
      </c>
      <c r="J167" s="111" t="s">
        <v>6407</v>
      </c>
      <c r="K167" s="115"/>
      <c r="L167" s="115" t="s">
        <v>6522</v>
      </c>
      <c r="M167" s="115" t="b">
        <f>IFS($A167=FALSE,"", countif(VLOOKUP($B167,'MARCH 2022'!C:C,1,FALSE),$B167)&gt;=1,TRUE,countif(VLOOKUP($B167,'MARCH 2022'!C:C,1,FALSE),$B167)=0,FALSE)</f>
        <v>1</v>
      </c>
      <c r="N167" s="115" t="b">
        <f>IFS($A167=FALSE,"", countif(VLOOKUP($A167,'MARCH 2022'!A:A,1,FALSE),$A167)&gt;=1,TRUE,countif(VLOOKUP($A167,'MARCH 2022'!A:A,1,FALSE),$A167)=0,FALSE)</f>
        <v>1</v>
      </c>
      <c r="O167" s="111"/>
    </row>
    <row r="168" ht="15.75" customHeight="1">
      <c r="A168" s="110" t="str">
        <f t="shared" si="1"/>
        <v>1562144627</v>
      </c>
      <c r="B168" s="111">
        <v>15621.0</v>
      </c>
      <c r="C168" s="112">
        <v>0.6354166666666666</v>
      </c>
      <c r="D168" s="111" t="s">
        <v>3994</v>
      </c>
      <c r="E168" s="113">
        <v>21011.0</v>
      </c>
      <c r="F168" s="114">
        <v>44627.0</v>
      </c>
      <c r="G168" s="111" t="s">
        <v>6523</v>
      </c>
      <c r="H168" s="111" t="s">
        <v>6526</v>
      </c>
      <c r="I168" s="111" t="s">
        <v>6527</v>
      </c>
      <c r="J168" s="111" t="s">
        <v>6427</v>
      </c>
      <c r="K168" s="115"/>
      <c r="L168" s="115" t="s">
        <v>6522</v>
      </c>
      <c r="M168" s="115" t="b">
        <f>IFS($A168=FALSE,"", countif(VLOOKUP($B168,'MARCH 2022'!C:C,1,FALSE),$B168)&gt;=1,TRUE,countif(VLOOKUP($B168,'MARCH 2022'!C:C,1,FALSE),$B168)=0,FALSE)</f>
        <v>1</v>
      </c>
      <c r="N168" s="115" t="b">
        <f>IFS($A168=FALSE,"", countif(VLOOKUP($A168,'MARCH 2022'!A:A,1,FALSE),$A168)&gt;=1,TRUE,countif(VLOOKUP($A168,'MARCH 2022'!A:A,1,FALSE),$A168)=0,FALSE)</f>
        <v>1</v>
      </c>
      <c r="O168" s="111"/>
    </row>
    <row r="169" ht="15.75" customHeight="1">
      <c r="A169" s="110" t="str">
        <f t="shared" si="1"/>
        <v>1186544627</v>
      </c>
      <c r="B169" s="111">
        <v>11865.0</v>
      </c>
      <c r="C169" s="112">
        <v>0.6354166666666666</v>
      </c>
      <c r="D169" s="111" t="s">
        <v>1155</v>
      </c>
      <c r="E169" s="113">
        <v>25554.0</v>
      </c>
      <c r="F169" s="114">
        <v>44627.0</v>
      </c>
      <c r="G169" s="111" t="s">
        <v>6523</v>
      </c>
      <c r="H169" s="111" t="s">
        <v>6520</v>
      </c>
      <c r="I169" s="111" t="s">
        <v>6524</v>
      </c>
      <c r="J169" s="111" t="s">
        <v>6411</v>
      </c>
      <c r="K169" s="115"/>
      <c r="L169" s="115" t="s">
        <v>6522</v>
      </c>
      <c r="M169" s="115" t="b">
        <f>IFS($A169=FALSE,"", countif(VLOOKUP($B169,'MARCH 2022'!C:C,1,FALSE),$B169)&gt;=1,TRUE,countif(VLOOKUP($B169,'MARCH 2022'!C:C,1,FALSE),$B169)=0,FALSE)</f>
        <v>1</v>
      </c>
      <c r="N169" s="115" t="b">
        <f>IFS($A169=FALSE,"", countif(VLOOKUP($A169,'MARCH 2022'!A:A,1,FALSE),$A169)&gt;=1,TRUE,countif(VLOOKUP($A169,'MARCH 2022'!A:A,1,FALSE),$A169)=0,FALSE)</f>
        <v>1</v>
      </c>
      <c r="O169" s="111"/>
    </row>
    <row r="170" ht="15.75" customHeight="1">
      <c r="A170" s="110" t="str">
        <f t="shared" si="1"/>
        <v>1644344627</v>
      </c>
      <c r="B170" s="111">
        <v>16443.0</v>
      </c>
      <c r="C170" s="112">
        <v>0.6458333333333334</v>
      </c>
      <c r="D170" s="111" t="s">
        <v>4689</v>
      </c>
      <c r="E170" s="113">
        <v>33995.0</v>
      </c>
      <c r="F170" s="114">
        <v>44627.0</v>
      </c>
      <c r="G170" s="111" t="s">
        <v>6523</v>
      </c>
      <c r="H170" s="111" t="s">
        <v>6520</v>
      </c>
      <c r="I170" s="111" t="s">
        <v>6521</v>
      </c>
      <c r="J170" s="111" t="s">
        <v>6374</v>
      </c>
      <c r="K170" s="115"/>
      <c r="L170" s="115" t="s">
        <v>6522</v>
      </c>
      <c r="M170" s="115" t="b">
        <f>IFS($A170=FALSE,"", countif(VLOOKUP($B170,'MARCH 2022'!C:C,1,FALSE),$B170)&gt;=1,TRUE,countif(VLOOKUP($B170,'MARCH 2022'!C:C,1,FALSE),$B170)=0,FALSE)</f>
        <v>1</v>
      </c>
      <c r="N170" s="115" t="b">
        <f>IFS($A170=FALSE,"", countif(VLOOKUP($A170,'MARCH 2022'!A:A,1,FALSE),$A170)&gt;=1,TRUE,countif(VLOOKUP($A170,'MARCH 2022'!A:A,1,FALSE),$A170)=0,FALSE)</f>
        <v>1</v>
      </c>
      <c r="O170" s="111"/>
    </row>
    <row r="171" ht="15.75" customHeight="1">
      <c r="A171" s="110" t="str">
        <f t="shared" si="1"/>
        <v>1327344628</v>
      </c>
      <c r="B171" s="111">
        <v>13273.0</v>
      </c>
      <c r="C171" s="112">
        <v>0.3229166666666667</v>
      </c>
      <c r="D171" s="111" t="s">
        <v>2103</v>
      </c>
      <c r="E171" s="113">
        <v>30146.0</v>
      </c>
      <c r="F171" s="114">
        <v>44628.0</v>
      </c>
      <c r="G171" s="111" t="s">
        <v>6523</v>
      </c>
      <c r="H171" s="111" t="s">
        <v>6526</v>
      </c>
      <c r="I171" s="111" t="s">
        <v>6527</v>
      </c>
      <c r="J171" s="111" t="s">
        <v>6444</v>
      </c>
      <c r="K171" s="115"/>
      <c r="L171" s="115" t="s">
        <v>6522</v>
      </c>
      <c r="M171" s="115" t="b">
        <f>IFS($A171=FALSE,"", countif(VLOOKUP($B171,'MARCH 2022'!C:C,1,FALSE),$B171)&gt;=1,TRUE,countif(VLOOKUP($B171,'MARCH 2022'!C:C,1,FALSE),$B171)=0,FALSE)</f>
        <v>1</v>
      </c>
      <c r="N171" s="115" t="b">
        <f>IFS($A171=FALSE,"", countif(VLOOKUP($A171,'MARCH 2022'!A:A,1,FALSE),$A171)&gt;=1,TRUE,countif(VLOOKUP($A171,'MARCH 2022'!A:A,1,FALSE),$A171)=0,FALSE)</f>
        <v>1</v>
      </c>
      <c r="O171" s="111"/>
    </row>
    <row r="172" ht="15.75" customHeight="1">
      <c r="A172" s="110" t="str">
        <f t="shared" si="1"/>
        <v>1776144628</v>
      </c>
      <c r="B172" s="111">
        <v>17761.0</v>
      </c>
      <c r="C172" s="112">
        <v>0.3333333333333333</v>
      </c>
      <c r="D172" s="111" t="s">
        <v>5772</v>
      </c>
      <c r="E172" s="113">
        <v>16187.0</v>
      </c>
      <c r="F172" s="114">
        <v>44628.0</v>
      </c>
      <c r="G172" s="111" t="s">
        <v>6523</v>
      </c>
      <c r="H172" s="111" t="s">
        <v>6526</v>
      </c>
      <c r="I172" s="111" t="s">
        <v>6527</v>
      </c>
      <c r="J172" s="111" t="s">
        <v>6375</v>
      </c>
      <c r="K172" s="115"/>
      <c r="L172" s="115" t="s">
        <v>6522</v>
      </c>
      <c r="M172" s="115" t="b">
        <f>IFS($A172=FALSE,"", countif(VLOOKUP($B172,'MARCH 2022'!C:C,1,FALSE),$B172)&gt;=1,TRUE,countif(VLOOKUP($B172,'MARCH 2022'!C:C,1,FALSE),$B172)=0,FALSE)</f>
        <v>1</v>
      </c>
      <c r="N172" s="115" t="b">
        <f>IFS($A172=FALSE,"", countif(VLOOKUP($A172,'MARCH 2022'!A:A,1,FALSE),$A172)&gt;=1,TRUE,countif(VLOOKUP($A172,'MARCH 2022'!A:A,1,FALSE),$A172)=0,FALSE)</f>
        <v>1</v>
      </c>
      <c r="O172" s="111"/>
    </row>
    <row r="173" ht="15.75" customHeight="1">
      <c r="A173" s="110" t="str">
        <f t="shared" si="1"/>
        <v>972644628</v>
      </c>
      <c r="B173" s="111">
        <v>9726.0</v>
      </c>
      <c r="C173" s="112">
        <v>0.3645833333333333</v>
      </c>
      <c r="D173" s="111" t="s">
        <v>271</v>
      </c>
      <c r="E173" s="113">
        <v>23374.0</v>
      </c>
      <c r="F173" s="114">
        <v>44628.0</v>
      </c>
      <c r="G173" s="111" t="s">
        <v>6519</v>
      </c>
      <c r="H173" s="111" t="s">
        <v>6520</v>
      </c>
      <c r="I173" s="111" t="s">
        <v>6521</v>
      </c>
      <c r="J173" s="111" t="s">
        <v>6489</v>
      </c>
      <c r="K173" s="115"/>
      <c r="L173" s="115" t="s">
        <v>6522</v>
      </c>
      <c r="M173" s="115" t="b">
        <f>IFS($A173=FALSE,"", countif(VLOOKUP($B173,'MARCH 2022'!C:C,1,FALSE),$B173)&gt;=1,TRUE,countif(VLOOKUP($B173,'MARCH 2022'!C:C,1,FALSE),$B173)=0,FALSE)</f>
        <v>1</v>
      </c>
      <c r="N173" s="115" t="b">
        <f>IFS($A173=FALSE,"", countif(VLOOKUP($A173,'MARCH 2022'!A:A,1,FALSE),$A173)&gt;=1,TRUE,countif(VLOOKUP($A173,'MARCH 2022'!A:A,1,FALSE),$A173)=0,FALSE)</f>
        <v>1</v>
      </c>
      <c r="O173" s="111"/>
    </row>
    <row r="174" ht="15.75" customHeight="1">
      <c r="A174" s="110" t="str">
        <f t="shared" si="1"/>
        <v>922044628</v>
      </c>
      <c r="B174" s="111">
        <v>9220.0</v>
      </c>
      <c r="C174" s="112">
        <v>0.3854166666666667</v>
      </c>
      <c r="D174" s="111" t="s">
        <v>85</v>
      </c>
      <c r="E174" s="113">
        <v>17546.0</v>
      </c>
      <c r="F174" s="114">
        <v>44628.0</v>
      </c>
      <c r="G174" s="111" t="s">
        <v>6523</v>
      </c>
      <c r="H174" s="111" t="s">
        <v>6520</v>
      </c>
      <c r="I174" s="111" t="s">
        <v>6521</v>
      </c>
      <c r="J174" s="111" t="s">
        <v>6427</v>
      </c>
      <c r="K174" s="115"/>
      <c r="L174" s="115" t="s">
        <v>6522</v>
      </c>
      <c r="M174" s="115" t="b">
        <f>IFS($A174=FALSE,"", countif(VLOOKUP($B174,'MARCH 2022'!C:C,1,FALSE),$B174)&gt;=1,TRUE,countif(VLOOKUP($B174,'MARCH 2022'!C:C,1,FALSE),$B174)=0,FALSE)</f>
        <v>1</v>
      </c>
      <c r="N174" s="115" t="b">
        <f>IFS($A174=FALSE,"", countif(VLOOKUP($A174,'MARCH 2022'!A:A,1,FALSE),$A174)&gt;=1,TRUE,countif(VLOOKUP($A174,'MARCH 2022'!A:A,1,FALSE),$A174)=0,FALSE)</f>
        <v>1</v>
      </c>
      <c r="O174" s="111"/>
    </row>
    <row r="175" ht="15.75" customHeight="1">
      <c r="A175" s="110" t="str">
        <f t="shared" si="1"/>
        <v>1650244628</v>
      </c>
      <c r="B175" s="111">
        <v>16502.0</v>
      </c>
      <c r="C175" s="112">
        <v>0.3958333333333333</v>
      </c>
      <c r="D175" s="111" t="s">
        <v>4735</v>
      </c>
      <c r="E175" s="113">
        <v>28281.0</v>
      </c>
      <c r="F175" s="114">
        <v>44628.0</v>
      </c>
      <c r="G175" s="111" t="s">
        <v>6519</v>
      </c>
      <c r="H175" s="111" t="s">
        <v>6526</v>
      </c>
      <c r="I175" s="111" t="s">
        <v>6527</v>
      </c>
      <c r="J175" s="111" t="s">
        <v>6416</v>
      </c>
      <c r="K175" s="115"/>
      <c r="L175" s="115" t="s">
        <v>6522</v>
      </c>
      <c r="M175" s="115" t="b">
        <f>IFS($A175=FALSE,"", countif(VLOOKUP($B175,'MARCH 2022'!C:C,1,FALSE),$B175)&gt;=1,TRUE,countif(VLOOKUP($B175,'MARCH 2022'!C:C,1,FALSE),$B175)=0,FALSE)</f>
        <v>1</v>
      </c>
      <c r="N175" s="115" t="b">
        <f>IFS($A175=FALSE,"", countif(VLOOKUP($A175,'MARCH 2022'!A:A,1,FALSE),$A175)&gt;=1,TRUE,countif(VLOOKUP($A175,'MARCH 2022'!A:A,1,FALSE),$A175)=0,FALSE)</f>
        <v>1</v>
      </c>
      <c r="O175" s="111"/>
    </row>
    <row r="176" ht="15.75" customHeight="1">
      <c r="A176" s="110" t="str">
        <f t="shared" si="1"/>
        <v>1316744628</v>
      </c>
      <c r="B176" s="111">
        <v>13167.0</v>
      </c>
      <c r="C176" s="112">
        <v>0.3958333333333333</v>
      </c>
      <c r="D176" s="111" t="s">
        <v>2021</v>
      </c>
      <c r="E176" s="113">
        <v>14721.0</v>
      </c>
      <c r="F176" s="114">
        <v>44628.0</v>
      </c>
      <c r="G176" s="111" t="s">
        <v>6523</v>
      </c>
      <c r="H176" s="111" t="s">
        <v>6520</v>
      </c>
      <c r="I176" s="111" t="s">
        <v>6524</v>
      </c>
      <c r="J176" s="111" t="s">
        <v>6374</v>
      </c>
      <c r="K176" s="115"/>
      <c r="L176" s="115" t="s">
        <v>6522</v>
      </c>
      <c r="M176" s="115" t="b">
        <f>IFS($A176=FALSE,"", countif(VLOOKUP($B176,'MARCH 2022'!C:C,1,FALSE),$B176)&gt;=1,TRUE,countif(VLOOKUP($B176,'MARCH 2022'!C:C,1,FALSE),$B176)=0,FALSE)</f>
        <v>1</v>
      </c>
      <c r="N176" s="115" t="b">
        <f>IFS($A176=FALSE,"", countif(VLOOKUP($A176,'MARCH 2022'!A:A,1,FALSE),$A176)&gt;=1,TRUE,countif(VLOOKUP($A176,'MARCH 2022'!A:A,1,FALSE),$A176)=0,FALSE)</f>
        <v>1</v>
      </c>
      <c r="O176" s="111"/>
    </row>
    <row r="177" ht="15.75" customHeight="1">
      <c r="A177" s="110" t="str">
        <f t="shared" si="1"/>
        <v>1288444628</v>
      </c>
      <c r="B177" s="111">
        <v>12884.0</v>
      </c>
      <c r="C177" s="112">
        <v>0.40625</v>
      </c>
      <c r="D177" s="111" t="s">
        <v>1787</v>
      </c>
      <c r="E177" s="113">
        <v>25501.0</v>
      </c>
      <c r="F177" s="114">
        <v>44628.0</v>
      </c>
      <c r="G177" s="111" t="s">
        <v>6519</v>
      </c>
      <c r="H177" s="111" t="s">
        <v>6520</v>
      </c>
      <c r="I177" s="111" t="s">
        <v>6521</v>
      </c>
      <c r="J177" s="111" t="s">
        <v>6414</v>
      </c>
      <c r="K177" s="115"/>
      <c r="L177" s="115" t="s">
        <v>6522</v>
      </c>
      <c r="M177" s="115" t="b">
        <f>IFS($A177=FALSE,"", countif(VLOOKUP($B177,'MARCH 2022'!C:C,1,FALSE),$B177)&gt;=1,TRUE,countif(VLOOKUP($B177,'MARCH 2022'!C:C,1,FALSE),$B177)=0,FALSE)</f>
        <v>1</v>
      </c>
      <c r="N177" s="115" t="b">
        <f>IFS($A177=FALSE,"", countif(VLOOKUP($A177,'MARCH 2022'!A:A,1,FALSE),$A177)&gt;=1,TRUE,countif(VLOOKUP($A177,'MARCH 2022'!A:A,1,FALSE),$A177)=0,FALSE)</f>
        <v>1</v>
      </c>
      <c r="O177" s="111"/>
    </row>
    <row r="178" ht="15.75" customHeight="1">
      <c r="A178" s="110" t="str">
        <f t="shared" si="1"/>
        <v>1533744628</v>
      </c>
      <c r="B178" s="111">
        <v>15337.0</v>
      </c>
      <c r="C178" s="112">
        <v>0.4166666666666667</v>
      </c>
      <c r="D178" s="111" t="s">
        <v>3748</v>
      </c>
      <c r="E178" s="113">
        <v>29323.0</v>
      </c>
      <c r="F178" s="114">
        <v>44628.0</v>
      </c>
      <c r="G178" s="111" t="s">
        <v>6523</v>
      </c>
      <c r="H178" s="111" t="s">
        <v>6520</v>
      </c>
      <c r="I178" s="111" t="s">
        <v>6524</v>
      </c>
      <c r="J178" s="111" t="s">
        <v>6407</v>
      </c>
      <c r="K178" s="115"/>
      <c r="L178" s="115" t="s">
        <v>6522</v>
      </c>
      <c r="M178" s="115" t="b">
        <f>IFS($A178=FALSE,"", countif(VLOOKUP($B178,'MARCH 2022'!C:C,1,FALSE),$B178)&gt;=1,TRUE,countif(VLOOKUP($B178,'MARCH 2022'!C:C,1,FALSE),$B178)=0,FALSE)</f>
        <v>1</v>
      </c>
      <c r="N178" s="115" t="b">
        <f>IFS($A178=FALSE,"", countif(VLOOKUP($A178,'MARCH 2022'!A:A,1,FALSE),$A178)&gt;=1,TRUE,countif(VLOOKUP($A178,'MARCH 2022'!A:A,1,FALSE),$A178)=0,FALSE)</f>
        <v>1</v>
      </c>
      <c r="O178" s="111"/>
    </row>
    <row r="179" ht="15.75" customHeight="1">
      <c r="A179" s="110" t="str">
        <f t="shared" si="1"/>
        <v>1130344628</v>
      </c>
      <c r="B179" s="111">
        <v>11303.0</v>
      </c>
      <c r="C179" s="112">
        <v>0.4479166666666667</v>
      </c>
      <c r="D179" s="111" t="s">
        <v>897</v>
      </c>
      <c r="E179" s="113">
        <v>17223.0</v>
      </c>
      <c r="F179" s="114">
        <v>44628.0</v>
      </c>
      <c r="G179" s="111" t="s">
        <v>6523</v>
      </c>
      <c r="H179" s="111" t="s">
        <v>6526</v>
      </c>
      <c r="I179" s="111" t="s">
        <v>6527</v>
      </c>
      <c r="J179" s="111" t="s">
        <v>6489</v>
      </c>
      <c r="K179" s="115"/>
      <c r="L179" s="115" t="s">
        <v>6522</v>
      </c>
      <c r="M179" s="115" t="b">
        <f>IFS($A179=FALSE,"", countif(VLOOKUP($B179,'MARCH 2022'!C:C,1,FALSE),$B179)&gt;=1,TRUE,countif(VLOOKUP($B179,'MARCH 2022'!C:C,1,FALSE),$B179)=0,FALSE)</f>
        <v>1</v>
      </c>
      <c r="N179" s="115" t="b">
        <f>IFS($A179=FALSE,"", countif(VLOOKUP($A179,'MARCH 2022'!A:A,1,FALSE),$A179)&gt;=1,TRUE,countif(VLOOKUP($A179,'MARCH 2022'!A:A,1,FALSE),$A179)=0,FALSE)</f>
        <v>1</v>
      </c>
      <c r="O179" s="111"/>
    </row>
    <row r="180" ht="15.75" customHeight="1">
      <c r="A180" s="110" t="str">
        <f t="shared" si="1"/>
        <v>1771444628</v>
      </c>
      <c r="B180" s="111">
        <v>17714.0</v>
      </c>
      <c r="C180" s="112">
        <v>0.46875</v>
      </c>
      <c r="D180" s="111" t="s">
        <v>5628</v>
      </c>
      <c r="E180" s="113">
        <v>27440.0</v>
      </c>
      <c r="F180" s="114">
        <v>44628.0</v>
      </c>
      <c r="G180" s="111" t="s">
        <v>6523</v>
      </c>
      <c r="H180" s="111" t="s">
        <v>6526</v>
      </c>
      <c r="I180" s="111" t="s">
        <v>6527</v>
      </c>
      <c r="J180" s="111" t="s">
        <v>6444</v>
      </c>
      <c r="K180" s="115"/>
      <c r="L180" s="115" t="s">
        <v>6522</v>
      </c>
      <c r="M180" s="115" t="b">
        <f>IFS($A180=FALSE,"", countif(VLOOKUP($B180,'MARCH 2022'!C:C,1,FALSE),$B180)&gt;=1,TRUE,countif(VLOOKUP($B180,'MARCH 2022'!C:C,1,FALSE),$B180)=0,FALSE)</f>
        <v>1</v>
      </c>
      <c r="N180" s="115" t="b">
        <f>IFS($A180=FALSE,"", countif(VLOOKUP($A180,'MARCH 2022'!A:A,1,FALSE),$A180)&gt;=1,TRUE,countif(VLOOKUP($A180,'MARCH 2022'!A:A,1,FALSE),$A180)=0,FALSE)</f>
        <v>1</v>
      </c>
      <c r="O180" s="111"/>
    </row>
    <row r="181" ht="15.75" customHeight="1">
      <c r="A181" s="110" t="str">
        <f t="shared" si="1"/>
        <v>1468244628</v>
      </c>
      <c r="B181" s="111">
        <v>14682.0</v>
      </c>
      <c r="C181" s="112">
        <v>0.5416666666666666</v>
      </c>
      <c r="D181" s="111" t="s">
        <v>3206</v>
      </c>
      <c r="E181" s="113">
        <v>33997.0</v>
      </c>
      <c r="F181" s="114">
        <v>44628.0</v>
      </c>
      <c r="G181" s="111" t="s">
        <v>6519</v>
      </c>
      <c r="H181" s="111" t="s">
        <v>6520</v>
      </c>
      <c r="I181" s="111" t="s">
        <v>6524</v>
      </c>
      <c r="J181" s="111" t="s">
        <v>6427</v>
      </c>
      <c r="K181" s="115"/>
      <c r="L181" s="115" t="s">
        <v>6522</v>
      </c>
      <c r="M181" s="115" t="b">
        <f>IFS($A181=FALSE,"", countif(VLOOKUP($B181,'MARCH 2022'!C:C,1,FALSE),$B181)&gt;=1,TRUE,countif(VLOOKUP($B181,'MARCH 2022'!C:C,1,FALSE),$B181)=0,FALSE)</f>
        <v>1</v>
      </c>
      <c r="N181" s="115" t="b">
        <f>IFS($A181=FALSE,"", countif(VLOOKUP($A181,'MARCH 2022'!A:A,1,FALSE),$A181)&gt;=1,TRUE,countif(VLOOKUP($A181,'MARCH 2022'!A:A,1,FALSE),$A181)=0,FALSE)</f>
        <v>1</v>
      </c>
      <c r="O181" s="111"/>
    </row>
    <row r="182" ht="15.75" customHeight="1">
      <c r="A182" s="110" t="str">
        <f t="shared" si="1"/>
        <v>1568944628</v>
      </c>
      <c r="B182" s="111">
        <v>15689.0</v>
      </c>
      <c r="C182" s="112">
        <v>0.5520833333333334</v>
      </c>
      <c r="D182" s="111" t="s">
        <v>4054</v>
      </c>
      <c r="E182" s="113">
        <v>25981.0</v>
      </c>
      <c r="F182" s="114">
        <v>44628.0</v>
      </c>
      <c r="G182" s="111" t="s">
        <v>6523</v>
      </c>
      <c r="H182" s="111" t="s">
        <v>6520</v>
      </c>
      <c r="I182" s="111" t="s">
        <v>6521</v>
      </c>
      <c r="J182" s="111" t="s">
        <v>6416</v>
      </c>
      <c r="K182" s="115"/>
      <c r="L182" s="115" t="s">
        <v>6522</v>
      </c>
      <c r="M182" s="115" t="b">
        <f>IFS($A182=FALSE,"", countif(VLOOKUP($B182,'MARCH 2022'!C:C,1,FALSE),$B182)&gt;=1,TRUE,countif(VLOOKUP($B182,'MARCH 2022'!C:C,1,FALSE),$B182)=0,FALSE)</f>
        <v>1</v>
      </c>
      <c r="N182" s="115" t="b">
        <f>IFS($A182=FALSE,"", countif(VLOOKUP($A182,'MARCH 2022'!A:A,1,FALSE),$A182)&gt;=1,TRUE,countif(VLOOKUP($A182,'MARCH 2022'!A:A,1,FALSE),$A182)=0,FALSE)</f>
        <v>1</v>
      </c>
      <c r="O182" s="111"/>
    </row>
    <row r="183" ht="15.75" customHeight="1">
      <c r="A183" s="110" t="str">
        <f t="shared" si="1"/>
        <v>1106544628</v>
      </c>
      <c r="B183" s="111">
        <v>11065.0</v>
      </c>
      <c r="C183" s="112">
        <v>0.5625</v>
      </c>
      <c r="D183" s="111" t="s">
        <v>789</v>
      </c>
      <c r="E183" s="113">
        <v>18803.0</v>
      </c>
      <c r="F183" s="114">
        <v>44628.0</v>
      </c>
      <c r="G183" s="111" t="s">
        <v>6519</v>
      </c>
      <c r="H183" s="111" t="s">
        <v>6520</v>
      </c>
      <c r="I183" s="111" t="s">
        <v>6521</v>
      </c>
      <c r="J183" s="111" t="s">
        <v>6384</v>
      </c>
      <c r="K183" s="115"/>
      <c r="L183" s="115" t="s">
        <v>6522</v>
      </c>
      <c r="M183" s="115" t="b">
        <f>IFS($A183=FALSE,"", countif(VLOOKUP($B183,'MARCH 2022'!C:C,1,FALSE),$B183)&gt;=1,TRUE,countif(VLOOKUP($B183,'MARCH 2022'!C:C,1,FALSE),$B183)=0,FALSE)</f>
        <v>1</v>
      </c>
      <c r="N183" s="115" t="b">
        <f>IFS($A183=FALSE,"", countif(VLOOKUP($A183,'MARCH 2022'!A:A,1,FALSE),$A183)&gt;=1,TRUE,countif(VLOOKUP($A183,'MARCH 2022'!A:A,1,FALSE),$A183)=0,FALSE)</f>
        <v>1</v>
      </c>
      <c r="O183" s="111"/>
    </row>
    <row r="184" ht="15.75" customHeight="1">
      <c r="A184" s="110" t="str">
        <f t="shared" si="1"/>
        <v>1340544628</v>
      </c>
      <c r="B184" s="111">
        <v>13405.0</v>
      </c>
      <c r="C184" s="112">
        <v>0.5729166666666666</v>
      </c>
      <c r="D184" s="111" t="s">
        <v>2203</v>
      </c>
      <c r="E184" s="113">
        <v>23929.0</v>
      </c>
      <c r="F184" s="114">
        <v>44628.0</v>
      </c>
      <c r="G184" s="111" t="s">
        <v>6519</v>
      </c>
      <c r="H184" s="111" t="s">
        <v>6520</v>
      </c>
      <c r="I184" s="111" t="s">
        <v>6524</v>
      </c>
      <c r="J184" s="111" t="s">
        <v>6407</v>
      </c>
      <c r="K184" s="115"/>
      <c r="L184" s="115" t="s">
        <v>6522</v>
      </c>
      <c r="M184" s="115" t="b">
        <f>IFS($A184=FALSE,"", countif(VLOOKUP($B184,'MARCH 2022'!C:C,1,FALSE),$B184)&gt;=1,TRUE,countif(VLOOKUP($B184,'MARCH 2022'!C:C,1,FALSE),$B184)=0,FALSE)</f>
        <v>1</v>
      </c>
      <c r="N184" s="115" t="b">
        <f>IFS($A184=FALSE,"", countif(VLOOKUP($A184,'MARCH 2022'!A:A,1,FALSE),$A184)&gt;=1,TRUE,countif(VLOOKUP($A184,'MARCH 2022'!A:A,1,FALSE),$A184)=0,FALSE)</f>
        <v>1</v>
      </c>
      <c r="O184" s="111"/>
    </row>
    <row r="185" ht="15.75" customHeight="1">
      <c r="A185" s="110" t="str">
        <f t="shared" si="1"/>
        <v>1049544628</v>
      </c>
      <c r="B185" s="111">
        <v>10495.0</v>
      </c>
      <c r="C185" s="112">
        <v>0.5729166666666666</v>
      </c>
      <c r="D185" s="111" t="s">
        <v>569</v>
      </c>
      <c r="E185" s="113">
        <v>25088.0</v>
      </c>
      <c r="F185" s="114">
        <v>44628.0</v>
      </c>
      <c r="G185" s="111" t="s">
        <v>6523</v>
      </c>
      <c r="H185" s="111" t="s">
        <v>6520</v>
      </c>
      <c r="I185" s="111" t="s">
        <v>6521</v>
      </c>
      <c r="J185" s="111" t="s">
        <v>6489</v>
      </c>
      <c r="K185" s="115"/>
      <c r="L185" s="115" t="s">
        <v>6522</v>
      </c>
      <c r="M185" s="115" t="b">
        <f>IFS($A185=FALSE,"", countif(VLOOKUP($B185,'MARCH 2022'!C:C,1,FALSE),$B185)&gt;=1,TRUE,countif(VLOOKUP($B185,'MARCH 2022'!C:C,1,FALSE),$B185)=0,FALSE)</f>
        <v>1</v>
      </c>
      <c r="N185" s="115" t="b">
        <f>IFS($A185=FALSE,"", countif(VLOOKUP($A185,'MARCH 2022'!A:A,1,FALSE),$A185)&gt;=1,TRUE,countif(VLOOKUP($A185,'MARCH 2022'!A:A,1,FALSE),$A185)=0,FALSE)</f>
        <v>1</v>
      </c>
      <c r="O185" s="111"/>
    </row>
    <row r="186" ht="15.75" customHeight="1">
      <c r="A186" s="110" t="str">
        <f t="shared" si="1"/>
        <v>1318044628</v>
      </c>
      <c r="B186" s="111">
        <v>13180.0</v>
      </c>
      <c r="C186" s="112">
        <v>0.5729166666666666</v>
      </c>
      <c r="D186" s="111" t="s">
        <v>2031</v>
      </c>
      <c r="E186" s="113">
        <v>14986.0</v>
      </c>
      <c r="F186" s="114">
        <v>44628.0</v>
      </c>
      <c r="G186" s="111" t="s">
        <v>6523</v>
      </c>
      <c r="H186" s="111" t="s">
        <v>6526</v>
      </c>
      <c r="I186" s="111" t="s">
        <v>6529</v>
      </c>
      <c r="J186" s="111" t="s">
        <v>6427</v>
      </c>
      <c r="K186" s="115"/>
      <c r="L186" s="115" t="s">
        <v>6522</v>
      </c>
      <c r="M186" s="115" t="b">
        <f>IFS($A186=FALSE,"", countif(VLOOKUP($B186,'MARCH 2022'!C:C,1,FALSE),$B186)&gt;=1,TRUE,countif(VLOOKUP($B186,'MARCH 2022'!C:C,1,FALSE),$B186)=0,FALSE)</f>
        <v>1</v>
      </c>
      <c r="N186" s="115" t="b">
        <f>IFS($A186=FALSE,"", countif(VLOOKUP($A186,'MARCH 2022'!A:A,1,FALSE),$A186)&gt;=1,TRUE,countif(VLOOKUP($A186,'MARCH 2022'!A:A,1,FALSE),$A186)=0,FALSE)</f>
        <v>1</v>
      </c>
      <c r="O186" s="111"/>
    </row>
    <row r="187" ht="15.75" customHeight="1">
      <c r="A187" s="110" t="str">
        <f t="shared" si="1"/>
        <v>1707644628</v>
      </c>
      <c r="B187" s="111">
        <v>17076.0</v>
      </c>
      <c r="C187" s="112">
        <v>0.5833333333333334</v>
      </c>
      <c r="D187" s="111" t="s">
        <v>5182</v>
      </c>
      <c r="E187" s="113">
        <v>25317.0</v>
      </c>
      <c r="F187" s="114">
        <v>44628.0</v>
      </c>
      <c r="G187" s="111" t="s">
        <v>6523</v>
      </c>
      <c r="H187" s="111" t="s">
        <v>6526</v>
      </c>
      <c r="I187" s="111" t="s">
        <v>6527</v>
      </c>
      <c r="J187" s="111" t="s">
        <v>6489</v>
      </c>
      <c r="K187" s="115"/>
      <c r="L187" s="115" t="s">
        <v>6522</v>
      </c>
      <c r="M187" s="115" t="b">
        <f>IFS($A187=FALSE,"", countif(VLOOKUP($B187,'MARCH 2022'!C:C,1,FALSE),$B187)&gt;=1,TRUE,countif(VLOOKUP($B187,'MARCH 2022'!C:C,1,FALSE),$B187)=0,FALSE)</f>
        <v>1</v>
      </c>
      <c r="N187" s="115" t="b">
        <f>IFS($A187=FALSE,"", countif(VLOOKUP($A187,'MARCH 2022'!A:A,1,FALSE),$A187)&gt;=1,TRUE,countif(VLOOKUP($A187,'MARCH 2022'!A:A,1,FALSE),$A187)=0,FALSE)</f>
        <v>1</v>
      </c>
      <c r="O187" s="111"/>
    </row>
    <row r="188" ht="15.75" customHeight="1">
      <c r="A188" s="110" t="str">
        <f t="shared" si="1"/>
        <v>1427544628</v>
      </c>
      <c r="B188" s="111">
        <v>14275.0</v>
      </c>
      <c r="C188" s="112">
        <v>0.5833333333333334</v>
      </c>
      <c r="D188" s="111" t="s">
        <v>2874</v>
      </c>
      <c r="E188" s="113">
        <v>14212.0</v>
      </c>
      <c r="F188" s="114">
        <v>44628.0</v>
      </c>
      <c r="G188" s="111" t="s">
        <v>6523</v>
      </c>
      <c r="H188" s="111" t="s">
        <v>6520</v>
      </c>
      <c r="I188" s="111" t="s">
        <v>6524</v>
      </c>
      <c r="J188" s="111" t="s">
        <v>6385</v>
      </c>
      <c r="K188" s="115"/>
      <c r="L188" s="115" t="s">
        <v>6522</v>
      </c>
      <c r="M188" s="115" t="b">
        <f>IFS($A188=FALSE,"", countif(VLOOKUP($B188,'MARCH 2022'!C:C,1,FALSE),$B188)&gt;=1,TRUE,countif(VLOOKUP($B188,'MARCH 2022'!C:C,1,FALSE),$B188)=0,FALSE)</f>
        <v>1</v>
      </c>
      <c r="N188" s="115" t="b">
        <f>IFS($A188=FALSE,"", countif(VLOOKUP($A188,'MARCH 2022'!A:A,1,FALSE),$A188)&gt;=1,TRUE,countif(VLOOKUP($A188,'MARCH 2022'!A:A,1,FALSE),$A188)=0,FALSE)</f>
        <v>1</v>
      </c>
      <c r="O188" s="111"/>
    </row>
    <row r="189" ht="15.75" customHeight="1">
      <c r="A189" s="110" t="str">
        <f t="shared" si="1"/>
        <v>1185244628</v>
      </c>
      <c r="B189" s="111">
        <v>11852.0</v>
      </c>
      <c r="C189" s="112">
        <v>0.59375</v>
      </c>
      <c r="D189" s="111" t="s">
        <v>1143</v>
      </c>
      <c r="E189" s="113">
        <v>12931.0</v>
      </c>
      <c r="F189" s="114">
        <v>44628.0</v>
      </c>
      <c r="G189" s="111" t="s">
        <v>6519</v>
      </c>
      <c r="H189" s="111" t="s">
        <v>6526</v>
      </c>
      <c r="I189" s="111" t="s">
        <v>6527</v>
      </c>
      <c r="J189" s="111" t="s">
        <v>6384</v>
      </c>
      <c r="K189" s="115"/>
      <c r="L189" s="115" t="s">
        <v>6522</v>
      </c>
      <c r="M189" s="115" t="b">
        <f>IFS($A189=FALSE,"", countif(VLOOKUP($B189,'MARCH 2022'!C:C,1,FALSE),$B189)&gt;=1,TRUE,countif(VLOOKUP($B189,'MARCH 2022'!C:C,1,FALSE),$B189)=0,FALSE)</f>
        <v>1</v>
      </c>
      <c r="N189" s="115" t="b">
        <f>IFS($A189=FALSE,"", countif(VLOOKUP($A189,'MARCH 2022'!A:A,1,FALSE),$A189)&gt;=1,TRUE,countif(VLOOKUP($A189,'MARCH 2022'!A:A,1,FALSE),$A189)=0,FALSE)</f>
        <v>1</v>
      </c>
      <c r="O189" s="111"/>
    </row>
    <row r="190" ht="15.75" customHeight="1">
      <c r="A190" s="110" t="str">
        <f t="shared" si="1"/>
        <v>1751344628</v>
      </c>
      <c r="B190" s="111">
        <v>17513.0</v>
      </c>
      <c r="C190" s="112">
        <v>0.6145833333333334</v>
      </c>
      <c r="D190" s="111" t="s">
        <v>5522</v>
      </c>
      <c r="E190" s="113">
        <v>13668.0</v>
      </c>
      <c r="F190" s="114">
        <v>44628.0</v>
      </c>
      <c r="G190" s="111" t="s">
        <v>6523</v>
      </c>
      <c r="H190" s="111" t="s">
        <v>6526</v>
      </c>
      <c r="I190" s="111" t="s">
        <v>6527</v>
      </c>
      <c r="J190" s="111" t="s">
        <v>6427</v>
      </c>
      <c r="K190" s="115"/>
      <c r="L190" s="115" t="s">
        <v>6522</v>
      </c>
      <c r="M190" s="115" t="b">
        <f>IFS($A190=FALSE,"", countif(VLOOKUP($B190,'MARCH 2022'!C:C,1,FALSE),$B190)&gt;=1,TRUE,countif(VLOOKUP($B190,'MARCH 2022'!C:C,1,FALSE),$B190)=0,FALSE)</f>
        <v>1</v>
      </c>
      <c r="N190" s="115" t="b">
        <f>IFS($A190=FALSE,"", countif(VLOOKUP($A190,'MARCH 2022'!A:A,1,FALSE),$A190)&gt;=1,TRUE,countif(VLOOKUP($A190,'MARCH 2022'!A:A,1,FALSE),$A190)=0,FALSE)</f>
        <v>1</v>
      </c>
      <c r="O190" s="111"/>
    </row>
    <row r="191" ht="15.75" customHeight="1">
      <c r="A191" s="110" t="str">
        <f t="shared" si="1"/>
        <v>1547944628</v>
      </c>
      <c r="B191" s="111">
        <v>15479.0</v>
      </c>
      <c r="C191" s="112">
        <v>0.625</v>
      </c>
      <c r="D191" s="111" t="s">
        <v>3868</v>
      </c>
      <c r="E191" s="113">
        <v>28397.0</v>
      </c>
      <c r="F191" s="114">
        <v>44628.0</v>
      </c>
      <c r="G191" s="111" t="s">
        <v>6523</v>
      </c>
      <c r="H191" s="111" t="s">
        <v>6520</v>
      </c>
      <c r="I191" s="111" t="s">
        <v>6524</v>
      </c>
      <c r="J191" s="111" t="s">
        <v>6492</v>
      </c>
      <c r="K191" s="115"/>
      <c r="L191" s="115" t="s">
        <v>6522</v>
      </c>
      <c r="M191" s="115" t="b">
        <f>IFS($A191=FALSE,"", countif(VLOOKUP($B191,'MARCH 2022'!C:C,1,FALSE),$B191)&gt;=1,TRUE,countif(VLOOKUP($B191,'MARCH 2022'!C:C,1,FALSE),$B191)=0,FALSE)</f>
        <v>1</v>
      </c>
      <c r="N191" s="115" t="b">
        <f>IFS($A191=FALSE,"", countif(VLOOKUP($A191,'MARCH 2022'!A:A,1,FALSE),$A191)&gt;=1,TRUE,countif(VLOOKUP($A191,'MARCH 2022'!A:A,1,FALSE),$A191)=0,FALSE)</f>
        <v>1</v>
      </c>
      <c r="O191" s="111"/>
    </row>
    <row r="192" ht="15.75" customHeight="1">
      <c r="A192" s="110" t="str">
        <f t="shared" si="1"/>
        <v>1648344628</v>
      </c>
      <c r="B192" s="111">
        <v>16483.0</v>
      </c>
      <c r="C192" s="112">
        <v>0.6354166666666666</v>
      </c>
      <c r="D192" s="111" t="s">
        <v>4721</v>
      </c>
      <c r="E192" s="113">
        <v>25298.0</v>
      </c>
      <c r="F192" s="114">
        <v>44628.0</v>
      </c>
      <c r="G192" s="111" t="s">
        <v>6523</v>
      </c>
      <c r="H192" s="111" t="s">
        <v>6520</v>
      </c>
      <c r="I192" s="111" t="s">
        <v>6524</v>
      </c>
      <c r="J192" s="111" t="s">
        <v>6444</v>
      </c>
      <c r="K192" s="115"/>
      <c r="L192" s="115" t="s">
        <v>6522</v>
      </c>
      <c r="M192" s="115" t="b">
        <f>IFS($A192=FALSE,"", countif(VLOOKUP($B192,'MARCH 2022'!C:C,1,FALSE),$B192)&gt;=1,TRUE,countif(VLOOKUP($B192,'MARCH 2022'!C:C,1,FALSE),$B192)=0,FALSE)</f>
        <v>1</v>
      </c>
      <c r="N192" s="115" t="b">
        <f>IFS($A192=FALSE,"", countif(VLOOKUP($A192,'MARCH 2022'!A:A,1,FALSE),$A192)&gt;=1,TRUE,countif(VLOOKUP($A192,'MARCH 2022'!A:A,1,FALSE),$A192)=0,FALSE)</f>
        <v>1</v>
      </c>
      <c r="O192" s="111"/>
    </row>
    <row r="193" ht="15.75" customHeight="1">
      <c r="A193" s="110" t="str">
        <f t="shared" si="1"/>
        <v>1747244628</v>
      </c>
      <c r="B193" s="111">
        <v>17472.0</v>
      </c>
      <c r="C193" s="112">
        <v>0.6458333333333334</v>
      </c>
      <c r="D193" s="111" t="s">
        <v>5941</v>
      </c>
      <c r="E193" s="113">
        <v>23857.0</v>
      </c>
      <c r="F193" s="114">
        <v>44628.0</v>
      </c>
      <c r="G193" s="111" t="s">
        <v>6523</v>
      </c>
      <c r="H193" s="111" t="s">
        <v>6520</v>
      </c>
      <c r="I193" s="111" t="s">
        <v>6524</v>
      </c>
      <c r="J193" s="111" t="s">
        <v>6420</v>
      </c>
      <c r="K193" s="115"/>
      <c r="L193" s="115" t="s">
        <v>6522</v>
      </c>
      <c r="M193" s="115" t="b">
        <f>IFS($A193=FALSE,"", countif(VLOOKUP($B193,'MARCH 2022'!C:C,1,FALSE),$B193)&gt;=1,TRUE,countif(VLOOKUP($B193,'MARCH 2022'!C:C,1,FALSE),$B193)=0,FALSE)</f>
        <v>1</v>
      </c>
      <c r="N193" s="115" t="b">
        <f>IFS($A193=FALSE,"", countif(VLOOKUP($A193,'MARCH 2022'!A:A,1,FALSE),$A193)&gt;=1,TRUE,countif(VLOOKUP($A193,'MARCH 2022'!A:A,1,FALSE),$A193)=0,FALSE)</f>
        <v>1</v>
      </c>
      <c r="O193" s="111"/>
    </row>
    <row r="194" ht="15.75" customHeight="1">
      <c r="A194" s="110" t="str">
        <f t="shared" si="1"/>
        <v>1760644628</v>
      </c>
      <c r="B194" s="111">
        <v>17606.0</v>
      </c>
      <c r="C194" s="112">
        <v>0.6458333333333334</v>
      </c>
      <c r="D194" s="111" t="s">
        <v>6014</v>
      </c>
      <c r="E194" s="113">
        <v>17098.0</v>
      </c>
      <c r="F194" s="114">
        <v>44628.0</v>
      </c>
      <c r="G194" s="111" t="s">
        <v>6523</v>
      </c>
      <c r="H194" s="111" t="s">
        <v>6520</v>
      </c>
      <c r="I194" s="111" t="s">
        <v>6524</v>
      </c>
      <c r="J194" s="111" t="s">
        <v>6391</v>
      </c>
      <c r="K194" s="115"/>
      <c r="L194" s="115" t="s">
        <v>6522</v>
      </c>
      <c r="M194" s="115" t="b">
        <f>IFS($A194=FALSE,"", countif(VLOOKUP($B194,'MARCH 2022'!C:C,1,FALSE),$B194)&gt;=1,TRUE,countif(VLOOKUP($B194,'MARCH 2022'!C:C,1,FALSE),$B194)=0,FALSE)</f>
        <v>1</v>
      </c>
      <c r="N194" s="115" t="b">
        <f>IFS($A194=FALSE,"", countif(VLOOKUP($A194,'MARCH 2022'!A:A,1,FALSE),$A194)&gt;=1,TRUE,countif(VLOOKUP($A194,'MARCH 2022'!A:A,1,FALSE),$A194)=0,FALSE)</f>
        <v>1</v>
      </c>
      <c r="O194" s="111"/>
    </row>
    <row r="195" ht="15.75" customHeight="1">
      <c r="A195" s="110" t="str">
        <f t="shared" si="1"/>
        <v>1182544629</v>
      </c>
      <c r="B195" s="111">
        <v>11825.0</v>
      </c>
      <c r="C195" s="112">
        <v>0.3333333333333333</v>
      </c>
      <c r="D195" s="111" t="s">
        <v>1126</v>
      </c>
      <c r="E195" s="113">
        <v>15279.0</v>
      </c>
      <c r="F195" s="114">
        <v>44629.0</v>
      </c>
      <c r="G195" s="111" t="s">
        <v>6519</v>
      </c>
      <c r="H195" s="111" t="s">
        <v>6520</v>
      </c>
      <c r="I195" s="111" t="s">
        <v>6521</v>
      </c>
      <c r="J195" s="111" t="s">
        <v>6384</v>
      </c>
      <c r="K195" s="115"/>
      <c r="L195" s="115" t="s">
        <v>6522</v>
      </c>
      <c r="M195" s="115" t="b">
        <f>IFS($A195=FALSE,"", countif(VLOOKUP($B195,'MARCH 2022'!C:C,1,FALSE),$B195)&gt;=1,TRUE,countif(VLOOKUP($B195,'MARCH 2022'!C:C,1,FALSE),$B195)=0,FALSE)</f>
        <v>0</v>
      </c>
      <c r="N195" s="115" t="b">
        <f>IFS($A195=FALSE,"", countif(VLOOKUP($A195,'MARCH 2022'!A:A,1,FALSE),$A195)&gt;=1,TRUE,countif(VLOOKUP($A195,'MARCH 2022'!A:A,1,FALSE),$A195)=0,FALSE)</f>
        <v>0</v>
      </c>
      <c r="O195" s="111"/>
    </row>
    <row r="196" ht="15.75" customHeight="1">
      <c r="A196" s="110" t="str">
        <f t="shared" si="1"/>
        <v>1587944629</v>
      </c>
      <c r="B196" s="111">
        <v>15879.0</v>
      </c>
      <c r="C196" s="112">
        <v>0.3333333333333333</v>
      </c>
      <c r="D196" s="111" t="s">
        <v>4230</v>
      </c>
      <c r="E196" s="113">
        <v>28372.0</v>
      </c>
      <c r="F196" s="114">
        <v>44629.0</v>
      </c>
      <c r="G196" s="111" t="s">
        <v>6519</v>
      </c>
      <c r="H196" s="111" t="s">
        <v>6520</v>
      </c>
      <c r="I196" s="111" t="s">
        <v>6524</v>
      </c>
      <c r="J196" s="111" t="s">
        <v>6489</v>
      </c>
      <c r="K196" s="115"/>
      <c r="L196" s="115" t="s">
        <v>6522</v>
      </c>
      <c r="M196" s="115" t="b">
        <f>IFS($A196=FALSE,"", countif(VLOOKUP($B196,'MARCH 2022'!C:C,1,FALSE),$B196)&gt;=1,TRUE,countif(VLOOKUP($B196,'MARCH 2022'!C:C,1,FALSE),$B196)=0,FALSE)</f>
        <v>0</v>
      </c>
      <c r="N196" s="115" t="b">
        <f>IFS($A196=FALSE,"", countif(VLOOKUP($A196,'MARCH 2022'!A:A,1,FALSE),$A196)&gt;=1,TRUE,countif(VLOOKUP($A196,'MARCH 2022'!A:A,1,FALSE),$A196)=0,FALSE)</f>
        <v>0</v>
      </c>
      <c r="O196" s="111"/>
    </row>
    <row r="197" ht="15.75" customHeight="1">
      <c r="A197" s="110" t="str">
        <f t="shared" si="1"/>
        <v>1070244629</v>
      </c>
      <c r="B197" s="111">
        <v>10702.0</v>
      </c>
      <c r="C197" s="112">
        <v>0.3541666666666667</v>
      </c>
      <c r="D197" s="111" t="s">
        <v>643</v>
      </c>
      <c r="E197" s="113">
        <v>18579.0</v>
      </c>
      <c r="F197" s="114">
        <v>44629.0</v>
      </c>
      <c r="G197" s="111" t="s">
        <v>6523</v>
      </c>
      <c r="H197" s="111" t="s">
        <v>6520</v>
      </c>
      <c r="I197" s="111" t="s">
        <v>6521</v>
      </c>
      <c r="J197" s="111" t="s">
        <v>6489</v>
      </c>
      <c r="K197" s="115"/>
      <c r="L197" s="115" t="s">
        <v>6522</v>
      </c>
      <c r="M197" s="115" t="b">
        <f>IFS($A197=FALSE,"", countif(VLOOKUP($B197,'MARCH 2022'!C:C,1,FALSE),$B197)&gt;=1,TRUE,countif(VLOOKUP($B197,'MARCH 2022'!C:C,1,FALSE),$B197)=0,FALSE)</f>
        <v>0</v>
      </c>
      <c r="N197" s="115" t="b">
        <f>IFS($A197=FALSE,"", countif(VLOOKUP($A197,'MARCH 2022'!A:A,1,FALSE),$A197)&gt;=1,TRUE,countif(VLOOKUP($A197,'MARCH 2022'!A:A,1,FALSE),$A197)=0,FALSE)</f>
        <v>0</v>
      </c>
      <c r="O197" s="111"/>
    </row>
    <row r="198" ht="15.75" customHeight="1">
      <c r="A198" s="110" t="str">
        <f t="shared" si="1"/>
        <v>986244629</v>
      </c>
      <c r="B198" s="111">
        <v>9862.0</v>
      </c>
      <c r="C198" s="112">
        <v>0.3541666666666667</v>
      </c>
      <c r="D198" s="111" t="s">
        <v>323</v>
      </c>
      <c r="E198" s="113">
        <v>18805.0</v>
      </c>
      <c r="F198" s="114">
        <v>44629.0</v>
      </c>
      <c r="G198" s="111" t="s">
        <v>6519</v>
      </c>
      <c r="H198" s="111" t="s">
        <v>6520</v>
      </c>
      <c r="I198" s="111" t="s">
        <v>6521</v>
      </c>
      <c r="J198" s="111" t="s">
        <v>6489</v>
      </c>
      <c r="K198" s="115"/>
      <c r="L198" s="115" t="s">
        <v>6522</v>
      </c>
      <c r="M198" s="115" t="b">
        <f>IFS($A198=FALSE,"", countif(VLOOKUP($B198,'MARCH 2022'!C:C,1,FALSE),$B198)&gt;=1,TRUE,countif(VLOOKUP($B198,'MARCH 2022'!C:C,1,FALSE),$B198)=0,FALSE)</f>
        <v>0</v>
      </c>
      <c r="N198" s="115" t="b">
        <f>IFS($A198=FALSE,"", countif(VLOOKUP($A198,'MARCH 2022'!A:A,1,FALSE),$A198)&gt;=1,TRUE,countif(VLOOKUP($A198,'MARCH 2022'!A:A,1,FALSE),$A198)=0,FALSE)</f>
        <v>0</v>
      </c>
      <c r="O198" s="111"/>
    </row>
    <row r="199" ht="15.75" customHeight="1">
      <c r="A199" s="110" t="str">
        <f t="shared" si="1"/>
        <v>1061344629</v>
      </c>
      <c r="B199" s="111">
        <v>10613.0</v>
      </c>
      <c r="C199" s="112">
        <v>0.3645833333333333</v>
      </c>
      <c r="D199" s="111" t="s">
        <v>606</v>
      </c>
      <c r="E199" s="113">
        <v>22017.0</v>
      </c>
      <c r="F199" s="114">
        <v>44629.0</v>
      </c>
      <c r="G199" s="111" t="s">
        <v>6523</v>
      </c>
      <c r="H199" s="111" t="s">
        <v>6520</v>
      </c>
      <c r="I199" s="111" t="s">
        <v>6521</v>
      </c>
      <c r="J199" s="111" t="s">
        <v>6372</v>
      </c>
      <c r="K199" s="115"/>
      <c r="L199" s="115" t="s">
        <v>6522</v>
      </c>
      <c r="M199" s="115" t="b">
        <f>IFS($A199=FALSE,"", countif(VLOOKUP($B199,'MARCH 2022'!C:C,1,FALSE),$B199)&gt;=1,TRUE,countif(VLOOKUP($B199,'MARCH 2022'!C:C,1,FALSE),$B199)=0,FALSE)</f>
        <v>0</v>
      </c>
      <c r="N199" s="115" t="b">
        <f>IFS($A199=FALSE,"", countif(VLOOKUP($A199,'MARCH 2022'!A:A,1,FALSE),$A199)&gt;=1,TRUE,countif(VLOOKUP($A199,'MARCH 2022'!A:A,1,FALSE),$A199)=0,FALSE)</f>
        <v>0</v>
      </c>
      <c r="O199" s="111"/>
    </row>
    <row r="200" ht="15.75" customHeight="1">
      <c r="A200" s="110" t="str">
        <f t="shared" si="1"/>
        <v>1824944629</v>
      </c>
      <c r="B200" s="111">
        <v>18249.0</v>
      </c>
      <c r="C200" s="112">
        <v>0.3645833333333333</v>
      </c>
      <c r="D200" s="111" t="s">
        <v>6534</v>
      </c>
      <c r="E200" s="113">
        <v>29156.0</v>
      </c>
      <c r="F200" s="114">
        <v>44629.0</v>
      </c>
      <c r="G200" s="111" t="s">
        <v>6525</v>
      </c>
      <c r="H200" s="111" t="s">
        <v>6526</v>
      </c>
      <c r="I200" s="111" t="s">
        <v>6529</v>
      </c>
      <c r="J200" s="111" t="s">
        <v>6427</v>
      </c>
      <c r="K200" s="115"/>
      <c r="L200" s="115" t="s">
        <v>6522</v>
      </c>
      <c r="M200" s="115" t="b">
        <f>IFS($A200=FALSE,"", countif(VLOOKUP($B200,'MARCH 2022'!C:C,1,FALSE),$B200)&gt;=1,TRUE,countif(VLOOKUP($B200,'MARCH 2022'!C:C,1,FALSE),$B200)=0,FALSE)</f>
        <v>0</v>
      </c>
      <c r="N200" s="115" t="b">
        <f>IFS($A200=FALSE,"", countif(VLOOKUP($A200,'MARCH 2022'!A:A,1,FALSE),$A200)&gt;=1,TRUE,countif(VLOOKUP($A200,'MARCH 2022'!A:A,1,FALSE),$A200)=0,FALSE)</f>
        <v>0</v>
      </c>
      <c r="O200" s="111"/>
    </row>
    <row r="201" ht="15.75" customHeight="1">
      <c r="A201" s="110" t="str">
        <f t="shared" si="1"/>
        <v>1590644629</v>
      </c>
      <c r="B201" s="111">
        <v>15906.0</v>
      </c>
      <c r="C201" s="112">
        <v>0.375</v>
      </c>
      <c r="D201" s="111" t="s">
        <v>4256</v>
      </c>
      <c r="E201" s="113">
        <v>19970.0</v>
      </c>
      <c r="F201" s="114">
        <v>44629.0</v>
      </c>
      <c r="G201" s="111" t="s">
        <v>6523</v>
      </c>
      <c r="H201" s="111" t="s">
        <v>6520</v>
      </c>
      <c r="I201" s="111" t="s">
        <v>6521</v>
      </c>
      <c r="J201" s="111" t="s">
        <v>6385</v>
      </c>
      <c r="K201" s="115"/>
      <c r="L201" s="115" t="s">
        <v>6522</v>
      </c>
      <c r="M201" s="115" t="b">
        <f>IFS($A201=FALSE,"", countif(VLOOKUP($B201,'MARCH 2022'!C:C,1,FALSE),$B201)&gt;=1,TRUE,countif(VLOOKUP($B201,'MARCH 2022'!C:C,1,FALSE),$B201)=0,FALSE)</f>
        <v>0</v>
      </c>
      <c r="N201" s="115" t="b">
        <f>IFS($A201=FALSE,"", countif(VLOOKUP($A201,'MARCH 2022'!A:A,1,FALSE),$A201)&gt;=1,TRUE,countif(VLOOKUP($A201,'MARCH 2022'!A:A,1,FALSE),$A201)=0,FALSE)</f>
        <v>0</v>
      </c>
      <c r="O201" s="111"/>
    </row>
    <row r="202" ht="15.75" customHeight="1">
      <c r="A202" s="110" t="str">
        <f t="shared" si="1"/>
        <v>1737244629</v>
      </c>
      <c r="B202" s="111">
        <v>17372.0</v>
      </c>
      <c r="C202" s="112">
        <v>0.375</v>
      </c>
      <c r="D202" s="111" t="s">
        <v>5418</v>
      </c>
      <c r="E202" s="113">
        <v>28927.0</v>
      </c>
      <c r="F202" s="114">
        <v>44629.0</v>
      </c>
      <c r="G202" s="111" t="s">
        <v>6523</v>
      </c>
      <c r="H202" s="111" t="s">
        <v>6520</v>
      </c>
      <c r="I202" s="111" t="s">
        <v>6524</v>
      </c>
      <c r="J202" s="111" t="s">
        <v>6416</v>
      </c>
      <c r="K202" s="115"/>
      <c r="L202" s="115" t="s">
        <v>6522</v>
      </c>
      <c r="M202" s="115" t="b">
        <f>IFS($A202=FALSE,"", countif(VLOOKUP($B202,'MARCH 2022'!C:C,1,FALSE),$B202)&gt;=1,TRUE,countif(VLOOKUP($B202,'MARCH 2022'!C:C,1,FALSE),$B202)=0,FALSE)</f>
        <v>0</v>
      </c>
      <c r="N202" s="115" t="b">
        <f>IFS($A202=FALSE,"", countif(VLOOKUP($A202,'MARCH 2022'!A:A,1,FALSE),$A202)&gt;=1,TRUE,countif(VLOOKUP($A202,'MARCH 2022'!A:A,1,FALSE),$A202)=0,FALSE)</f>
        <v>0</v>
      </c>
      <c r="O202" s="111"/>
    </row>
    <row r="203" ht="15.75" customHeight="1">
      <c r="A203" s="110" t="str">
        <f t="shared" si="1"/>
        <v>1209544629</v>
      </c>
      <c r="B203" s="111">
        <v>12095.0</v>
      </c>
      <c r="C203" s="112">
        <v>0.3854166666666667</v>
      </c>
      <c r="D203" s="111" t="s">
        <v>1269</v>
      </c>
      <c r="E203" s="113">
        <v>25056.0</v>
      </c>
      <c r="F203" s="114">
        <v>44629.0</v>
      </c>
      <c r="G203" s="111" t="s">
        <v>6523</v>
      </c>
      <c r="H203" s="111" t="s">
        <v>6526</v>
      </c>
      <c r="I203" s="111" t="s">
        <v>6527</v>
      </c>
      <c r="J203" s="111" t="s">
        <v>6377</v>
      </c>
      <c r="K203" s="115"/>
      <c r="L203" s="115" t="s">
        <v>6522</v>
      </c>
      <c r="M203" s="115" t="b">
        <f>IFS($A203=FALSE,"", countif(VLOOKUP($B203,'MARCH 2022'!C:C,1,FALSE),$B203)&gt;=1,TRUE,countif(VLOOKUP($B203,'MARCH 2022'!C:C,1,FALSE),$B203)=0,FALSE)</f>
        <v>0</v>
      </c>
      <c r="N203" s="115" t="b">
        <f>IFS($A203=FALSE,"", countif(VLOOKUP($A203,'MARCH 2022'!A:A,1,FALSE),$A203)&gt;=1,TRUE,countif(VLOOKUP($A203,'MARCH 2022'!A:A,1,FALSE),$A203)=0,FALSE)</f>
        <v>0</v>
      </c>
      <c r="O203" s="111"/>
    </row>
    <row r="204" ht="15.75" customHeight="1">
      <c r="A204" s="110" t="str">
        <f t="shared" si="1"/>
        <v>1126844629</v>
      </c>
      <c r="B204" s="111">
        <v>11268.0</v>
      </c>
      <c r="C204" s="112">
        <v>0.3854166666666667</v>
      </c>
      <c r="D204" s="111" t="s">
        <v>886</v>
      </c>
      <c r="E204" s="113">
        <v>14436.0</v>
      </c>
      <c r="F204" s="114">
        <v>44629.0</v>
      </c>
      <c r="G204" s="111" t="s">
        <v>6523</v>
      </c>
      <c r="H204" s="111" t="s">
        <v>6520</v>
      </c>
      <c r="I204" s="111" t="s">
        <v>6524</v>
      </c>
      <c r="J204" s="111" t="s">
        <v>6427</v>
      </c>
      <c r="K204" s="115"/>
      <c r="L204" s="115" t="s">
        <v>6522</v>
      </c>
      <c r="M204" s="115" t="b">
        <f>IFS($A204=FALSE,"", countif(VLOOKUP($B204,'MARCH 2022'!C:C,1,FALSE),$B204)&gt;=1,TRUE,countif(VLOOKUP($B204,'MARCH 2022'!C:C,1,FALSE),$B204)=0,FALSE)</f>
        <v>0</v>
      </c>
      <c r="N204" s="115" t="b">
        <f>IFS($A204=FALSE,"", countif(VLOOKUP($A204,'MARCH 2022'!A:A,1,FALSE),$A204)&gt;=1,TRUE,countif(VLOOKUP($A204,'MARCH 2022'!A:A,1,FALSE),$A204)=0,FALSE)</f>
        <v>0</v>
      </c>
      <c r="O204" s="111"/>
    </row>
    <row r="205" ht="15.75" customHeight="1">
      <c r="A205" s="110" t="str">
        <f t="shared" si="1"/>
        <v>1552044629</v>
      </c>
      <c r="B205" s="111">
        <v>15520.0</v>
      </c>
      <c r="C205" s="112">
        <v>0.3958333333333333</v>
      </c>
      <c r="D205" s="111" t="s">
        <v>3902</v>
      </c>
      <c r="E205" s="113">
        <v>18142.0</v>
      </c>
      <c r="F205" s="114">
        <v>44629.0</v>
      </c>
      <c r="G205" s="111" t="s">
        <v>6519</v>
      </c>
      <c r="H205" s="111" t="s">
        <v>6526</v>
      </c>
      <c r="I205" s="111" t="s">
        <v>6527</v>
      </c>
      <c r="J205" s="111" t="s">
        <v>6393</v>
      </c>
      <c r="K205" s="115"/>
      <c r="L205" s="115" t="s">
        <v>6522</v>
      </c>
      <c r="M205" s="115" t="b">
        <f>IFS($A205=FALSE,"", countif(VLOOKUP($B205,'MARCH 2022'!C:C,1,FALSE),$B205)&gt;=1,TRUE,countif(VLOOKUP($B205,'MARCH 2022'!C:C,1,FALSE),$B205)=0,FALSE)</f>
        <v>0</v>
      </c>
      <c r="N205" s="115" t="b">
        <f>IFS($A205=FALSE,"", countif(VLOOKUP($A205,'MARCH 2022'!A:A,1,FALSE),$A205)&gt;=1,TRUE,countif(VLOOKUP($A205,'MARCH 2022'!A:A,1,FALSE),$A205)=0,FALSE)</f>
        <v>0</v>
      </c>
      <c r="O205" s="111"/>
    </row>
    <row r="206" ht="15.75" customHeight="1">
      <c r="A206" s="110" t="str">
        <f t="shared" si="1"/>
        <v>1419444629</v>
      </c>
      <c r="B206" s="111">
        <v>14194.0</v>
      </c>
      <c r="C206" s="112">
        <v>0.3958333333333333</v>
      </c>
      <c r="D206" s="111" t="s">
        <v>2812</v>
      </c>
      <c r="E206" s="113">
        <v>25721.0</v>
      </c>
      <c r="F206" s="114">
        <v>44629.0</v>
      </c>
      <c r="G206" s="111" t="s">
        <v>6523</v>
      </c>
      <c r="H206" s="111" t="s">
        <v>6520</v>
      </c>
      <c r="I206" s="111" t="s">
        <v>6521</v>
      </c>
      <c r="J206" s="111" t="s">
        <v>6444</v>
      </c>
      <c r="K206" s="115"/>
      <c r="L206" s="115" t="s">
        <v>6522</v>
      </c>
      <c r="M206" s="115" t="b">
        <f>IFS($A206=FALSE,"", countif(VLOOKUP($B206,'MARCH 2022'!C:C,1,FALSE),$B206)&gt;=1,TRUE,countif(VLOOKUP($B206,'MARCH 2022'!C:C,1,FALSE),$B206)=0,FALSE)</f>
        <v>0</v>
      </c>
      <c r="N206" s="115" t="b">
        <f>IFS($A206=FALSE,"", countif(VLOOKUP($A206,'MARCH 2022'!A:A,1,FALSE),$A206)&gt;=1,TRUE,countif(VLOOKUP($A206,'MARCH 2022'!A:A,1,FALSE),$A206)=0,FALSE)</f>
        <v>0</v>
      </c>
      <c r="O206" s="111"/>
    </row>
    <row r="207" ht="15.75" customHeight="1">
      <c r="A207" s="110" t="str">
        <f t="shared" si="1"/>
        <v>1409544629</v>
      </c>
      <c r="B207" s="111">
        <v>14095.0</v>
      </c>
      <c r="C207" s="112">
        <v>0.3958333333333333</v>
      </c>
      <c r="D207" s="111" t="s">
        <v>2737</v>
      </c>
      <c r="E207" s="113">
        <v>22965.0</v>
      </c>
      <c r="F207" s="114">
        <v>44629.0</v>
      </c>
      <c r="G207" s="111" t="s">
        <v>6523</v>
      </c>
      <c r="H207" s="111" t="s">
        <v>6520</v>
      </c>
      <c r="I207" s="111" t="s">
        <v>6521</v>
      </c>
      <c r="J207" s="111" t="s">
        <v>6407</v>
      </c>
      <c r="K207" s="115"/>
      <c r="L207" s="115" t="s">
        <v>6522</v>
      </c>
      <c r="M207" s="115" t="b">
        <f>IFS($A207=FALSE,"", countif(VLOOKUP($B207,'MARCH 2022'!C:C,1,FALSE),$B207)&gt;=1,TRUE,countif(VLOOKUP($B207,'MARCH 2022'!C:C,1,FALSE),$B207)=0,FALSE)</f>
        <v>0</v>
      </c>
      <c r="N207" s="115" t="b">
        <f>IFS($A207=FALSE,"", countif(VLOOKUP($A207,'MARCH 2022'!A:A,1,FALSE),$A207)&gt;=1,TRUE,countif(VLOOKUP($A207,'MARCH 2022'!A:A,1,FALSE),$A207)=0,FALSE)</f>
        <v>0</v>
      </c>
      <c r="O207" s="111"/>
    </row>
    <row r="208" ht="15.75" customHeight="1">
      <c r="A208" s="110" t="str">
        <f t="shared" si="1"/>
        <v>1829444629</v>
      </c>
      <c r="B208" s="111">
        <v>18294.0</v>
      </c>
      <c r="C208" s="112">
        <v>0.3958333333333333</v>
      </c>
      <c r="D208" s="111" t="s">
        <v>6535</v>
      </c>
      <c r="E208" s="113">
        <v>23816.0</v>
      </c>
      <c r="F208" s="114">
        <v>44629.0</v>
      </c>
      <c r="G208" s="111" t="s">
        <v>6525</v>
      </c>
      <c r="H208" s="111" t="s">
        <v>6526</v>
      </c>
      <c r="I208" s="111" t="s">
        <v>6529</v>
      </c>
      <c r="J208" s="111" t="s">
        <v>6407</v>
      </c>
      <c r="K208" s="115"/>
      <c r="L208" s="115" t="s">
        <v>6522</v>
      </c>
      <c r="M208" s="115" t="b">
        <f>IFS($A208=FALSE,"", countif(VLOOKUP($B208,'MARCH 2022'!C:C,1,FALSE),$B208)&gt;=1,TRUE,countif(VLOOKUP($B208,'MARCH 2022'!C:C,1,FALSE),$B208)=0,FALSE)</f>
        <v>0</v>
      </c>
      <c r="N208" s="115" t="b">
        <f>IFS($A208=FALSE,"", countif(VLOOKUP($A208,'MARCH 2022'!A:A,1,FALSE),$A208)&gt;=1,TRUE,countif(VLOOKUP($A208,'MARCH 2022'!A:A,1,FALSE),$A208)=0,FALSE)</f>
        <v>0</v>
      </c>
      <c r="O208" s="111"/>
    </row>
    <row r="209" ht="15.75" customHeight="1">
      <c r="A209" s="110" t="str">
        <f t="shared" si="1"/>
        <v>1068144629</v>
      </c>
      <c r="B209" s="111">
        <v>10681.0</v>
      </c>
      <c r="C209" s="112">
        <v>0.40625</v>
      </c>
      <c r="D209" s="111" t="s">
        <v>636</v>
      </c>
      <c r="E209" s="113">
        <v>24407.0</v>
      </c>
      <c r="F209" s="114">
        <v>44629.0</v>
      </c>
      <c r="G209" s="111" t="s">
        <v>6523</v>
      </c>
      <c r="H209" s="111" t="s">
        <v>6520</v>
      </c>
      <c r="I209" s="111" t="s">
        <v>6521</v>
      </c>
      <c r="J209" s="111" t="s">
        <v>6407</v>
      </c>
      <c r="K209" s="115"/>
      <c r="L209" s="115" t="s">
        <v>6522</v>
      </c>
      <c r="M209" s="115" t="b">
        <f>IFS($A209=FALSE,"", countif(VLOOKUP($B209,'MARCH 2022'!C:C,1,FALSE),$B209)&gt;=1,TRUE,countif(VLOOKUP($B209,'MARCH 2022'!C:C,1,FALSE),$B209)=0,FALSE)</f>
        <v>0</v>
      </c>
      <c r="N209" s="115" t="b">
        <f>IFS($A209=FALSE,"", countif(VLOOKUP($A209,'MARCH 2022'!A:A,1,FALSE),$A209)&gt;=1,TRUE,countif(VLOOKUP($A209,'MARCH 2022'!A:A,1,FALSE),$A209)=0,FALSE)</f>
        <v>0</v>
      </c>
      <c r="O209" s="111"/>
    </row>
    <row r="210" ht="15.75" customHeight="1">
      <c r="A210" s="110" t="str">
        <f t="shared" si="1"/>
        <v>1274044629</v>
      </c>
      <c r="B210" s="111">
        <v>12740.0</v>
      </c>
      <c r="C210" s="112">
        <v>0.4166666666666667</v>
      </c>
      <c r="D210" s="111" t="s">
        <v>1666</v>
      </c>
      <c r="E210" s="113">
        <v>24173.0</v>
      </c>
      <c r="F210" s="114">
        <v>44629.0</v>
      </c>
      <c r="G210" s="111" t="s">
        <v>6519</v>
      </c>
      <c r="H210" s="111" t="s">
        <v>6520</v>
      </c>
      <c r="I210" s="111" t="s">
        <v>6521</v>
      </c>
      <c r="J210" s="111" t="s">
        <v>6489</v>
      </c>
      <c r="K210" s="115"/>
      <c r="L210" s="115" t="s">
        <v>6522</v>
      </c>
      <c r="M210" s="115" t="b">
        <f>IFS($A210=FALSE,"", countif(VLOOKUP($B210,'MARCH 2022'!C:C,1,FALSE),$B210)&gt;=1,TRUE,countif(VLOOKUP($B210,'MARCH 2022'!C:C,1,FALSE),$B210)=0,FALSE)</f>
        <v>0</v>
      </c>
      <c r="N210" s="115" t="b">
        <f>IFS($A210=FALSE,"", countif(VLOOKUP($A210,'MARCH 2022'!A:A,1,FALSE),$A210)&gt;=1,TRUE,countif(VLOOKUP($A210,'MARCH 2022'!A:A,1,FALSE),$A210)=0,FALSE)</f>
        <v>0</v>
      </c>
      <c r="O210" s="111"/>
    </row>
    <row r="211" ht="15.75" customHeight="1">
      <c r="A211" s="110" t="str">
        <f t="shared" si="1"/>
        <v>1560944629</v>
      </c>
      <c r="B211" s="111">
        <v>15609.0</v>
      </c>
      <c r="C211" s="112">
        <v>0.4270833333333333</v>
      </c>
      <c r="D211" s="111" t="s">
        <v>3983</v>
      </c>
      <c r="E211" s="113">
        <v>28149.0</v>
      </c>
      <c r="F211" s="114">
        <v>44629.0</v>
      </c>
      <c r="G211" s="111" t="s">
        <v>6523</v>
      </c>
      <c r="H211" s="111" t="s">
        <v>6526</v>
      </c>
      <c r="I211" s="111" t="s">
        <v>6527</v>
      </c>
      <c r="J211" s="111" t="s">
        <v>6436</v>
      </c>
      <c r="K211" s="115"/>
      <c r="L211" s="115" t="s">
        <v>6522</v>
      </c>
      <c r="M211" s="115" t="b">
        <f>IFS($A211=FALSE,"", countif(VLOOKUP($B211,'MARCH 2022'!C:C,1,FALSE),$B211)&gt;=1,TRUE,countif(VLOOKUP($B211,'MARCH 2022'!C:C,1,FALSE),$B211)=0,FALSE)</f>
        <v>0</v>
      </c>
      <c r="N211" s="115" t="b">
        <f>IFS($A211=FALSE,"", countif(VLOOKUP($A211,'MARCH 2022'!A:A,1,FALSE),$A211)&gt;=1,TRUE,countif(VLOOKUP($A211,'MARCH 2022'!A:A,1,FALSE),$A211)=0,FALSE)</f>
        <v>0</v>
      </c>
      <c r="O211" s="111"/>
    </row>
    <row r="212" ht="15.75" customHeight="1">
      <c r="A212" s="110" t="str">
        <f t="shared" si="1"/>
        <v>1710544629</v>
      </c>
      <c r="B212" s="111">
        <v>17105.0</v>
      </c>
      <c r="C212" s="112">
        <v>0.4375</v>
      </c>
      <c r="D212" s="111" t="s">
        <v>5206</v>
      </c>
      <c r="E212" s="113">
        <v>25263.0</v>
      </c>
      <c r="F212" s="114">
        <v>44629.0</v>
      </c>
      <c r="G212" s="111" t="s">
        <v>6519</v>
      </c>
      <c r="H212" s="111" t="s">
        <v>6520</v>
      </c>
      <c r="I212" s="111" t="s">
        <v>6521</v>
      </c>
      <c r="J212" s="111" t="s">
        <v>6381</v>
      </c>
      <c r="K212" s="115"/>
      <c r="L212" s="115" t="s">
        <v>6522</v>
      </c>
      <c r="M212" s="115" t="b">
        <f>IFS($A212=FALSE,"", countif(VLOOKUP($B212,'MARCH 2022'!C:C,1,FALSE),$B212)&gt;=1,TRUE,countif(VLOOKUP($B212,'MARCH 2022'!C:C,1,FALSE),$B212)=0,FALSE)</f>
        <v>0</v>
      </c>
      <c r="N212" s="115" t="b">
        <f>IFS($A212=FALSE,"", countif(VLOOKUP($A212,'MARCH 2022'!A:A,1,FALSE),$A212)&gt;=1,TRUE,countif(VLOOKUP($A212,'MARCH 2022'!A:A,1,FALSE),$A212)=0,FALSE)</f>
        <v>0</v>
      </c>
      <c r="O212" s="111"/>
    </row>
    <row r="213" ht="15.75" customHeight="1">
      <c r="A213" s="110" t="str">
        <f t="shared" si="1"/>
        <v>1193144629</v>
      </c>
      <c r="B213" s="111">
        <v>11931.0</v>
      </c>
      <c r="C213" s="112">
        <v>0.4375</v>
      </c>
      <c r="D213" s="111" t="s">
        <v>1188</v>
      </c>
      <c r="E213" s="113">
        <v>22360.0</v>
      </c>
      <c r="F213" s="114">
        <v>44629.0</v>
      </c>
      <c r="G213" s="111" t="s">
        <v>6519</v>
      </c>
      <c r="H213" s="111" t="s">
        <v>6520</v>
      </c>
      <c r="I213" s="111" t="s">
        <v>6524</v>
      </c>
      <c r="J213" s="111" t="s">
        <v>6373</v>
      </c>
      <c r="K213" s="115"/>
      <c r="L213" s="115" t="s">
        <v>6522</v>
      </c>
      <c r="M213" s="115" t="b">
        <f>IFS($A213=FALSE,"", countif(VLOOKUP($B213,'MARCH 2022'!C:C,1,FALSE),$B213)&gt;=1,TRUE,countif(VLOOKUP($B213,'MARCH 2022'!C:C,1,FALSE),$B213)=0,FALSE)</f>
        <v>0</v>
      </c>
      <c r="N213" s="115" t="b">
        <f>IFS($A213=FALSE,"", countif(VLOOKUP($A213,'MARCH 2022'!A:A,1,FALSE),$A213)&gt;=1,TRUE,countif(VLOOKUP($A213,'MARCH 2022'!A:A,1,FALSE),$A213)=0,FALSE)</f>
        <v>0</v>
      </c>
      <c r="O213" s="111"/>
    </row>
    <row r="214" ht="15.75" customHeight="1">
      <c r="A214" s="110" t="str">
        <f t="shared" si="1"/>
        <v>1153544629</v>
      </c>
      <c r="B214" s="111">
        <v>11535.0</v>
      </c>
      <c r="C214" s="112">
        <v>0.4479166666666667</v>
      </c>
      <c r="D214" s="111" t="s">
        <v>996</v>
      </c>
      <c r="E214" s="113">
        <v>22079.0</v>
      </c>
      <c r="F214" s="114">
        <v>44629.0</v>
      </c>
      <c r="G214" s="111" t="s">
        <v>6523</v>
      </c>
      <c r="H214" s="111" t="s">
        <v>6520</v>
      </c>
      <c r="I214" s="111" t="s">
        <v>6524</v>
      </c>
      <c r="J214" s="111" t="s">
        <v>6372</v>
      </c>
      <c r="K214" s="115"/>
      <c r="L214" s="115" t="s">
        <v>6522</v>
      </c>
      <c r="M214" s="115" t="b">
        <f>IFS($A214=FALSE,"", countif(VLOOKUP($B214,'MARCH 2022'!C:C,1,FALSE),$B214)&gt;=1,TRUE,countif(VLOOKUP($B214,'MARCH 2022'!C:C,1,FALSE),$B214)=0,FALSE)</f>
        <v>0</v>
      </c>
      <c r="N214" s="115" t="b">
        <f>IFS($A214=FALSE,"", countif(VLOOKUP($A214,'MARCH 2022'!A:A,1,FALSE),$A214)&gt;=1,TRUE,countif(VLOOKUP($A214,'MARCH 2022'!A:A,1,FALSE),$A214)=0,FALSE)</f>
        <v>0</v>
      </c>
      <c r="O214" s="111"/>
    </row>
    <row r="215" ht="15.75" customHeight="1">
      <c r="A215" s="110" t="str">
        <f t="shared" si="1"/>
        <v>1046444629</v>
      </c>
      <c r="B215" s="111">
        <v>10464.0</v>
      </c>
      <c r="C215" s="112">
        <v>0.46875</v>
      </c>
      <c r="D215" s="111" t="s">
        <v>554</v>
      </c>
      <c r="E215" s="113">
        <v>21820.0</v>
      </c>
      <c r="F215" s="114">
        <v>44629.0</v>
      </c>
      <c r="G215" s="111" t="s">
        <v>6523</v>
      </c>
      <c r="H215" s="111" t="s">
        <v>6520</v>
      </c>
      <c r="I215" s="111" t="s">
        <v>6524</v>
      </c>
      <c r="J215" s="111" t="s">
        <v>6385</v>
      </c>
      <c r="K215" s="115"/>
      <c r="L215" s="115" t="s">
        <v>6522</v>
      </c>
      <c r="M215" s="115" t="b">
        <f>IFS($A215=FALSE,"", countif(VLOOKUP($B215,'MARCH 2022'!C:C,1,FALSE),$B215)&gt;=1,TRUE,countif(VLOOKUP($B215,'MARCH 2022'!C:C,1,FALSE),$B215)=0,FALSE)</f>
        <v>0</v>
      </c>
      <c r="N215" s="115" t="b">
        <f>IFS($A215=FALSE,"", countif(VLOOKUP($A215,'MARCH 2022'!A:A,1,FALSE),$A215)&gt;=1,TRUE,countif(VLOOKUP($A215,'MARCH 2022'!A:A,1,FALSE),$A215)=0,FALSE)</f>
        <v>0</v>
      </c>
      <c r="O215" s="111"/>
    </row>
    <row r="216" ht="15.75" customHeight="1">
      <c r="A216" s="110" t="str">
        <f t="shared" si="1"/>
        <v>1822444629</v>
      </c>
      <c r="B216" s="111">
        <v>18224.0</v>
      </c>
      <c r="C216" s="112">
        <v>0.5729166666666666</v>
      </c>
      <c r="D216" s="111" t="s">
        <v>6536</v>
      </c>
      <c r="E216" s="113">
        <v>21611.0</v>
      </c>
      <c r="F216" s="114">
        <v>44629.0</v>
      </c>
      <c r="G216" s="111" t="s">
        <v>6525</v>
      </c>
      <c r="H216" s="111" t="s">
        <v>6526</v>
      </c>
      <c r="I216" s="111" t="s">
        <v>6527</v>
      </c>
      <c r="J216" s="111" t="s">
        <v>6379</v>
      </c>
      <c r="K216" s="115"/>
      <c r="L216" s="115" t="s">
        <v>6522</v>
      </c>
      <c r="M216" s="115" t="b">
        <f>IFS($A216=FALSE,"", countif(VLOOKUP($B216,'MARCH 2022'!C:C,1,FALSE),$B216)&gt;=1,TRUE,countif(VLOOKUP($B216,'MARCH 2022'!C:C,1,FALSE),$B216)=0,FALSE)</f>
        <v>0</v>
      </c>
      <c r="N216" s="115" t="b">
        <f>IFS($A216=FALSE,"", countif(VLOOKUP($A216,'MARCH 2022'!A:A,1,FALSE),$A216)&gt;=1,TRUE,countif(VLOOKUP($A216,'MARCH 2022'!A:A,1,FALSE),$A216)=0,FALSE)</f>
        <v>0</v>
      </c>
      <c r="O216" s="111"/>
    </row>
    <row r="217" ht="15.75" customHeight="1">
      <c r="A217" s="110" t="str">
        <f t="shared" si="1"/>
        <v>1380044629</v>
      </c>
      <c r="B217" s="111">
        <v>13800.0</v>
      </c>
      <c r="C217" s="112">
        <v>0.5729166666666666</v>
      </c>
      <c r="D217" s="111" t="s">
        <v>2517</v>
      </c>
      <c r="E217" s="113">
        <v>21061.0</v>
      </c>
      <c r="F217" s="114">
        <v>44629.0</v>
      </c>
      <c r="G217" s="111" t="s">
        <v>6523</v>
      </c>
      <c r="H217" s="111" t="s">
        <v>6526</v>
      </c>
      <c r="I217" s="111" t="s">
        <v>6527</v>
      </c>
      <c r="J217" s="111" t="s">
        <v>6406</v>
      </c>
      <c r="K217" s="115"/>
      <c r="L217" s="115" t="s">
        <v>6522</v>
      </c>
      <c r="M217" s="115" t="b">
        <f>IFS($A217=FALSE,"", countif(VLOOKUP($B217,'MARCH 2022'!C:C,1,FALSE),$B217)&gt;=1,TRUE,countif(VLOOKUP($B217,'MARCH 2022'!C:C,1,FALSE),$B217)=0,FALSE)</f>
        <v>0</v>
      </c>
      <c r="N217" s="115" t="b">
        <f>IFS($A217=FALSE,"", countif(VLOOKUP($A217,'MARCH 2022'!A:A,1,FALSE),$A217)&gt;=1,TRUE,countif(VLOOKUP($A217,'MARCH 2022'!A:A,1,FALSE),$A217)=0,FALSE)</f>
        <v>0</v>
      </c>
      <c r="O217" s="111"/>
    </row>
    <row r="218" ht="15.75" customHeight="1">
      <c r="A218" s="110" t="str">
        <f t="shared" si="1"/>
        <v>1832944629</v>
      </c>
      <c r="B218" s="111">
        <v>18329.0</v>
      </c>
      <c r="C218" s="112">
        <v>0.6041666666666666</v>
      </c>
      <c r="D218" s="111" t="s">
        <v>6537</v>
      </c>
      <c r="E218" s="113">
        <v>22401.0</v>
      </c>
      <c r="F218" s="114">
        <v>44629.0</v>
      </c>
      <c r="G218" s="111" t="s">
        <v>6525</v>
      </c>
      <c r="H218" s="111" t="s">
        <v>6526</v>
      </c>
      <c r="I218" s="111" t="s">
        <v>6529</v>
      </c>
      <c r="J218" s="111" t="s">
        <v>6403</v>
      </c>
      <c r="K218" s="115"/>
      <c r="L218" s="115" t="s">
        <v>6522</v>
      </c>
      <c r="M218" s="115" t="b">
        <f>IFS($A218=FALSE,"", countif(VLOOKUP($B218,'MARCH 2022'!C:C,1,FALSE),$B218)&gt;=1,TRUE,countif(VLOOKUP($B218,'MARCH 2022'!C:C,1,FALSE),$B218)=0,FALSE)</f>
        <v>0</v>
      </c>
      <c r="N218" s="115" t="b">
        <f>IFS($A218=FALSE,"", countif(VLOOKUP($A218,'MARCH 2022'!A:A,1,FALSE),$A218)&gt;=1,TRUE,countif(VLOOKUP($A218,'MARCH 2022'!A:A,1,FALSE),$A218)=0,FALSE)</f>
        <v>0</v>
      </c>
      <c r="O218" s="111"/>
    </row>
    <row r="219" ht="15.75" customHeight="1">
      <c r="A219" s="110" t="str">
        <f t="shared" si="1"/>
        <v>1524444629</v>
      </c>
      <c r="B219" s="111">
        <v>15244.0</v>
      </c>
      <c r="C219" s="112">
        <v>0.6041666666666666</v>
      </c>
      <c r="D219" s="111" t="s">
        <v>3674</v>
      </c>
      <c r="E219" s="113">
        <v>22139.0</v>
      </c>
      <c r="F219" s="114">
        <v>44629.0</v>
      </c>
      <c r="G219" s="111" t="s">
        <v>6519</v>
      </c>
      <c r="H219" s="111" t="s">
        <v>6520</v>
      </c>
      <c r="I219" s="111" t="s">
        <v>6524</v>
      </c>
      <c r="J219" s="111" t="s">
        <v>6385</v>
      </c>
      <c r="K219" s="115"/>
      <c r="L219" s="115" t="s">
        <v>6522</v>
      </c>
      <c r="M219" s="115" t="b">
        <f>IFS($A219=FALSE,"", countif(VLOOKUP($B219,'MARCH 2022'!C:C,1,FALSE),$B219)&gt;=1,TRUE,countif(VLOOKUP($B219,'MARCH 2022'!C:C,1,FALSE),$B219)=0,FALSE)</f>
        <v>0</v>
      </c>
      <c r="N219" s="115" t="b">
        <f>IFS($A219=FALSE,"", countif(VLOOKUP($A219,'MARCH 2022'!A:A,1,FALSE),$A219)&gt;=1,TRUE,countif(VLOOKUP($A219,'MARCH 2022'!A:A,1,FALSE),$A219)=0,FALSE)</f>
        <v>0</v>
      </c>
      <c r="O219" s="111"/>
    </row>
    <row r="220" ht="15.75" customHeight="1">
      <c r="A220" s="110" t="str">
        <f t="shared" si="1"/>
        <v>1834244629</v>
      </c>
      <c r="B220" s="111">
        <v>18342.0</v>
      </c>
      <c r="C220" s="112">
        <v>0.6145833333333334</v>
      </c>
      <c r="D220" s="111" t="s">
        <v>6538</v>
      </c>
      <c r="E220" s="113">
        <v>30199.0</v>
      </c>
      <c r="F220" s="114">
        <v>44629.0</v>
      </c>
      <c r="G220" s="111" t="s">
        <v>6525</v>
      </c>
      <c r="H220" s="111" t="s">
        <v>6526</v>
      </c>
      <c r="I220" s="111" t="s">
        <v>6529</v>
      </c>
      <c r="J220" s="111" t="s">
        <v>6407</v>
      </c>
      <c r="K220" s="115"/>
      <c r="L220" s="115" t="s">
        <v>6522</v>
      </c>
      <c r="M220" s="115" t="b">
        <f>IFS($A220=FALSE,"", countif(VLOOKUP($B220,'MARCH 2022'!C:C,1,FALSE),$B220)&gt;=1,TRUE,countif(VLOOKUP($B220,'MARCH 2022'!C:C,1,FALSE),$B220)=0,FALSE)</f>
        <v>0</v>
      </c>
      <c r="N220" s="115" t="b">
        <f>IFS($A220=FALSE,"", countif(VLOOKUP($A220,'MARCH 2022'!A:A,1,FALSE),$A220)&gt;=1,TRUE,countif(VLOOKUP($A220,'MARCH 2022'!A:A,1,FALSE),$A220)=0,FALSE)</f>
        <v>0</v>
      </c>
      <c r="O220" s="111"/>
    </row>
    <row r="221" ht="15.75" customHeight="1">
      <c r="A221" s="110" t="str">
        <f t="shared" si="1"/>
        <v>1761644629</v>
      </c>
      <c r="B221" s="111">
        <v>17616.0</v>
      </c>
      <c r="C221" s="112">
        <v>0.625</v>
      </c>
      <c r="D221" s="111" t="s">
        <v>5587</v>
      </c>
      <c r="E221" s="113">
        <v>32824.0</v>
      </c>
      <c r="F221" s="114">
        <v>44629.0</v>
      </c>
      <c r="G221" s="111" t="s">
        <v>6523</v>
      </c>
      <c r="H221" s="111" t="s">
        <v>6520</v>
      </c>
      <c r="I221" s="111" t="s">
        <v>6524</v>
      </c>
      <c r="J221" s="111" t="s">
        <v>6539</v>
      </c>
      <c r="K221" s="115"/>
      <c r="L221" s="115" t="s">
        <v>6522</v>
      </c>
      <c r="M221" s="115" t="b">
        <f>IFS($A221=FALSE,"", countif(VLOOKUP($B221,'MARCH 2022'!C:C,1,FALSE),$B221)&gt;=1,TRUE,countif(VLOOKUP($B221,'MARCH 2022'!C:C,1,FALSE),$B221)=0,FALSE)</f>
        <v>0</v>
      </c>
      <c r="N221" s="115" t="b">
        <f>IFS($A221=FALSE,"", countif(VLOOKUP($A221,'MARCH 2022'!A:A,1,FALSE),$A221)&gt;=1,TRUE,countif(VLOOKUP($A221,'MARCH 2022'!A:A,1,FALSE),$A221)=0,FALSE)</f>
        <v>0</v>
      </c>
      <c r="O221" s="111"/>
    </row>
    <row r="222" ht="15.75" customHeight="1">
      <c r="A222" s="110" t="str">
        <f t="shared" si="1"/>
        <v>1318544629</v>
      </c>
      <c r="B222" s="111">
        <v>13185.0</v>
      </c>
      <c r="C222" s="112">
        <v>0.6354166666666666</v>
      </c>
      <c r="D222" s="111" t="s">
        <v>2035</v>
      </c>
      <c r="E222" s="113">
        <v>25611.0</v>
      </c>
      <c r="F222" s="114">
        <v>44629.0</v>
      </c>
      <c r="G222" s="111" t="s">
        <v>6523</v>
      </c>
      <c r="H222" s="111" t="s">
        <v>6520</v>
      </c>
      <c r="I222" s="111" t="s">
        <v>6521</v>
      </c>
      <c r="J222" s="111" t="s">
        <v>6438</v>
      </c>
      <c r="K222" s="115"/>
      <c r="L222" s="115" t="s">
        <v>6522</v>
      </c>
      <c r="M222" s="115" t="b">
        <f>IFS($A222=FALSE,"", countif(VLOOKUP($B222,'MARCH 2022'!C:C,1,FALSE),$B222)&gt;=1,TRUE,countif(VLOOKUP($B222,'MARCH 2022'!C:C,1,FALSE),$B222)=0,FALSE)</f>
        <v>0</v>
      </c>
      <c r="N222" s="115" t="b">
        <f>IFS($A222=FALSE,"", countif(VLOOKUP($A222,'MARCH 2022'!A:A,1,FALSE),$A222)&gt;=1,TRUE,countif(VLOOKUP($A222,'MARCH 2022'!A:A,1,FALSE),$A222)=0,FALSE)</f>
        <v>0</v>
      </c>
      <c r="O222" s="111"/>
    </row>
    <row r="223" ht="15.75" customHeight="1">
      <c r="A223" s="110" t="str">
        <f t="shared" si="1"/>
        <v>1580244629</v>
      </c>
      <c r="B223" s="111">
        <v>15802.0</v>
      </c>
      <c r="C223" s="112">
        <v>0.6458333333333334</v>
      </c>
      <c r="D223" s="111" t="s">
        <v>4159</v>
      </c>
      <c r="E223" s="113">
        <v>14014.0</v>
      </c>
      <c r="F223" s="114">
        <v>44629.0</v>
      </c>
      <c r="G223" s="111" t="s">
        <v>6523</v>
      </c>
      <c r="H223" s="111" t="s">
        <v>6526</v>
      </c>
      <c r="I223" s="111" t="s">
        <v>6529</v>
      </c>
      <c r="J223" s="111" t="s">
        <v>6427</v>
      </c>
      <c r="K223" s="115"/>
      <c r="L223" s="115" t="s">
        <v>6522</v>
      </c>
      <c r="M223" s="115" t="b">
        <f>IFS($A223=FALSE,"", countif(VLOOKUP($B223,'MARCH 2022'!C:C,1,FALSE),$B223)&gt;=1,TRUE,countif(VLOOKUP($B223,'MARCH 2022'!C:C,1,FALSE),$B223)=0,FALSE)</f>
        <v>0</v>
      </c>
      <c r="N223" s="115" t="b">
        <f>IFS($A223=FALSE,"", countif(VLOOKUP($A223,'MARCH 2022'!A:A,1,FALSE),$A223)&gt;=1,TRUE,countif(VLOOKUP($A223,'MARCH 2022'!A:A,1,FALSE),$A223)=0,FALSE)</f>
        <v>0</v>
      </c>
      <c r="O223" s="111"/>
    </row>
    <row r="224" ht="15.75" customHeight="1">
      <c r="A224" s="110" t="str">
        <f t="shared" si="1"/>
        <v>1657444630</v>
      </c>
      <c r="B224" s="111">
        <v>16574.0</v>
      </c>
      <c r="C224" s="112">
        <v>0.3333333333333333</v>
      </c>
      <c r="D224" s="111" t="s">
        <v>4792</v>
      </c>
      <c r="E224" s="113">
        <v>22806.0</v>
      </c>
      <c r="F224" s="114">
        <v>44630.0</v>
      </c>
      <c r="G224" s="111" t="s">
        <v>6523</v>
      </c>
      <c r="H224" s="111" t="s">
        <v>6520</v>
      </c>
      <c r="I224" s="111" t="s">
        <v>6524</v>
      </c>
      <c r="J224" s="111" t="s">
        <v>6384</v>
      </c>
      <c r="K224" s="115"/>
      <c r="L224" s="115" t="s">
        <v>6522</v>
      </c>
      <c r="M224" s="115" t="b">
        <f>IFS($A224=FALSE,"", countif(VLOOKUP($B224,'MARCH 2022'!C:C,1,FALSE),$B224)&gt;=1,TRUE,countif(VLOOKUP($B224,'MARCH 2022'!C:C,1,FALSE),$B224)=0,FALSE)</f>
        <v>1</v>
      </c>
      <c r="N224" s="115" t="b">
        <f>IFS($A224=FALSE,"", countif(VLOOKUP($A224,'MARCH 2022'!A:A,1,FALSE),$A224)&gt;=1,TRUE,countif(VLOOKUP($A224,'MARCH 2022'!A:A,1,FALSE),$A224)=0,FALSE)</f>
        <v>1</v>
      </c>
      <c r="O224" s="111"/>
    </row>
    <row r="225" ht="15.75" customHeight="1">
      <c r="A225" s="110" t="str">
        <f t="shared" si="1"/>
        <v>924544630</v>
      </c>
      <c r="B225" s="111">
        <v>9245.0</v>
      </c>
      <c r="C225" s="112">
        <v>0.3333333333333333</v>
      </c>
      <c r="D225" s="111" t="s">
        <v>101</v>
      </c>
      <c r="E225" s="113">
        <v>16580.0</v>
      </c>
      <c r="F225" s="114">
        <v>44630.0</v>
      </c>
      <c r="G225" s="111" t="s">
        <v>6519</v>
      </c>
      <c r="H225" s="111" t="s">
        <v>6520</v>
      </c>
      <c r="I225" s="111" t="s">
        <v>6524</v>
      </c>
      <c r="J225" s="111" t="s">
        <v>6384</v>
      </c>
      <c r="K225" s="115"/>
      <c r="L225" s="115" t="s">
        <v>6522</v>
      </c>
      <c r="M225" s="115" t="b">
        <f>IFS($A225=FALSE,"", countif(VLOOKUP($B225,'MARCH 2022'!C:C,1,FALSE),$B225)&gt;=1,TRUE,countif(VLOOKUP($B225,'MARCH 2022'!C:C,1,FALSE),$B225)=0,FALSE)</f>
        <v>1</v>
      </c>
      <c r="N225" s="115" t="b">
        <f>IFS($A225=FALSE,"", countif(VLOOKUP($A225,'MARCH 2022'!A:A,1,FALSE),$A225)&gt;=1,TRUE,countif(VLOOKUP($A225,'MARCH 2022'!A:A,1,FALSE),$A225)=0,FALSE)</f>
        <v>1</v>
      </c>
      <c r="O225" s="111"/>
    </row>
    <row r="226" ht="15.75" customHeight="1">
      <c r="A226" s="110" t="str">
        <f t="shared" si="1"/>
        <v>1829244630</v>
      </c>
      <c r="B226" s="111">
        <v>18292.0</v>
      </c>
      <c r="C226" s="112">
        <v>0.34375</v>
      </c>
      <c r="D226" s="111" t="s">
        <v>6355</v>
      </c>
      <c r="E226" s="113">
        <v>23720.0</v>
      </c>
      <c r="F226" s="114">
        <v>44630.0</v>
      </c>
      <c r="G226" s="111" t="s">
        <v>6525</v>
      </c>
      <c r="H226" s="111" t="s">
        <v>6526</v>
      </c>
      <c r="I226" s="111" t="s">
        <v>6529</v>
      </c>
      <c r="J226" s="111" t="s">
        <v>6407</v>
      </c>
      <c r="K226" s="115"/>
      <c r="L226" s="115" t="s">
        <v>6522</v>
      </c>
      <c r="M226" s="115" t="b">
        <f>IFS($A226=FALSE,"", countif(VLOOKUP($B226,'MARCH 2022'!C:C,1,FALSE),$B226)&gt;=1,TRUE,countif(VLOOKUP($B226,'MARCH 2022'!C:C,1,FALSE),$B226)=0,FALSE)</f>
        <v>1</v>
      </c>
      <c r="N226" s="115" t="b">
        <f>IFS($A226=FALSE,"", countif(VLOOKUP($A226,'MARCH 2022'!A:A,1,FALSE),$A226)&gt;=1,TRUE,countif(VLOOKUP($A226,'MARCH 2022'!A:A,1,FALSE),$A226)=0,FALSE)</f>
        <v>1</v>
      </c>
      <c r="O226" s="111"/>
    </row>
    <row r="227" ht="15.75" customHeight="1">
      <c r="A227" s="110" t="str">
        <f t="shared" si="1"/>
        <v>1568344630</v>
      </c>
      <c r="B227" s="111">
        <v>15683.0</v>
      </c>
      <c r="C227" s="112">
        <v>0.34375</v>
      </c>
      <c r="D227" s="111" t="s">
        <v>4049</v>
      </c>
      <c r="E227" s="113">
        <v>25687.0</v>
      </c>
      <c r="F227" s="114">
        <v>44630.0</v>
      </c>
      <c r="G227" s="111" t="s">
        <v>6523</v>
      </c>
      <c r="H227" s="111" t="s">
        <v>6520</v>
      </c>
      <c r="I227" s="111" t="s">
        <v>6521</v>
      </c>
      <c r="J227" s="111" t="s">
        <v>6375</v>
      </c>
      <c r="K227" s="115"/>
      <c r="L227" s="115" t="s">
        <v>6522</v>
      </c>
      <c r="M227" s="115" t="b">
        <f>IFS($A227=FALSE,"", countif(VLOOKUP($B227,'MARCH 2022'!C:C,1,FALSE),$B227)&gt;=1,TRUE,countif(VLOOKUP($B227,'MARCH 2022'!C:C,1,FALSE),$B227)=0,FALSE)</f>
        <v>1</v>
      </c>
      <c r="N227" s="115" t="b">
        <f>IFS($A227=FALSE,"", countif(VLOOKUP($A227,'MARCH 2022'!A:A,1,FALSE),$A227)&gt;=1,TRUE,countif(VLOOKUP($A227,'MARCH 2022'!A:A,1,FALSE),$A227)=0,FALSE)</f>
        <v>1</v>
      </c>
      <c r="O227" s="111"/>
    </row>
    <row r="228" ht="15.75" customHeight="1">
      <c r="A228" s="110" t="str">
        <f t="shared" si="1"/>
        <v>1699344630</v>
      </c>
      <c r="B228" s="111">
        <v>16993.0</v>
      </c>
      <c r="C228" s="112">
        <v>0.3541666666666667</v>
      </c>
      <c r="D228" s="111" t="s">
        <v>5116</v>
      </c>
      <c r="E228" s="113">
        <v>14634.0</v>
      </c>
      <c r="F228" s="114">
        <v>44630.0</v>
      </c>
      <c r="G228" s="111" t="s">
        <v>6523</v>
      </c>
      <c r="H228" s="111" t="s">
        <v>6520</v>
      </c>
      <c r="I228" s="111" t="s">
        <v>6521</v>
      </c>
      <c r="J228" s="111" t="s">
        <v>6384</v>
      </c>
      <c r="K228" s="115"/>
      <c r="L228" s="115" t="s">
        <v>6522</v>
      </c>
      <c r="M228" s="115" t="b">
        <f>IFS($A228=FALSE,"", countif(VLOOKUP($B228,'MARCH 2022'!C:C,1,FALSE),$B228)&gt;=1,TRUE,countif(VLOOKUP($B228,'MARCH 2022'!C:C,1,FALSE),$B228)=0,FALSE)</f>
        <v>1</v>
      </c>
      <c r="N228" s="115" t="b">
        <f>IFS($A228=FALSE,"", countif(VLOOKUP($A228,'MARCH 2022'!A:A,1,FALSE),$A228)&gt;=1,TRUE,countif(VLOOKUP($A228,'MARCH 2022'!A:A,1,FALSE),$A228)=0,FALSE)</f>
        <v>1</v>
      </c>
      <c r="O228" s="111"/>
    </row>
    <row r="229" ht="15.75" customHeight="1">
      <c r="A229" s="110" t="str">
        <f t="shared" si="1"/>
        <v>1440644630</v>
      </c>
      <c r="B229" s="111">
        <v>14406.0</v>
      </c>
      <c r="C229" s="112">
        <v>0.3541666666666667</v>
      </c>
      <c r="D229" s="111" t="s">
        <v>2982</v>
      </c>
      <c r="E229" s="113">
        <v>28161.0</v>
      </c>
      <c r="F229" s="114">
        <v>44630.0</v>
      </c>
      <c r="G229" s="111" t="s">
        <v>6519</v>
      </c>
      <c r="H229" s="111" t="s">
        <v>6520</v>
      </c>
      <c r="I229" s="111" t="s">
        <v>6524</v>
      </c>
      <c r="J229" s="111" t="s">
        <v>6438</v>
      </c>
      <c r="K229" s="115"/>
      <c r="L229" s="115" t="s">
        <v>6522</v>
      </c>
      <c r="M229" s="115" t="b">
        <f>IFS($A229=FALSE,"", countif(VLOOKUP($B229,'MARCH 2022'!C:C,1,FALSE),$B229)&gt;=1,TRUE,countif(VLOOKUP($B229,'MARCH 2022'!C:C,1,FALSE),$B229)=0,FALSE)</f>
        <v>1</v>
      </c>
      <c r="N229" s="115" t="b">
        <f>IFS($A229=FALSE,"", countif(VLOOKUP($A229,'MARCH 2022'!A:A,1,FALSE),$A229)&gt;=1,TRUE,countif(VLOOKUP($A229,'MARCH 2022'!A:A,1,FALSE),$A229)=0,FALSE)</f>
        <v>1</v>
      </c>
      <c r="O229" s="111"/>
    </row>
    <row r="230" ht="15.75" customHeight="1">
      <c r="A230" s="110" t="str">
        <f t="shared" si="1"/>
        <v>1179244630</v>
      </c>
      <c r="B230" s="111">
        <v>11792.0</v>
      </c>
      <c r="C230" s="112">
        <v>0.3541666666666667</v>
      </c>
      <c r="D230" s="111" t="s">
        <v>1113</v>
      </c>
      <c r="E230" s="113">
        <v>20872.0</v>
      </c>
      <c r="F230" s="114">
        <v>44630.0</v>
      </c>
      <c r="G230" s="111" t="s">
        <v>6519</v>
      </c>
      <c r="H230" s="111" t="s">
        <v>6520</v>
      </c>
      <c r="I230" s="111" t="s">
        <v>6524</v>
      </c>
      <c r="J230" s="111" t="s">
        <v>6427</v>
      </c>
      <c r="K230" s="115"/>
      <c r="L230" s="115" t="s">
        <v>6522</v>
      </c>
      <c r="M230" s="115" t="b">
        <f>IFS($A230=FALSE,"", countif(VLOOKUP($B230,'MARCH 2022'!C:C,1,FALSE),$B230)&gt;=1,TRUE,countif(VLOOKUP($B230,'MARCH 2022'!C:C,1,FALSE),$B230)=0,FALSE)</f>
        <v>1</v>
      </c>
      <c r="N230" s="115" t="b">
        <f>IFS($A230=FALSE,"", countif(VLOOKUP($A230,'MARCH 2022'!A:A,1,FALSE),$A230)&gt;=1,TRUE,countif(VLOOKUP($A230,'MARCH 2022'!A:A,1,FALSE),$A230)=0,FALSE)</f>
        <v>1</v>
      </c>
      <c r="O230" s="111"/>
    </row>
    <row r="231" ht="15.75" customHeight="1">
      <c r="A231" s="110" t="str">
        <f t="shared" si="1"/>
        <v>1692844630</v>
      </c>
      <c r="B231" s="111">
        <v>16928.0</v>
      </c>
      <c r="C231" s="112">
        <v>0.3645833333333333</v>
      </c>
      <c r="D231" s="111" t="s">
        <v>5065</v>
      </c>
      <c r="E231" s="113">
        <v>20393.0</v>
      </c>
      <c r="F231" s="114">
        <v>44630.0</v>
      </c>
      <c r="G231" s="111" t="s">
        <v>6519</v>
      </c>
      <c r="H231" s="111" t="s">
        <v>6520</v>
      </c>
      <c r="I231" s="111" t="s">
        <v>6524</v>
      </c>
      <c r="J231" s="111" t="s">
        <v>6489</v>
      </c>
      <c r="K231" s="115"/>
      <c r="L231" s="115" t="s">
        <v>6522</v>
      </c>
      <c r="M231" s="115" t="b">
        <f>IFS($A231=FALSE,"", countif(VLOOKUP($B231,'MARCH 2022'!C:C,1,FALSE),$B231)&gt;=1,TRUE,countif(VLOOKUP($B231,'MARCH 2022'!C:C,1,FALSE),$B231)=0,FALSE)</f>
        <v>1</v>
      </c>
      <c r="N231" s="115" t="b">
        <f>IFS($A231=FALSE,"", countif(VLOOKUP($A231,'MARCH 2022'!A:A,1,FALSE),$A231)&gt;=1,TRUE,countif(VLOOKUP($A231,'MARCH 2022'!A:A,1,FALSE),$A231)=0,FALSE)</f>
        <v>1</v>
      </c>
      <c r="O231" s="111"/>
    </row>
    <row r="232" ht="15.75" customHeight="1">
      <c r="A232" s="110" t="str">
        <f t="shared" si="1"/>
        <v>1115244630</v>
      </c>
      <c r="B232" s="111">
        <v>11152.0</v>
      </c>
      <c r="C232" s="112">
        <v>0.3645833333333333</v>
      </c>
      <c r="D232" s="111" t="s">
        <v>835</v>
      </c>
      <c r="E232" s="113">
        <v>29447.0</v>
      </c>
      <c r="F232" s="114">
        <v>44630.0</v>
      </c>
      <c r="G232" s="111" t="s">
        <v>6523</v>
      </c>
      <c r="H232" s="111" t="s">
        <v>6520</v>
      </c>
      <c r="I232" s="111" t="s">
        <v>6524</v>
      </c>
      <c r="J232" s="111" t="s">
        <v>6416</v>
      </c>
      <c r="K232" s="115"/>
      <c r="L232" s="115" t="s">
        <v>6522</v>
      </c>
      <c r="M232" s="115" t="b">
        <f>IFS($A232=FALSE,"", countif(VLOOKUP($B232,'MARCH 2022'!C:C,1,FALSE),$B232)&gt;=1,TRUE,countif(VLOOKUP($B232,'MARCH 2022'!C:C,1,FALSE),$B232)=0,FALSE)</f>
        <v>1</v>
      </c>
      <c r="N232" s="115" t="b">
        <f>IFS($A232=FALSE,"", countif(VLOOKUP($A232,'MARCH 2022'!A:A,1,FALSE),$A232)&gt;=1,TRUE,countif(VLOOKUP($A232,'MARCH 2022'!A:A,1,FALSE),$A232)=0,FALSE)</f>
        <v>1</v>
      </c>
      <c r="O232" s="111"/>
    </row>
    <row r="233" ht="15.75" customHeight="1">
      <c r="A233" s="110" t="str">
        <f t="shared" si="1"/>
        <v>1610644630</v>
      </c>
      <c r="B233" s="111">
        <v>16106.0</v>
      </c>
      <c r="C233" s="112">
        <v>0.375</v>
      </c>
      <c r="D233" s="111" t="s">
        <v>4426</v>
      </c>
      <c r="E233" s="113">
        <v>23484.0</v>
      </c>
      <c r="F233" s="114">
        <v>44630.0</v>
      </c>
      <c r="G233" s="111" t="s">
        <v>6519</v>
      </c>
      <c r="H233" s="111" t="s">
        <v>6520</v>
      </c>
      <c r="I233" s="111" t="s">
        <v>6524</v>
      </c>
      <c r="J233" s="111" t="s">
        <v>6427</v>
      </c>
      <c r="K233" s="115"/>
      <c r="L233" s="115" t="s">
        <v>6522</v>
      </c>
      <c r="M233" s="115" t="b">
        <f>IFS($A233=FALSE,"", countif(VLOOKUP($B233,'MARCH 2022'!C:C,1,FALSE),$B233)&gt;=1,TRUE,countif(VLOOKUP($B233,'MARCH 2022'!C:C,1,FALSE),$B233)=0,FALSE)</f>
        <v>1</v>
      </c>
      <c r="N233" s="115" t="b">
        <f>IFS($A233=FALSE,"", countif(VLOOKUP($A233,'MARCH 2022'!A:A,1,FALSE),$A233)&gt;=1,TRUE,countif(VLOOKUP($A233,'MARCH 2022'!A:A,1,FALSE),$A233)=0,FALSE)</f>
        <v>1</v>
      </c>
      <c r="O233" s="111"/>
    </row>
    <row r="234" ht="15.75" customHeight="1">
      <c r="A234" s="110" t="str">
        <f t="shared" si="1"/>
        <v>1629944630</v>
      </c>
      <c r="B234" s="111">
        <v>16299.0</v>
      </c>
      <c r="C234" s="112">
        <v>0.3854166666666667</v>
      </c>
      <c r="D234" s="111" t="s">
        <v>4580</v>
      </c>
      <c r="E234" s="113">
        <v>17491.0</v>
      </c>
      <c r="F234" s="114">
        <v>44630.0</v>
      </c>
      <c r="G234" s="111" t="s">
        <v>6523</v>
      </c>
      <c r="H234" s="111" t="s">
        <v>6520</v>
      </c>
      <c r="I234" s="111" t="s">
        <v>6524</v>
      </c>
      <c r="J234" s="111" t="s">
        <v>6372</v>
      </c>
      <c r="K234" s="115"/>
      <c r="L234" s="115" t="s">
        <v>6522</v>
      </c>
      <c r="M234" s="115" t="b">
        <f>IFS($A234=FALSE,"", countif(VLOOKUP($B234,'MARCH 2022'!C:C,1,FALSE),$B234)&gt;=1,TRUE,countif(VLOOKUP($B234,'MARCH 2022'!C:C,1,FALSE),$B234)=0,FALSE)</f>
        <v>1</v>
      </c>
      <c r="N234" s="115" t="b">
        <f>IFS($A234=FALSE,"", countif(VLOOKUP($A234,'MARCH 2022'!A:A,1,FALSE),$A234)&gt;=1,TRUE,countif(VLOOKUP($A234,'MARCH 2022'!A:A,1,FALSE),$A234)=0,FALSE)</f>
        <v>1</v>
      </c>
      <c r="O234" s="111"/>
    </row>
    <row r="235" ht="15.75" customHeight="1">
      <c r="A235" s="110" t="str">
        <f t="shared" si="1"/>
        <v>1644244630</v>
      </c>
      <c r="B235" s="111">
        <v>16442.0</v>
      </c>
      <c r="C235" s="112">
        <v>0.4375</v>
      </c>
      <c r="D235" s="111" t="s">
        <v>4688</v>
      </c>
      <c r="E235" s="113">
        <v>22978.0</v>
      </c>
      <c r="F235" s="114">
        <v>44630.0</v>
      </c>
      <c r="G235" s="111" t="s">
        <v>6519</v>
      </c>
      <c r="H235" s="111" t="s">
        <v>6520</v>
      </c>
      <c r="I235" s="111" t="s">
        <v>6524</v>
      </c>
      <c r="J235" s="111" t="s">
        <v>6374</v>
      </c>
      <c r="K235" s="115"/>
      <c r="L235" s="115" t="s">
        <v>6522</v>
      </c>
      <c r="M235" s="115" t="b">
        <f>IFS($A235=FALSE,"", countif(VLOOKUP($B235,'MARCH 2022'!C:C,1,FALSE),$B235)&gt;=1,TRUE,countif(VLOOKUP($B235,'MARCH 2022'!C:C,1,FALSE),$B235)=0,FALSE)</f>
        <v>1</v>
      </c>
      <c r="N235" s="115" t="b">
        <f>IFS($A235=FALSE,"", countif(VLOOKUP($A235,'MARCH 2022'!A:A,1,FALSE),$A235)&gt;=1,TRUE,countif(VLOOKUP($A235,'MARCH 2022'!A:A,1,FALSE),$A235)=0,FALSE)</f>
        <v>1</v>
      </c>
      <c r="O235" s="111"/>
    </row>
    <row r="236" ht="15.75" customHeight="1">
      <c r="A236" s="110" t="str">
        <f t="shared" si="1"/>
        <v>1829044630</v>
      </c>
      <c r="B236" s="111">
        <v>18290.0</v>
      </c>
      <c r="C236" s="112">
        <v>0.4479166666666667</v>
      </c>
      <c r="D236" s="111" t="s">
        <v>6356</v>
      </c>
      <c r="E236" s="113">
        <v>28181.0</v>
      </c>
      <c r="F236" s="114">
        <v>44630.0</v>
      </c>
      <c r="G236" s="111" t="s">
        <v>6525</v>
      </c>
      <c r="H236" s="111" t="s">
        <v>6526</v>
      </c>
      <c r="I236" s="111" t="s">
        <v>6529</v>
      </c>
      <c r="J236" s="111" t="s">
        <v>6427</v>
      </c>
      <c r="K236" s="115"/>
      <c r="L236" s="115" t="s">
        <v>6522</v>
      </c>
      <c r="M236" s="115" t="b">
        <f>IFS($A236=FALSE,"", countif(VLOOKUP($B236,'MARCH 2022'!C:C,1,FALSE),$B236)&gt;=1,TRUE,countif(VLOOKUP($B236,'MARCH 2022'!C:C,1,FALSE),$B236)=0,FALSE)</f>
        <v>1</v>
      </c>
      <c r="N236" s="115" t="b">
        <f>IFS($A236=FALSE,"", countif(VLOOKUP($A236,'MARCH 2022'!A:A,1,FALSE),$A236)&gt;=1,TRUE,countif(VLOOKUP($A236,'MARCH 2022'!A:A,1,FALSE),$A236)=0,FALSE)</f>
        <v>1</v>
      </c>
      <c r="O236" s="111"/>
    </row>
    <row r="237" ht="15.75" customHeight="1">
      <c r="A237" s="110" t="str">
        <f t="shared" si="1"/>
        <v>981044630</v>
      </c>
      <c r="B237" s="111">
        <v>9810.0</v>
      </c>
      <c r="C237" s="112">
        <v>0.4479166666666667</v>
      </c>
      <c r="D237" s="111" t="s">
        <v>299</v>
      </c>
      <c r="E237" s="113">
        <v>20018.0</v>
      </c>
      <c r="F237" s="114">
        <v>44630.0</v>
      </c>
      <c r="G237" s="111" t="s">
        <v>6523</v>
      </c>
      <c r="H237" s="111" t="s">
        <v>6526</v>
      </c>
      <c r="I237" s="111" t="s">
        <v>6529</v>
      </c>
      <c r="J237" s="111" t="s">
        <v>6427</v>
      </c>
      <c r="K237" s="115"/>
      <c r="L237" s="115" t="s">
        <v>6522</v>
      </c>
      <c r="M237" s="115" t="b">
        <f>IFS($A237=FALSE,"", countif(VLOOKUP($B237,'MARCH 2022'!C:C,1,FALSE),$B237)&gt;=1,TRUE,countif(VLOOKUP($B237,'MARCH 2022'!C:C,1,FALSE),$B237)=0,FALSE)</f>
        <v>1</v>
      </c>
      <c r="N237" s="115" t="b">
        <f>IFS($A237=FALSE,"", countif(VLOOKUP($A237,'MARCH 2022'!A:A,1,FALSE),$A237)&gt;=1,TRUE,countif(VLOOKUP($A237,'MARCH 2022'!A:A,1,FALSE),$A237)=0,FALSE)</f>
        <v>1</v>
      </c>
      <c r="O237" s="111"/>
    </row>
    <row r="238" ht="15.75" customHeight="1">
      <c r="A238" s="110" t="str">
        <f t="shared" si="1"/>
        <v>1755744630</v>
      </c>
      <c r="B238" s="111">
        <v>17557.0</v>
      </c>
      <c r="C238" s="112">
        <v>0.4583333333333333</v>
      </c>
      <c r="D238" s="111" t="s">
        <v>5808</v>
      </c>
      <c r="E238" s="113">
        <v>21735.0</v>
      </c>
      <c r="F238" s="114">
        <v>44630.0</v>
      </c>
      <c r="G238" s="111" t="s">
        <v>6523</v>
      </c>
      <c r="H238" s="111" t="s">
        <v>6520</v>
      </c>
      <c r="I238" s="111" t="s">
        <v>6521</v>
      </c>
      <c r="J238" s="111" t="s">
        <v>6427</v>
      </c>
      <c r="K238" s="115"/>
      <c r="L238" s="115" t="s">
        <v>6522</v>
      </c>
      <c r="M238" s="115" t="b">
        <f>IFS($A238=FALSE,"", countif(VLOOKUP($B238,'MARCH 2022'!C:C,1,FALSE),$B238)&gt;=1,TRUE,countif(VLOOKUP($B238,'MARCH 2022'!C:C,1,FALSE),$B238)=0,FALSE)</f>
        <v>1</v>
      </c>
      <c r="N238" s="115" t="b">
        <f>IFS($A238=FALSE,"", countif(VLOOKUP($A238,'MARCH 2022'!A:A,1,FALSE),$A238)&gt;=1,TRUE,countif(VLOOKUP($A238,'MARCH 2022'!A:A,1,FALSE),$A238)=0,FALSE)</f>
        <v>1</v>
      </c>
      <c r="O238" s="111"/>
    </row>
    <row r="239" ht="15.75" customHeight="1">
      <c r="A239" s="110" t="str">
        <f t="shared" si="1"/>
        <v>1833244630</v>
      </c>
      <c r="B239" s="111">
        <v>18332.0</v>
      </c>
      <c r="C239" s="112">
        <v>0.5416666666666666</v>
      </c>
      <c r="D239" s="111" t="s">
        <v>6357</v>
      </c>
      <c r="E239" s="113">
        <v>18431.0</v>
      </c>
      <c r="F239" s="114">
        <v>44630.0</v>
      </c>
      <c r="G239" s="111" t="s">
        <v>6525</v>
      </c>
      <c r="H239" s="111" t="s">
        <v>6526</v>
      </c>
      <c r="I239" s="111" t="s">
        <v>6529</v>
      </c>
      <c r="J239" s="111" t="s">
        <v>6427</v>
      </c>
      <c r="K239" s="115"/>
      <c r="L239" s="115" t="s">
        <v>6522</v>
      </c>
      <c r="M239" s="115" t="b">
        <f>IFS($A239=FALSE,"", countif(VLOOKUP($B239,'MARCH 2022'!C:C,1,FALSE),$B239)&gt;=1,TRUE,countif(VLOOKUP($B239,'MARCH 2022'!C:C,1,FALSE),$B239)=0,FALSE)</f>
        <v>1</v>
      </c>
      <c r="N239" s="115" t="b">
        <f>IFS($A239=FALSE,"", countif(VLOOKUP($A239,'MARCH 2022'!A:A,1,FALSE),$A239)&gt;=1,TRUE,countif(VLOOKUP($A239,'MARCH 2022'!A:A,1,FALSE),$A239)=0,FALSE)</f>
        <v>1</v>
      </c>
      <c r="O239" s="111"/>
    </row>
    <row r="240" ht="15.75" customHeight="1">
      <c r="A240" s="110" t="str">
        <f t="shared" si="1"/>
        <v>1830744630</v>
      </c>
      <c r="B240" s="111">
        <v>18307.0</v>
      </c>
      <c r="C240" s="112">
        <v>0.5416666666666666</v>
      </c>
      <c r="D240" s="111" t="s">
        <v>6358</v>
      </c>
      <c r="E240" s="113">
        <v>19623.0</v>
      </c>
      <c r="F240" s="114">
        <v>44630.0</v>
      </c>
      <c r="G240" s="111" t="s">
        <v>6525</v>
      </c>
      <c r="H240" s="111" t="s">
        <v>6526</v>
      </c>
      <c r="I240" s="111" t="s">
        <v>6529</v>
      </c>
      <c r="J240" s="111" t="s">
        <v>6427</v>
      </c>
      <c r="K240" s="115"/>
      <c r="L240" s="115" t="s">
        <v>6522</v>
      </c>
      <c r="M240" s="115" t="b">
        <f>IFS($A240=FALSE,"", countif(VLOOKUP($B240,'MARCH 2022'!C:C,1,FALSE),$B240)&gt;=1,TRUE,countif(VLOOKUP($B240,'MARCH 2022'!C:C,1,FALSE),$B240)=0,FALSE)</f>
        <v>1</v>
      </c>
      <c r="N240" s="115" t="b">
        <f>IFS($A240=FALSE,"", countif(VLOOKUP($A240,'MARCH 2022'!A:A,1,FALSE),$A240)&gt;=1,TRUE,countif(VLOOKUP($A240,'MARCH 2022'!A:A,1,FALSE),$A240)=0,FALSE)</f>
        <v>1</v>
      </c>
      <c r="O240" s="111"/>
    </row>
    <row r="241" ht="15.75" customHeight="1">
      <c r="A241" s="110" t="str">
        <f t="shared" si="1"/>
        <v>1117444630</v>
      </c>
      <c r="B241" s="111">
        <v>11174.0</v>
      </c>
      <c r="C241" s="112">
        <v>0.5416666666666666</v>
      </c>
      <c r="D241" s="111" t="s">
        <v>845</v>
      </c>
      <c r="E241" s="113">
        <v>20173.0</v>
      </c>
      <c r="F241" s="114">
        <v>44630.0</v>
      </c>
      <c r="G241" s="111" t="s">
        <v>6523</v>
      </c>
      <c r="H241" s="111" t="s">
        <v>6520</v>
      </c>
      <c r="I241" s="111" t="s">
        <v>6521</v>
      </c>
      <c r="J241" s="111" t="s">
        <v>6385</v>
      </c>
      <c r="K241" s="115"/>
      <c r="L241" s="115" t="s">
        <v>6522</v>
      </c>
      <c r="M241" s="115" t="b">
        <f>IFS($A241=FALSE,"", countif(VLOOKUP($B241,'MARCH 2022'!C:C,1,FALSE),$B241)&gt;=1,TRUE,countif(VLOOKUP($B241,'MARCH 2022'!C:C,1,FALSE),$B241)=0,FALSE)</f>
        <v>1</v>
      </c>
      <c r="N241" s="115" t="b">
        <f>IFS($A241=FALSE,"", countif(VLOOKUP($A241,'MARCH 2022'!A:A,1,FALSE),$A241)&gt;=1,TRUE,countif(VLOOKUP($A241,'MARCH 2022'!A:A,1,FALSE),$A241)=0,FALSE)</f>
        <v>1</v>
      </c>
      <c r="O241" s="111"/>
    </row>
    <row r="242" ht="15.75" customHeight="1">
      <c r="A242" s="110" t="str">
        <f t="shared" si="1"/>
        <v>1010044630</v>
      </c>
      <c r="B242" s="111">
        <v>10100.0</v>
      </c>
      <c r="C242" s="112">
        <v>0.5416666666666666</v>
      </c>
      <c r="D242" s="111" t="s">
        <v>410</v>
      </c>
      <c r="E242" s="113">
        <v>21315.0</v>
      </c>
      <c r="F242" s="114">
        <v>44630.0</v>
      </c>
      <c r="G242" s="111" t="s">
        <v>6523</v>
      </c>
      <c r="H242" s="111" t="s">
        <v>6520</v>
      </c>
      <c r="I242" s="111" t="s">
        <v>6524</v>
      </c>
      <c r="J242" s="111" t="s">
        <v>6448</v>
      </c>
      <c r="K242" s="115"/>
      <c r="L242" s="115" t="s">
        <v>6522</v>
      </c>
      <c r="M242" s="115" t="b">
        <f>IFS($A242=FALSE,"", countif(VLOOKUP($B242,'MARCH 2022'!C:C,1,FALSE),$B242)&gt;=1,TRUE,countif(VLOOKUP($B242,'MARCH 2022'!C:C,1,FALSE),$B242)=0,FALSE)</f>
        <v>1</v>
      </c>
      <c r="N242" s="115" t="b">
        <f>IFS($A242=FALSE,"", countif(VLOOKUP($A242,'MARCH 2022'!A:A,1,FALSE),$A242)&gt;=1,TRUE,countif(VLOOKUP($A242,'MARCH 2022'!A:A,1,FALSE),$A242)=0,FALSE)</f>
        <v>1</v>
      </c>
      <c r="O242" s="111"/>
    </row>
    <row r="243" ht="15.75" customHeight="1">
      <c r="A243" s="110" t="str">
        <f t="shared" si="1"/>
        <v>1566844630</v>
      </c>
      <c r="B243" s="111">
        <v>15668.0</v>
      </c>
      <c r="C243" s="112">
        <v>0.5625</v>
      </c>
      <c r="D243" s="111" t="s">
        <v>4036</v>
      </c>
      <c r="E243" s="113">
        <v>18726.0</v>
      </c>
      <c r="F243" s="114">
        <v>44630.0</v>
      </c>
      <c r="G243" s="111" t="s">
        <v>6523</v>
      </c>
      <c r="H243" s="111" t="s">
        <v>6520</v>
      </c>
      <c r="I243" s="111" t="s">
        <v>6521</v>
      </c>
      <c r="J243" s="111" t="s">
        <v>6374</v>
      </c>
      <c r="K243" s="115"/>
      <c r="L243" s="115" t="s">
        <v>6522</v>
      </c>
      <c r="M243" s="115" t="b">
        <f>IFS($A243=FALSE,"", countif(VLOOKUP($B243,'MARCH 2022'!C:C,1,FALSE),$B243)&gt;=1,TRUE,countif(VLOOKUP($B243,'MARCH 2022'!C:C,1,FALSE),$B243)=0,FALSE)</f>
        <v>1</v>
      </c>
      <c r="N243" s="115" t="b">
        <f>IFS($A243=FALSE,"", countif(VLOOKUP($A243,'MARCH 2022'!A:A,1,FALSE),$A243)&gt;=1,TRUE,countif(VLOOKUP($A243,'MARCH 2022'!A:A,1,FALSE),$A243)=0,FALSE)</f>
        <v>1</v>
      </c>
      <c r="O243" s="111"/>
    </row>
    <row r="244" ht="15.75" customHeight="1">
      <c r="A244" s="110" t="str">
        <f t="shared" si="1"/>
        <v>1257244630</v>
      </c>
      <c r="B244" s="111">
        <v>12572.0</v>
      </c>
      <c r="C244" s="112">
        <v>0.5833333333333334</v>
      </c>
      <c r="D244" s="111" t="s">
        <v>1547</v>
      </c>
      <c r="E244" s="113">
        <v>18267.0</v>
      </c>
      <c r="F244" s="114">
        <v>44630.0</v>
      </c>
      <c r="G244" s="111" t="s">
        <v>6523</v>
      </c>
      <c r="H244" s="111" t="s">
        <v>6520</v>
      </c>
      <c r="I244" s="111" t="s">
        <v>6524</v>
      </c>
      <c r="J244" s="111" t="s">
        <v>6427</v>
      </c>
      <c r="K244" s="115"/>
      <c r="L244" s="115" t="s">
        <v>6522</v>
      </c>
      <c r="M244" s="115" t="b">
        <f>IFS($A244=FALSE,"", countif(VLOOKUP($B244,'MARCH 2022'!C:C,1,FALSE),$B244)&gt;=1,TRUE,countif(VLOOKUP($B244,'MARCH 2022'!C:C,1,FALSE),$B244)=0,FALSE)</f>
        <v>1</v>
      </c>
      <c r="N244" s="115" t="b">
        <f>IFS($A244=FALSE,"", countif(VLOOKUP($A244,'MARCH 2022'!A:A,1,FALSE),$A244)&gt;=1,TRUE,countif(VLOOKUP($A244,'MARCH 2022'!A:A,1,FALSE),$A244)=0,FALSE)</f>
        <v>1</v>
      </c>
      <c r="O244" s="111"/>
    </row>
    <row r="245" ht="15.75" customHeight="1">
      <c r="A245" s="110" t="str">
        <f t="shared" si="1"/>
        <v>999844630</v>
      </c>
      <c r="B245" s="111">
        <v>9998.0</v>
      </c>
      <c r="C245" s="112">
        <v>0.6041666666666666</v>
      </c>
      <c r="D245" s="111" t="s">
        <v>6359</v>
      </c>
      <c r="E245" s="113">
        <v>33532.0</v>
      </c>
      <c r="F245" s="114">
        <v>44630.0</v>
      </c>
      <c r="G245" s="111" t="s">
        <v>6523</v>
      </c>
      <c r="H245" s="111" t="s">
        <v>6526</v>
      </c>
      <c r="I245" s="111" t="s">
        <v>6529</v>
      </c>
      <c r="J245" s="111" t="s">
        <v>6407</v>
      </c>
      <c r="K245" s="115"/>
      <c r="L245" s="115" t="s">
        <v>6522</v>
      </c>
      <c r="M245" s="115" t="b">
        <f>IFS($A245=FALSE,"", countif(VLOOKUP($B245,'MARCH 2022'!C:C,1,FALSE),$B245)&gt;=1,TRUE,countif(VLOOKUP($B245,'MARCH 2022'!C:C,1,FALSE),$B245)=0,FALSE)</f>
        <v>1</v>
      </c>
      <c r="N245" s="115" t="b">
        <f>IFS($A245=FALSE,"", countif(VLOOKUP($A245,'MARCH 2022'!A:A,1,FALSE),$A245)&gt;=1,TRUE,countif(VLOOKUP($A245,'MARCH 2022'!A:A,1,FALSE),$A245)=0,FALSE)</f>
        <v>1</v>
      </c>
      <c r="O245" s="111"/>
    </row>
    <row r="246" ht="15.75" customHeight="1">
      <c r="A246" s="110" t="str">
        <f t="shared" si="1"/>
        <v>1351244630</v>
      </c>
      <c r="B246" s="111">
        <v>13512.0</v>
      </c>
      <c r="C246" s="112">
        <v>0.6145833333333334</v>
      </c>
      <c r="D246" s="111" t="s">
        <v>2287</v>
      </c>
      <c r="E246" s="113">
        <v>14802.0</v>
      </c>
      <c r="F246" s="114">
        <v>44630.0</v>
      </c>
      <c r="G246" s="111" t="s">
        <v>6523</v>
      </c>
      <c r="H246" s="111" t="s">
        <v>6526</v>
      </c>
      <c r="I246" s="111" t="s">
        <v>6529</v>
      </c>
      <c r="J246" s="111" t="s">
        <v>6427</v>
      </c>
      <c r="K246" s="115"/>
      <c r="L246" s="115" t="s">
        <v>6522</v>
      </c>
      <c r="M246" s="115" t="b">
        <f>IFS($A246=FALSE,"", countif(VLOOKUP($B246,'MARCH 2022'!C:C,1,FALSE),$B246)&gt;=1,TRUE,countif(VLOOKUP($B246,'MARCH 2022'!C:C,1,FALSE),$B246)=0,FALSE)</f>
        <v>1</v>
      </c>
      <c r="N246" s="115" t="b">
        <f>IFS($A246=FALSE,"", countif(VLOOKUP($A246,'MARCH 2022'!A:A,1,FALSE),$A246)&gt;=1,TRUE,countif(VLOOKUP($A246,'MARCH 2022'!A:A,1,FALSE),$A246)=0,FALSE)</f>
        <v>1</v>
      </c>
      <c r="O246" s="111"/>
    </row>
    <row r="247" ht="15.75" customHeight="1">
      <c r="A247" s="110" t="str">
        <f t="shared" si="1"/>
        <v>1763544630</v>
      </c>
      <c r="B247" s="111">
        <v>17635.0</v>
      </c>
      <c r="C247" s="112">
        <v>0.6145833333333334</v>
      </c>
      <c r="D247" s="111" t="s">
        <v>5796</v>
      </c>
      <c r="E247" s="113">
        <v>13329.0</v>
      </c>
      <c r="F247" s="114">
        <v>44630.0</v>
      </c>
      <c r="G247" s="111" t="s">
        <v>6523</v>
      </c>
      <c r="H247" s="111" t="s">
        <v>6520</v>
      </c>
      <c r="I247" s="111" t="s">
        <v>6521</v>
      </c>
      <c r="J247" s="111" t="s">
        <v>6451</v>
      </c>
      <c r="K247" s="115"/>
      <c r="L247" s="115" t="s">
        <v>6522</v>
      </c>
      <c r="M247" s="115" t="b">
        <f>IFS($A247=FALSE,"", countif(VLOOKUP($B247,'MARCH 2022'!C:C,1,FALSE),$B247)&gt;=1,TRUE,countif(VLOOKUP($B247,'MARCH 2022'!C:C,1,FALSE),$B247)=0,FALSE)</f>
        <v>1</v>
      </c>
      <c r="N247" s="115" t="b">
        <f>IFS($A247=FALSE,"", countif(VLOOKUP($A247,'MARCH 2022'!A:A,1,FALSE),$A247)&gt;=1,TRUE,countif(VLOOKUP($A247,'MARCH 2022'!A:A,1,FALSE),$A247)=0,FALSE)</f>
        <v>1</v>
      </c>
      <c r="O247" s="111"/>
    </row>
    <row r="248" ht="15.75" customHeight="1">
      <c r="A248" s="110" t="str">
        <f t="shared" si="1"/>
        <v>1554444630</v>
      </c>
      <c r="B248" s="111">
        <v>15544.0</v>
      </c>
      <c r="C248" s="112">
        <v>0.6458333333333334</v>
      </c>
      <c r="D248" s="111" t="s">
        <v>3926</v>
      </c>
      <c r="E248" s="113">
        <v>33593.0</v>
      </c>
      <c r="F248" s="114">
        <v>44630.0</v>
      </c>
      <c r="G248" s="111" t="s">
        <v>6523</v>
      </c>
      <c r="H248" s="111" t="s">
        <v>6520</v>
      </c>
      <c r="I248" s="111" t="s">
        <v>6521</v>
      </c>
      <c r="J248" s="111" t="s">
        <v>6391</v>
      </c>
      <c r="K248" s="115"/>
      <c r="L248" s="115" t="s">
        <v>6522</v>
      </c>
      <c r="M248" s="115" t="b">
        <f>IFS($A248=FALSE,"", countif(VLOOKUP($B248,'MARCH 2022'!C:C,1,FALSE),$B248)&gt;=1,TRUE,countif(VLOOKUP($B248,'MARCH 2022'!C:C,1,FALSE),$B248)=0,FALSE)</f>
        <v>1</v>
      </c>
      <c r="N248" s="115" t="b">
        <f>IFS($A248=FALSE,"", countif(VLOOKUP($A248,'MARCH 2022'!A:A,1,FALSE),$A248)&gt;=1,TRUE,countif(VLOOKUP($A248,'MARCH 2022'!A:A,1,FALSE),$A248)=0,FALSE)</f>
        <v>1</v>
      </c>
      <c r="O248" s="111"/>
    </row>
    <row r="249" ht="15.75" customHeight="1">
      <c r="A249" s="110" t="str">
        <f t="shared" si="1"/>
        <v>1580344630</v>
      </c>
      <c r="B249" s="111">
        <v>15803.0</v>
      </c>
      <c r="C249" s="112">
        <v>0.6458333333333334</v>
      </c>
      <c r="D249" s="111" t="s">
        <v>4160</v>
      </c>
      <c r="E249" s="113">
        <v>23681.0</v>
      </c>
      <c r="F249" s="114">
        <v>44630.0</v>
      </c>
      <c r="G249" s="111" t="s">
        <v>6519</v>
      </c>
      <c r="H249" s="111" t="s">
        <v>6520</v>
      </c>
      <c r="I249" s="111" t="s">
        <v>6521</v>
      </c>
      <c r="J249" s="111" t="s">
        <v>6410</v>
      </c>
      <c r="K249" s="115"/>
      <c r="L249" s="115" t="s">
        <v>6522</v>
      </c>
      <c r="M249" s="115" t="b">
        <f>IFS($A249=FALSE,"", countif(VLOOKUP($B249,'MARCH 2022'!C:C,1,FALSE),$B249)&gt;=1,TRUE,countif(VLOOKUP($B249,'MARCH 2022'!C:C,1,FALSE),$B249)=0,FALSE)</f>
        <v>1</v>
      </c>
      <c r="N249" s="115" t="b">
        <f>IFS($A249=FALSE,"", countif(VLOOKUP($A249,'MARCH 2022'!A:A,1,FALSE),$A249)&gt;=1,TRUE,countif(VLOOKUP($A249,'MARCH 2022'!A:A,1,FALSE),$A249)=0,FALSE)</f>
        <v>1</v>
      </c>
      <c r="O249" s="111"/>
    </row>
    <row r="250" ht="15.75" customHeight="1">
      <c r="A250" s="110" t="str">
        <f t="shared" si="1"/>
        <v>1521644631</v>
      </c>
      <c r="B250" s="111">
        <v>15216.0</v>
      </c>
      <c r="C250" s="112">
        <v>0.3333333333333333</v>
      </c>
      <c r="D250" s="111" t="s">
        <v>3649</v>
      </c>
      <c r="E250" s="113">
        <v>19488.0</v>
      </c>
      <c r="F250" s="114">
        <v>44631.0</v>
      </c>
      <c r="G250" s="111" t="s">
        <v>6523</v>
      </c>
      <c r="H250" s="111" t="s">
        <v>6520</v>
      </c>
      <c r="I250" s="111" t="s">
        <v>6521</v>
      </c>
      <c r="J250" s="111" t="s">
        <v>6427</v>
      </c>
      <c r="K250" s="115"/>
      <c r="L250" s="115" t="s">
        <v>6522</v>
      </c>
      <c r="M250" s="115" t="b">
        <f>IFS($A250=FALSE,"", countif(VLOOKUP($B250,'MARCH 2022'!C:C,1,FALSE),$B250)&gt;=1,TRUE,countif(VLOOKUP($B250,'MARCH 2022'!C:C,1,FALSE),$B250)=0,FALSE)</f>
        <v>1</v>
      </c>
      <c r="N250" s="115" t="b">
        <f>IFS($A250=FALSE,"", countif(VLOOKUP($A250,'MARCH 2022'!A:A,1,FALSE),$A250)&gt;=1,TRUE,countif(VLOOKUP($A250,'MARCH 2022'!A:A,1,FALSE),$A250)=0,FALSE)</f>
        <v>1</v>
      </c>
      <c r="O250" s="111"/>
    </row>
    <row r="251" ht="15.75" customHeight="1">
      <c r="A251" s="110" t="str">
        <f t="shared" si="1"/>
        <v>1052544631</v>
      </c>
      <c r="B251" s="111">
        <v>10525.0</v>
      </c>
      <c r="C251" s="112">
        <v>0.3333333333333333</v>
      </c>
      <c r="D251" s="111" t="s">
        <v>584</v>
      </c>
      <c r="E251" s="113">
        <v>21713.0</v>
      </c>
      <c r="F251" s="114">
        <v>44631.0</v>
      </c>
      <c r="G251" s="111" t="s">
        <v>6523</v>
      </c>
      <c r="H251" s="111" t="s">
        <v>6520</v>
      </c>
      <c r="I251" s="111" t="s">
        <v>6524</v>
      </c>
      <c r="J251" s="111" t="s">
        <v>6489</v>
      </c>
      <c r="K251" s="115"/>
      <c r="L251" s="115" t="s">
        <v>6522</v>
      </c>
      <c r="M251" s="115" t="b">
        <f>IFS($A251=FALSE,"", countif(VLOOKUP($B251,'MARCH 2022'!C:C,1,FALSE),$B251)&gt;=1,TRUE,countif(VLOOKUP($B251,'MARCH 2022'!C:C,1,FALSE),$B251)=0,FALSE)</f>
        <v>1</v>
      </c>
      <c r="N251" s="115" t="b">
        <f>IFS($A251=FALSE,"", countif(VLOOKUP($A251,'MARCH 2022'!A:A,1,FALSE),$A251)&gt;=1,TRUE,countif(VLOOKUP($A251,'MARCH 2022'!A:A,1,FALSE),$A251)=0,FALSE)</f>
        <v>1</v>
      </c>
      <c r="O251" s="111"/>
    </row>
    <row r="252" ht="15.75" customHeight="1">
      <c r="A252" s="110" t="str">
        <f t="shared" si="1"/>
        <v>917044631</v>
      </c>
      <c r="B252" s="111">
        <v>9170.0</v>
      </c>
      <c r="C252" s="112">
        <v>0.3333333333333333</v>
      </c>
      <c r="D252" s="111" t="s">
        <v>51</v>
      </c>
      <c r="E252" s="113">
        <v>18503.0</v>
      </c>
      <c r="F252" s="114">
        <v>44631.0</v>
      </c>
      <c r="G252" s="111" t="s">
        <v>6523</v>
      </c>
      <c r="H252" s="111" t="s">
        <v>6520</v>
      </c>
      <c r="I252" s="111" t="s">
        <v>6524</v>
      </c>
      <c r="J252" s="111" t="s">
        <v>6384</v>
      </c>
      <c r="K252" s="115"/>
      <c r="L252" s="115" t="s">
        <v>6522</v>
      </c>
      <c r="M252" s="115" t="b">
        <f>IFS($A252=FALSE,"", countif(VLOOKUP($B252,'MARCH 2022'!C:C,1,FALSE),$B252)&gt;=1,TRUE,countif(VLOOKUP($B252,'MARCH 2022'!C:C,1,FALSE),$B252)=0,FALSE)</f>
        <v>1</v>
      </c>
      <c r="N252" s="115" t="b">
        <f>IFS($A252=FALSE,"", countif(VLOOKUP($A252,'MARCH 2022'!A:A,1,FALSE),$A252)&gt;=1,TRUE,countif(VLOOKUP($A252,'MARCH 2022'!A:A,1,FALSE),$A252)=0,FALSE)</f>
        <v>1</v>
      </c>
      <c r="O252" s="111"/>
    </row>
    <row r="253" ht="15.75" customHeight="1">
      <c r="A253" s="110" t="str">
        <f t="shared" si="1"/>
        <v>1027744631</v>
      </c>
      <c r="B253" s="111">
        <v>10277.0</v>
      </c>
      <c r="C253" s="112">
        <v>0.3541666666666667</v>
      </c>
      <c r="D253" s="111" t="s">
        <v>473</v>
      </c>
      <c r="E253" s="113">
        <v>19210.0</v>
      </c>
      <c r="F253" s="114">
        <v>44631.0</v>
      </c>
      <c r="G253" s="111" t="s">
        <v>6519</v>
      </c>
      <c r="H253" s="111" t="s">
        <v>6526</v>
      </c>
      <c r="I253" s="111" t="s">
        <v>6529</v>
      </c>
      <c r="J253" s="111" t="s">
        <v>6427</v>
      </c>
      <c r="K253" s="115"/>
      <c r="L253" s="115" t="s">
        <v>6522</v>
      </c>
      <c r="M253" s="115" t="b">
        <f>IFS($A253=FALSE,"", countif(VLOOKUP($B253,'MARCH 2022'!C:C,1,FALSE),$B253)&gt;=1,TRUE,countif(VLOOKUP($B253,'MARCH 2022'!C:C,1,FALSE),$B253)=0,FALSE)</f>
        <v>1</v>
      </c>
      <c r="N253" s="115" t="b">
        <f>IFS($A253=FALSE,"", countif(VLOOKUP($A253,'MARCH 2022'!A:A,1,FALSE),$A253)&gt;=1,TRUE,countif(VLOOKUP($A253,'MARCH 2022'!A:A,1,FALSE),$A253)=0,FALSE)</f>
        <v>1</v>
      </c>
      <c r="O253" s="111"/>
    </row>
    <row r="254" ht="15.75" customHeight="1">
      <c r="A254" s="110" t="str">
        <f t="shared" si="1"/>
        <v>1389244631</v>
      </c>
      <c r="B254" s="111">
        <v>13892.0</v>
      </c>
      <c r="C254" s="112">
        <v>0.3541666666666667</v>
      </c>
      <c r="D254" s="111" t="s">
        <v>2585</v>
      </c>
      <c r="E254" s="113">
        <v>25062.0</v>
      </c>
      <c r="F254" s="114">
        <v>44631.0</v>
      </c>
      <c r="G254" s="111" t="s">
        <v>6519</v>
      </c>
      <c r="H254" s="111" t="s">
        <v>6520</v>
      </c>
      <c r="I254" s="111" t="s">
        <v>6524</v>
      </c>
      <c r="J254" s="111" t="s">
        <v>6381</v>
      </c>
      <c r="K254" s="115"/>
      <c r="L254" s="115" t="s">
        <v>6522</v>
      </c>
      <c r="M254" s="115" t="b">
        <f>IFS($A254=FALSE,"", countif(VLOOKUP($B254,'MARCH 2022'!C:C,1,FALSE),$B254)&gt;=1,TRUE,countif(VLOOKUP($B254,'MARCH 2022'!C:C,1,FALSE),$B254)=0,FALSE)</f>
        <v>1</v>
      </c>
      <c r="N254" s="115" t="b">
        <f>IFS($A254=FALSE,"", countif(VLOOKUP($A254,'MARCH 2022'!A:A,1,FALSE),$A254)&gt;=1,TRUE,countif(VLOOKUP($A254,'MARCH 2022'!A:A,1,FALSE),$A254)=0,FALSE)</f>
        <v>1</v>
      </c>
      <c r="O254" s="111"/>
    </row>
    <row r="255" ht="15.75" customHeight="1">
      <c r="A255" s="110" t="str">
        <f t="shared" si="1"/>
        <v>1121844631</v>
      </c>
      <c r="B255" s="111">
        <v>11218.0</v>
      </c>
      <c r="C255" s="112">
        <v>0.3645833333333333</v>
      </c>
      <c r="D255" s="111" t="s">
        <v>864</v>
      </c>
      <c r="E255" s="113">
        <v>20869.0</v>
      </c>
      <c r="F255" s="114">
        <v>44631.0</v>
      </c>
      <c r="G255" s="111" t="s">
        <v>6523</v>
      </c>
      <c r="H255" s="111" t="s">
        <v>6526</v>
      </c>
      <c r="I255" s="111" t="s">
        <v>6529</v>
      </c>
      <c r="J255" s="111" t="s">
        <v>6427</v>
      </c>
      <c r="K255" s="115"/>
      <c r="L255" s="115" t="s">
        <v>6522</v>
      </c>
      <c r="M255" s="115" t="b">
        <f>IFS($A255=FALSE,"", countif(VLOOKUP($B255,'MARCH 2022'!C:C,1,FALSE),$B255)&gt;=1,TRUE,countif(VLOOKUP($B255,'MARCH 2022'!C:C,1,FALSE),$B255)=0,FALSE)</f>
        <v>1</v>
      </c>
      <c r="N255" s="115" t="b">
        <f>IFS($A255=FALSE,"", countif(VLOOKUP($A255,'MARCH 2022'!A:A,1,FALSE),$A255)&gt;=1,TRUE,countif(VLOOKUP($A255,'MARCH 2022'!A:A,1,FALSE),$A255)=0,FALSE)</f>
        <v>1</v>
      </c>
      <c r="O255" s="111"/>
    </row>
    <row r="256" ht="15.75" customHeight="1">
      <c r="A256" s="110" t="str">
        <f t="shared" si="1"/>
        <v>1329944631</v>
      </c>
      <c r="B256" s="111">
        <v>13299.0</v>
      </c>
      <c r="C256" s="112">
        <v>0.3645833333333333</v>
      </c>
      <c r="D256" s="111" t="s">
        <v>2123</v>
      </c>
      <c r="E256" s="113">
        <v>28288.0</v>
      </c>
      <c r="F256" s="114">
        <v>44631.0</v>
      </c>
      <c r="G256" s="111" t="s">
        <v>6523</v>
      </c>
      <c r="H256" s="111" t="s">
        <v>6520</v>
      </c>
      <c r="I256" s="111" t="s">
        <v>6524</v>
      </c>
      <c r="J256" s="111" t="s">
        <v>6489</v>
      </c>
      <c r="K256" s="115"/>
      <c r="L256" s="115" t="s">
        <v>6522</v>
      </c>
      <c r="M256" s="115" t="b">
        <f>IFS($A256=FALSE,"", countif(VLOOKUP($B256,'MARCH 2022'!C:C,1,FALSE),$B256)&gt;=1,TRUE,countif(VLOOKUP($B256,'MARCH 2022'!C:C,1,FALSE),$B256)=0,FALSE)</f>
        <v>1</v>
      </c>
      <c r="N256" s="115" t="b">
        <f>IFS($A256=FALSE,"", countif(VLOOKUP($A256,'MARCH 2022'!A:A,1,FALSE),$A256)&gt;=1,TRUE,countif(VLOOKUP($A256,'MARCH 2022'!A:A,1,FALSE),$A256)=0,FALSE)</f>
        <v>1</v>
      </c>
      <c r="O256" s="111"/>
    </row>
    <row r="257" ht="15.75" customHeight="1">
      <c r="A257" s="110" t="str">
        <f t="shared" si="1"/>
        <v>1401944631</v>
      </c>
      <c r="B257" s="111">
        <v>14019.0</v>
      </c>
      <c r="C257" s="112">
        <v>0.375</v>
      </c>
      <c r="D257" s="111" t="s">
        <v>2677</v>
      </c>
      <c r="E257" s="113">
        <v>23292.0</v>
      </c>
      <c r="F257" s="114">
        <v>44631.0</v>
      </c>
      <c r="G257" s="111" t="s">
        <v>6519</v>
      </c>
      <c r="H257" s="111" t="s">
        <v>6520</v>
      </c>
      <c r="I257" s="111" t="s">
        <v>6521</v>
      </c>
      <c r="J257" s="111" t="s">
        <v>6489</v>
      </c>
      <c r="K257" s="115"/>
      <c r="L257" s="115" t="s">
        <v>6522</v>
      </c>
      <c r="M257" s="115" t="b">
        <f>IFS($A257=FALSE,"", countif(VLOOKUP($B257,'MARCH 2022'!C:C,1,FALSE),$B257)&gt;=1,TRUE,countif(VLOOKUP($B257,'MARCH 2022'!C:C,1,FALSE),$B257)=0,FALSE)</f>
        <v>1</v>
      </c>
      <c r="N257" s="115" t="b">
        <f>IFS($A257=FALSE,"", countif(VLOOKUP($A257,'MARCH 2022'!A:A,1,FALSE),$A257)&gt;=1,TRUE,countif(VLOOKUP($A257,'MARCH 2022'!A:A,1,FALSE),$A257)=0,FALSE)</f>
        <v>1</v>
      </c>
      <c r="O257" s="111"/>
    </row>
    <row r="258" ht="15.75" customHeight="1">
      <c r="A258" s="110" t="str">
        <f t="shared" si="1"/>
        <v>1784444631</v>
      </c>
      <c r="B258" s="111">
        <v>17844.0</v>
      </c>
      <c r="C258" s="112">
        <v>0.375</v>
      </c>
      <c r="D258" s="111" t="s">
        <v>5998</v>
      </c>
      <c r="E258" s="113">
        <v>30422.0</v>
      </c>
      <c r="F258" s="114">
        <v>44631.0</v>
      </c>
      <c r="G258" s="111" t="s">
        <v>6519</v>
      </c>
      <c r="H258" s="111" t="s">
        <v>6520</v>
      </c>
      <c r="I258" s="111" t="s">
        <v>6524</v>
      </c>
      <c r="J258" s="111" t="s">
        <v>6381</v>
      </c>
      <c r="K258" s="115"/>
      <c r="L258" s="115" t="s">
        <v>6522</v>
      </c>
      <c r="M258" s="115" t="b">
        <f>IFS($A258=FALSE,"", countif(VLOOKUP($B258,'MARCH 2022'!C:C,1,FALSE),$B258)&gt;=1,TRUE,countif(VLOOKUP($B258,'MARCH 2022'!C:C,1,FALSE),$B258)=0,FALSE)</f>
        <v>1</v>
      </c>
      <c r="N258" s="115" t="b">
        <f>IFS($A258=FALSE,"", countif(VLOOKUP($A258,'MARCH 2022'!A:A,1,FALSE),$A258)&gt;=1,TRUE,countif(VLOOKUP($A258,'MARCH 2022'!A:A,1,FALSE),$A258)=0,FALSE)</f>
        <v>1</v>
      </c>
      <c r="O258" s="111"/>
    </row>
    <row r="259" ht="15.75" customHeight="1">
      <c r="A259" s="110" t="str">
        <f t="shared" si="1"/>
        <v>1699544631</v>
      </c>
      <c r="B259" s="111">
        <v>16995.0</v>
      </c>
      <c r="C259" s="112">
        <v>0.3854166666666667</v>
      </c>
      <c r="D259" s="111" t="s">
        <v>5117</v>
      </c>
      <c r="E259" s="113">
        <v>24264.0</v>
      </c>
      <c r="F259" s="114">
        <v>44631.0</v>
      </c>
      <c r="G259" s="111" t="s">
        <v>6519</v>
      </c>
      <c r="H259" s="111" t="s">
        <v>6520</v>
      </c>
      <c r="I259" s="111" t="s">
        <v>6524</v>
      </c>
      <c r="J259" s="111" t="s">
        <v>6374</v>
      </c>
      <c r="K259" s="115"/>
      <c r="L259" s="115" t="s">
        <v>6522</v>
      </c>
      <c r="M259" s="115" t="b">
        <f>IFS($A259=FALSE,"", countif(VLOOKUP($B259,'MARCH 2022'!C:C,1,FALSE),$B259)&gt;=1,TRUE,countif(VLOOKUP($B259,'MARCH 2022'!C:C,1,FALSE),$B259)=0,FALSE)</f>
        <v>1</v>
      </c>
      <c r="N259" s="115" t="b">
        <f>IFS($A259=FALSE,"", countif(VLOOKUP($A259,'MARCH 2022'!A:A,1,FALSE),$A259)&gt;=1,TRUE,countif(VLOOKUP($A259,'MARCH 2022'!A:A,1,FALSE),$A259)=0,FALSE)</f>
        <v>1</v>
      </c>
      <c r="O259" s="111"/>
    </row>
    <row r="260" ht="15.75" customHeight="1">
      <c r="A260" s="110" t="str">
        <f t="shared" si="1"/>
        <v>1770644631</v>
      </c>
      <c r="B260" s="111">
        <v>17706.0</v>
      </c>
      <c r="C260" s="112">
        <v>0.40625</v>
      </c>
      <c r="D260" s="111" t="s">
        <v>5766</v>
      </c>
      <c r="E260" s="113">
        <v>29355.0</v>
      </c>
      <c r="F260" s="114">
        <v>44631.0</v>
      </c>
      <c r="G260" s="111" t="s">
        <v>6523</v>
      </c>
      <c r="H260" s="111" t="s">
        <v>6520</v>
      </c>
      <c r="I260" s="111" t="s">
        <v>6521</v>
      </c>
      <c r="J260" s="111" t="s">
        <v>6416</v>
      </c>
      <c r="K260" s="115"/>
      <c r="L260" s="115" t="s">
        <v>6522</v>
      </c>
      <c r="M260" s="115" t="b">
        <f>IFS($A260=FALSE,"", countif(VLOOKUP($B260,'MARCH 2022'!C:C,1,FALSE),$B260)&gt;=1,TRUE,countif(VLOOKUP($B260,'MARCH 2022'!C:C,1,FALSE),$B260)=0,FALSE)</f>
        <v>1</v>
      </c>
      <c r="N260" s="115" t="b">
        <f>IFS($A260=FALSE,"", countif(VLOOKUP($A260,'MARCH 2022'!A:A,1,FALSE),$A260)&gt;=1,TRUE,countif(VLOOKUP($A260,'MARCH 2022'!A:A,1,FALSE),$A260)=0,FALSE)</f>
        <v>1</v>
      </c>
      <c r="O260" s="111"/>
    </row>
    <row r="261" ht="15.75" customHeight="1">
      <c r="A261" s="110" t="str">
        <f t="shared" si="1"/>
        <v>1103444631</v>
      </c>
      <c r="B261" s="111">
        <v>11034.0</v>
      </c>
      <c r="C261" s="112">
        <v>0.40625</v>
      </c>
      <c r="D261" s="111" t="s">
        <v>773</v>
      </c>
      <c r="E261" s="113">
        <v>27225.0</v>
      </c>
      <c r="F261" s="114">
        <v>44631.0</v>
      </c>
      <c r="G261" s="111" t="s">
        <v>6523</v>
      </c>
      <c r="H261" s="111" t="s">
        <v>6520</v>
      </c>
      <c r="I261" s="111" t="s">
        <v>6521</v>
      </c>
      <c r="J261" s="111" t="s">
        <v>6492</v>
      </c>
      <c r="K261" s="115"/>
      <c r="L261" s="115" t="s">
        <v>6522</v>
      </c>
      <c r="M261" s="115" t="b">
        <f>IFS($A261=FALSE,"", countif(VLOOKUP($B261,'MARCH 2022'!C:C,1,FALSE),$B261)&gt;=1,TRUE,countif(VLOOKUP($B261,'MARCH 2022'!C:C,1,FALSE),$B261)=0,FALSE)</f>
        <v>1</v>
      </c>
      <c r="N261" s="115" t="b">
        <f>IFS($A261=FALSE,"", countif(VLOOKUP($A261,'MARCH 2022'!A:A,1,FALSE),$A261)&gt;=1,TRUE,countif(VLOOKUP($A261,'MARCH 2022'!A:A,1,FALSE),$A261)=0,FALSE)</f>
        <v>1</v>
      </c>
      <c r="O261" s="111"/>
    </row>
    <row r="262" ht="15.75" customHeight="1">
      <c r="A262" s="110" t="str">
        <f t="shared" si="1"/>
        <v>1676344631</v>
      </c>
      <c r="B262" s="111">
        <v>16763.0</v>
      </c>
      <c r="C262" s="112">
        <v>0.4166666666666667</v>
      </c>
      <c r="D262" s="111" t="s">
        <v>4935</v>
      </c>
      <c r="E262" s="113">
        <v>25170.0</v>
      </c>
      <c r="F262" s="114">
        <v>44631.0</v>
      </c>
      <c r="G262" s="111" t="s">
        <v>6523</v>
      </c>
      <c r="H262" s="111" t="s">
        <v>6520</v>
      </c>
      <c r="I262" s="111" t="s">
        <v>6521</v>
      </c>
      <c r="J262" s="111" t="s">
        <v>6372</v>
      </c>
      <c r="K262" s="115"/>
      <c r="L262" s="115" t="s">
        <v>6522</v>
      </c>
      <c r="M262" s="115" t="b">
        <f>IFS($A262=FALSE,"", countif(VLOOKUP($B262,'MARCH 2022'!C:C,1,FALSE),$B262)&gt;=1,TRUE,countif(VLOOKUP($B262,'MARCH 2022'!C:C,1,FALSE),$B262)=0,FALSE)</f>
        <v>1</v>
      </c>
      <c r="N262" s="115" t="b">
        <f>IFS($A262=FALSE,"", countif(VLOOKUP($A262,'MARCH 2022'!A:A,1,FALSE),$A262)&gt;=1,TRUE,countif(VLOOKUP($A262,'MARCH 2022'!A:A,1,FALSE),$A262)=0,FALSE)</f>
        <v>1</v>
      </c>
      <c r="O262" s="111"/>
    </row>
    <row r="263" ht="15.75" customHeight="1">
      <c r="A263" s="110" t="str">
        <f t="shared" si="1"/>
        <v>1781244631</v>
      </c>
      <c r="B263" s="111">
        <v>17812.0</v>
      </c>
      <c r="C263" s="112">
        <v>0.4166666666666667</v>
      </c>
      <c r="D263" s="111" t="s">
        <v>5937</v>
      </c>
      <c r="E263" s="113">
        <v>21219.0</v>
      </c>
      <c r="F263" s="114">
        <v>44631.0</v>
      </c>
      <c r="G263" s="111" t="s">
        <v>6519</v>
      </c>
      <c r="H263" s="111" t="s">
        <v>6520</v>
      </c>
      <c r="I263" s="111" t="s">
        <v>6524</v>
      </c>
      <c r="J263" s="111" t="s">
        <v>6379</v>
      </c>
      <c r="K263" s="115"/>
      <c r="L263" s="115" t="s">
        <v>6522</v>
      </c>
      <c r="M263" s="115" t="b">
        <f>IFS($A263=FALSE,"", countif(VLOOKUP($B263,'MARCH 2022'!C:C,1,FALSE),$B263)&gt;=1,TRUE,countif(VLOOKUP($B263,'MARCH 2022'!C:C,1,FALSE),$B263)=0,FALSE)</f>
        <v>1</v>
      </c>
      <c r="N263" s="115" t="b">
        <f>IFS($A263=FALSE,"", countif(VLOOKUP($A263,'MARCH 2022'!A:A,1,FALSE),$A263)&gt;=1,TRUE,countif(VLOOKUP($A263,'MARCH 2022'!A:A,1,FALSE),$A263)=0,FALSE)</f>
        <v>1</v>
      </c>
      <c r="O263" s="111"/>
    </row>
    <row r="264" ht="15.75" customHeight="1">
      <c r="A264" s="110" t="str">
        <f t="shared" si="1"/>
        <v>1108444631</v>
      </c>
      <c r="B264" s="111">
        <v>11084.0</v>
      </c>
      <c r="C264" s="112">
        <v>0.4375</v>
      </c>
      <c r="D264" s="111" t="s">
        <v>801</v>
      </c>
      <c r="E264" s="113">
        <v>21028.0</v>
      </c>
      <c r="F264" s="114">
        <v>44631.0</v>
      </c>
      <c r="G264" s="111" t="s">
        <v>6523</v>
      </c>
      <c r="H264" s="111" t="s">
        <v>6520</v>
      </c>
      <c r="I264" s="111" t="s">
        <v>6521</v>
      </c>
      <c r="J264" s="111" t="s">
        <v>6444</v>
      </c>
      <c r="K264" s="115"/>
      <c r="L264" s="115" t="s">
        <v>6522</v>
      </c>
      <c r="M264" s="115" t="b">
        <f>IFS($A264=FALSE,"", countif(VLOOKUP($B264,'MARCH 2022'!C:C,1,FALSE),$B264)&gt;=1,TRUE,countif(VLOOKUP($B264,'MARCH 2022'!C:C,1,FALSE),$B264)=0,FALSE)</f>
        <v>1</v>
      </c>
      <c r="N264" s="115" t="b">
        <f>IFS($A264=FALSE,"", countif(VLOOKUP($A264,'MARCH 2022'!A:A,1,FALSE),$A264)&gt;=1,TRUE,countif(VLOOKUP($A264,'MARCH 2022'!A:A,1,FALSE),$A264)=0,FALSE)</f>
        <v>1</v>
      </c>
      <c r="O264" s="111"/>
    </row>
    <row r="265" ht="15.75" customHeight="1">
      <c r="A265" s="110" t="str">
        <f t="shared" si="1"/>
        <v>1457144631</v>
      </c>
      <c r="B265" s="111">
        <v>14571.0</v>
      </c>
      <c r="C265" s="112">
        <v>0.4375</v>
      </c>
      <c r="D265" s="111" t="s">
        <v>3114</v>
      </c>
      <c r="E265" s="113">
        <v>25774.0</v>
      </c>
      <c r="F265" s="114">
        <v>44631.0</v>
      </c>
      <c r="G265" s="111" t="s">
        <v>6523</v>
      </c>
      <c r="H265" s="111" t="s">
        <v>6520</v>
      </c>
      <c r="I265" s="111" t="s">
        <v>6521</v>
      </c>
      <c r="J265" s="111" t="s">
        <v>6414</v>
      </c>
      <c r="K265" s="115"/>
      <c r="L265" s="115" t="s">
        <v>6522</v>
      </c>
      <c r="M265" s="115" t="b">
        <f>IFS($A265=FALSE,"", countif(VLOOKUP($B265,'MARCH 2022'!C:C,1,FALSE),$B265)&gt;=1,TRUE,countif(VLOOKUP($B265,'MARCH 2022'!C:C,1,FALSE),$B265)=0,FALSE)</f>
        <v>1</v>
      </c>
      <c r="N265" s="115" t="b">
        <f>IFS($A265=FALSE,"", countif(VLOOKUP($A265,'MARCH 2022'!A:A,1,FALSE),$A265)&gt;=1,TRUE,countif(VLOOKUP($A265,'MARCH 2022'!A:A,1,FALSE),$A265)=0,FALSE)</f>
        <v>1</v>
      </c>
      <c r="O265" s="111"/>
    </row>
    <row r="266" ht="15.75" customHeight="1">
      <c r="A266" s="110" t="str">
        <f t="shared" si="1"/>
        <v>1017644631</v>
      </c>
      <c r="B266" s="111">
        <v>10176.0</v>
      </c>
      <c r="C266" s="112">
        <v>0.4479166666666667</v>
      </c>
      <c r="D266" s="111" t="s">
        <v>442</v>
      </c>
      <c r="E266" s="113">
        <v>29241.0</v>
      </c>
      <c r="F266" s="114">
        <v>44631.0</v>
      </c>
      <c r="G266" s="111" t="s">
        <v>6523</v>
      </c>
      <c r="H266" s="111" t="s">
        <v>6520</v>
      </c>
      <c r="I266" s="111" t="s">
        <v>6521</v>
      </c>
      <c r="J266" s="111" t="s">
        <v>6416</v>
      </c>
      <c r="K266" s="115"/>
      <c r="L266" s="115" t="s">
        <v>6522</v>
      </c>
      <c r="M266" s="115" t="b">
        <f>IFS($A266=FALSE,"", countif(VLOOKUP($B266,'MARCH 2022'!C:C,1,FALSE),$B266)&gt;=1,TRUE,countif(VLOOKUP($B266,'MARCH 2022'!C:C,1,FALSE),$B266)=0,FALSE)</f>
        <v>1</v>
      </c>
      <c r="N266" s="115" t="b">
        <f>IFS($A266=FALSE,"", countif(VLOOKUP($A266,'MARCH 2022'!A:A,1,FALSE),$A266)&gt;=1,TRUE,countif(VLOOKUP($A266,'MARCH 2022'!A:A,1,FALSE),$A266)=0,FALSE)</f>
        <v>1</v>
      </c>
      <c r="O266" s="111"/>
    </row>
    <row r="267" ht="15.75" customHeight="1">
      <c r="A267" s="110" t="str">
        <f t="shared" si="1"/>
        <v>914144631</v>
      </c>
      <c r="B267" s="111">
        <v>9141.0</v>
      </c>
      <c r="C267" s="112">
        <v>0.4479166666666667</v>
      </c>
      <c r="D267" s="111" t="s">
        <v>37</v>
      </c>
      <c r="E267" s="113">
        <v>30758.0</v>
      </c>
      <c r="F267" s="114">
        <v>44631.0</v>
      </c>
      <c r="G267" s="111" t="s">
        <v>6523</v>
      </c>
      <c r="H267" s="111" t="s">
        <v>6520</v>
      </c>
      <c r="I267" s="111" t="s">
        <v>6524</v>
      </c>
      <c r="J267" s="111" t="s">
        <v>6416</v>
      </c>
      <c r="K267" s="115"/>
      <c r="L267" s="115" t="s">
        <v>6522</v>
      </c>
      <c r="M267" s="115" t="b">
        <f>IFS($A267=FALSE,"", countif(VLOOKUP($B267,'MARCH 2022'!C:C,1,FALSE),$B267)&gt;=1,TRUE,countif(VLOOKUP($B267,'MARCH 2022'!C:C,1,FALSE),$B267)=0,FALSE)</f>
        <v>1</v>
      </c>
      <c r="N267" s="115" t="b">
        <f>IFS($A267=FALSE,"", countif(VLOOKUP($A267,'MARCH 2022'!A:A,1,FALSE),$A267)&gt;=1,TRUE,countif(VLOOKUP($A267,'MARCH 2022'!A:A,1,FALSE),$A267)=0,FALSE)</f>
        <v>1</v>
      </c>
      <c r="O267" s="111"/>
    </row>
    <row r="268" ht="15.75" customHeight="1">
      <c r="A268" s="110" t="str">
        <f t="shared" si="1"/>
        <v>1293844631</v>
      </c>
      <c r="B268" s="111">
        <v>12938.0</v>
      </c>
      <c r="C268" s="112">
        <v>0.4583333333333333</v>
      </c>
      <c r="D268" s="111" t="s">
        <v>1833</v>
      </c>
      <c r="E268" s="113">
        <v>18084.0</v>
      </c>
      <c r="F268" s="114">
        <v>44631.0</v>
      </c>
      <c r="G268" s="111" t="s">
        <v>6523</v>
      </c>
      <c r="H268" s="111" t="s">
        <v>6520</v>
      </c>
      <c r="I268" s="111" t="s">
        <v>6521</v>
      </c>
      <c r="J268" s="111" t="s">
        <v>6489</v>
      </c>
      <c r="K268" s="115"/>
      <c r="L268" s="115" t="s">
        <v>6522</v>
      </c>
      <c r="M268" s="115" t="b">
        <f>IFS($A268=FALSE,"", countif(VLOOKUP($B268,'MARCH 2022'!C:C,1,FALSE),$B268)&gt;=1,TRUE,countif(VLOOKUP($B268,'MARCH 2022'!C:C,1,FALSE),$B268)=0,FALSE)</f>
        <v>1</v>
      </c>
      <c r="N268" s="115" t="b">
        <f>IFS($A268=FALSE,"", countif(VLOOKUP($A268,'MARCH 2022'!A:A,1,FALSE),$A268)&gt;=1,TRUE,countif(VLOOKUP($A268,'MARCH 2022'!A:A,1,FALSE),$A268)=0,FALSE)</f>
        <v>1</v>
      </c>
      <c r="O268" s="111"/>
    </row>
    <row r="269" ht="15.75" customHeight="1">
      <c r="A269" s="110" t="str">
        <f t="shared" si="1"/>
        <v>994544631</v>
      </c>
      <c r="B269" s="111">
        <v>9945.0</v>
      </c>
      <c r="C269" s="112">
        <v>0.4583333333333333</v>
      </c>
      <c r="D269" s="111" t="s">
        <v>6017</v>
      </c>
      <c r="E269" s="113">
        <v>21443.0</v>
      </c>
      <c r="F269" s="114">
        <v>44631.0</v>
      </c>
      <c r="G269" s="111" t="s">
        <v>6523</v>
      </c>
      <c r="H269" s="111" t="s">
        <v>6520</v>
      </c>
      <c r="I269" s="111" t="s">
        <v>6524</v>
      </c>
      <c r="J269" s="111" t="s">
        <v>6489</v>
      </c>
      <c r="K269" s="115"/>
      <c r="L269" s="115" t="s">
        <v>6522</v>
      </c>
      <c r="M269" s="115" t="b">
        <f>IFS($A269=FALSE,"", countif(VLOOKUP($B269,'MARCH 2022'!C:C,1,FALSE),$B269)&gt;=1,TRUE,countif(VLOOKUP($B269,'MARCH 2022'!C:C,1,FALSE),$B269)=0,FALSE)</f>
        <v>1</v>
      </c>
      <c r="N269" s="115" t="b">
        <f>IFS($A269=FALSE,"", countif(VLOOKUP($A269,'MARCH 2022'!A:A,1,FALSE),$A269)&gt;=1,TRUE,countif(VLOOKUP($A269,'MARCH 2022'!A:A,1,FALSE),$A269)=0,FALSE)</f>
        <v>1</v>
      </c>
      <c r="O269" s="111"/>
    </row>
    <row r="270" ht="15.75" customHeight="1">
      <c r="A270" s="110" t="str">
        <f t="shared" si="1"/>
        <v>1734344631</v>
      </c>
      <c r="B270" s="111">
        <v>17343.0</v>
      </c>
      <c r="C270" s="112">
        <v>0.4583333333333333</v>
      </c>
      <c r="D270" s="111" t="s">
        <v>5394</v>
      </c>
      <c r="E270" s="113">
        <v>26929.0</v>
      </c>
      <c r="F270" s="114">
        <v>44631.0</v>
      </c>
      <c r="G270" s="111" t="s">
        <v>6523</v>
      </c>
      <c r="H270" s="111" t="s">
        <v>6520</v>
      </c>
      <c r="I270" s="111" t="s">
        <v>6524</v>
      </c>
      <c r="J270" s="111" t="s">
        <v>6445</v>
      </c>
      <c r="K270" s="115"/>
      <c r="L270" s="115" t="s">
        <v>6522</v>
      </c>
      <c r="M270" s="115" t="b">
        <f>IFS($A270=FALSE,"", countif(VLOOKUP($B270,'MARCH 2022'!C:C,1,FALSE),$B270)&gt;=1,TRUE,countif(VLOOKUP($B270,'MARCH 2022'!C:C,1,FALSE),$B270)=0,FALSE)</f>
        <v>1</v>
      </c>
      <c r="N270" s="115" t="b">
        <f>IFS($A270=FALSE,"", countif(VLOOKUP($A270,'MARCH 2022'!A:A,1,FALSE),$A270)&gt;=1,TRUE,countif(VLOOKUP($A270,'MARCH 2022'!A:A,1,FALSE),$A270)=0,FALSE)</f>
        <v>1</v>
      </c>
      <c r="O270" s="111"/>
    </row>
    <row r="271" ht="15.75" customHeight="1">
      <c r="A271" s="110" t="str">
        <f t="shared" si="1"/>
        <v>1188144631</v>
      </c>
      <c r="B271" s="111">
        <v>11881.0</v>
      </c>
      <c r="C271" s="112">
        <v>0.5625</v>
      </c>
      <c r="D271" s="111" t="s">
        <v>1166</v>
      </c>
      <c r="E271" s="113">
        <v>14449.0</v>
      </c>
      <c r="F271" s="114">
        <v>44631.0</v>
      </c>
      <c r="G271" s="111" t="s">
        <v>6519</v>
      </c>
      <c r="H271" s="111" t="s">
        <v>6526</v>
      </c>
      <c r="I271" s="111" t="s">
        <v>6529</v>
      </c>
      <c r="J271" s="111" t="s">
        <v>6427</v>
      </c>
      <c r="K271" s="115"/>
      <c r="L271" s="115" t="s">
        <v>6522</v>
      </c>
      <c r="M271" s="115" t="b">
        <f>IFS($A271=FALSE,"", countif(VLOOKUP($B271,'MARCH 2022'!C:C,1,FALSE),$B271)&gt;=1,TRUE,countif(VLOOKUP($B271,'MARCH 2022'!C:C,1,FALSE),$B271)=0,FALSE)</f>
        <v>1</v>
      </c>
      <c r="N271" s="115" t="b">
        <f>IFS($A271=FALSE,"", countif(VLOOKUP($A271,'MARCH 2022'!A:A,1,FALSE),$A271)&gt;=1,TRUE,countif(VLOOKUP($A271,'MARCH 2022'!A:A,1,FALSE),$A271)=0,FALSE)</f>
        <v>1</v>
      </c>
      <c r="O271" s="111"/>
    </row>
    <row r="272" ht="15.75" customHeight="1">
      <c r="A272" s="110" t="str">
        <f t="shared" si="1"/>
        <v>1015444631</v>
      </c>
      <c r="B272" s="111">
        <v>10154.0</v>
      </c>
      <c r="C272" s="112">
        <v>0.5625</v>
      </c>
      <c r="D272" s="111" t="s">
        <v>429</v>
      </c>
      <c r="E272" s="113">
        <v>18673.0</v>
      </c>
      <c r="F272" s="114">
        <v>44631.0</v>
      </c>
      <c r="G272" s="111" t="s">
        <v>6523</v>
      </c>
      <c r="H272" s="111" t="s">
        <v>6520</v>
      </c>
      <c r="I272" s="111" t="s">
        <v>6524</v>
      </c>
      <c r="J272" s="111" t="s">
        <v>6373</v>
      </c>
      <c r="K272" s="115"/>
      <c r="L272" s="115" t="s">
        <v>6522</v>
      </c>
      <c r="M272" s="115" t="b">
        <f>IFS($A272=FALSE,"", countif(VLOOKUP($B272,'MARCH 2022'!C:C,1,FALSE),$B272)&gt;=1,TRUE,countif(VLOOKUP($B272,'MARCH 2022'!C:C,1,FALSE),$B272)=0,FALSE)</f>
        <v>1</v>
      </c>
      <c r="N272" s="115" t="b">
        <f>IFS($A272=FALSE,"", countif(VLOOKUP($A272,'MARCH 2022'!A:A,1,FALSE),$A272)&gt;=1,TRUE,countif(VLOOKUP($A272,'MARCH 2022'!A:A,1,FALSE),$A272)=0,FALSE)</f>
        <v>1</v>
      </c>
      <c r="O272" s="111"/>
    </row>
    <row r="273" ht="15.75" customHeight="1">
      <c r="A273" s="110" t="str">
        <f t="shared" si="1"/>
        <v>928444631</v>
      </c>
      <c r="B273" s="111">
        <v>9284.0</v>
      </c>
      <c r="C273" s="112">
        <v>0.5729166666666666</v>
      </c>
      <c r="D273" s="111" t="s">
        <v>129</v>
      </c>
      <c r="E273" s="113">
        <v>12876.0</v>
      </c>
      <c r="F273" s="114">
        <v>44631.0</v>
      </c>
      <c r="G273" s="111" t="s">
        <v>6523</v>
      </c>
      <c r="H273" s="111" t="s">
        <v>6520</v>
      </c>
      <c r="I273" s="111" t="s">
        <v>6524</v>
      </c>
      <c r="J273" s="111" t="s">
        <v>6427</v>
      </c>
      <c r="K273" s="115"/>
      <c r="L273" s="115" t="s">
        <v>6522</v>
      </c>
      <c r="M273" s="115" t="b">
        <f>IFS($A273=FALSE,"", countif(VLOOKUP($B273,'MARCH 2022'!C:C,1,FALSE),$B273)&gt;=1,TRUE,countif(VLOOKUP($B273,'MARCH 2022'!C:C,1,FALSE),$B273)=0,FALSE)</f>
        <v>1</v>
      </c>
      <c r="N273" s="115" t="b">
        <f>IFS($A273=FALSE,"", countif(VLOOKUP($A273,'MARCH 2022'!A:A,1,FALSE),$A273)&gt;=1,TRUE,countif(VLOOKUP($A273,'MARCH 2022'!A:A,1,FALSE),$A273)=0,FALSE)</f>
        <v>1</v>
      </c>
      <c r="O273" s="111"/>
    </row>
    <row r="274" ht="15.75" customHeight="1">
      <c r="A274" s="110" t="str">
        <f t="shared" si="1"/>
        <v>1267544631</v>
      </c>
      <c r="B274" s="111">
        <v>12675.0</v>
      </c>
      <c r="C274" s="112">
        <v>0.5833333333333334</v>
      </c>
      <c r="D274" s="111" t="s">
        <v>1618</v>
      </c>
      <c r="E274" s="113">
        <v>19718.0</v>
      </c>
      <c r="F274" s="114">
        <v>44631.0</v>
      </c>
      <c r="G274" s="111" t="s">
        <v>6523</v>
      </c>
      <c r="H274" s="111" t="s">
        <v>6520</v>
      </c>
      <c r="I274" s="111" t="s">
        <v>6521</v>
      </c>
      <c r="J274" s="111" t="s">
        <v>6427</v>
      </c>
      <c r="K274" s="115"/>
      <c r="L274" s="115" t="s">
        <v>6522</v>
      </c>
      <c r="M274" s="115" t="b">
        <f>IFS($A274=FALSE,"", countif(VLOOKUP($B274,'MARCH 2022'!C:C,1,FALSE),$B274)&gt;=1,TRUE,countif(VLOOKUP($B274,'MARCH 2022'!C:C,1,FALSE),$B274)=0,FALSE)</f>
        <v>1</v>
      </c>
      <c r="N274" s="115" t="b">
        <f>IFS($A274=FALSE,"", countif(VLOOKUP($A274,'MARCH 2022'!A:A,1,FALSE),$A274)&gt;=1,TRUE,countif(VLOOKUP($A274,'MARCH 2022'!A:A,1,FALSE),$A274)=0,FALSE)</f>
        <v>1</v>
      </c>
      <c r="O274" s="111"/>
    </row>
    <row r="275" ht="15.75" customHeight="1">
      <c r="A275" s="110" t="str">
        <f t="shared" si="1"/>
        <v>962344631</v>
      </c>
      <c r="B275" s="111">
        <v>9623.0</v>
      </c>
      <c r="C275" s="112">
        <v>0.6041666666666666</v>
      </c>
      <c r="D275" s="111" t="s">
        <v>234</v>
      </c>
      <c r="E275" s="113">
        <v>24448.0</v>
      </c>
      <c r="F275" s="114">
        <v>44631.0</v>
      </c>
      <c r="G275" s="111" t="s">
        <v>6523</v>
      </c>
      <c r="H275" s="111" t="s">
        <v>6520</v>
      </c>
      <c r="I275" s="111" t="s">
        <v>6521</v>
      </c>
      <c r="J275" s="111" t="s">
        <v>6489</v>
      </c>
      <c r="K275" s="115"/>
      <c r="L275" s="115" t="s">
        <v>6522</v>
      </c>
      <c r="M275" s="115" t="b">
        <f>IFS($A275=FALSE,"", countif(VLOOKUP($B275,'MARCH 2022'!C:C,1,FALSE),$B275)&gt;=1,TRUE,countif(VLOOKUP($B275,'MARCH 2022'!C:C,1,FALSE),$B275)=0,FALSE)</f>
        <v>1</v>
      </c>
      <c r="N275" s="115" t="b">
        <f>IFS($A275=FALSE,"", countif(VLOOKUP($A275,'MARCH 2022'!A:A,1,FALSE),$A275)&gt;=1,TRUE,countif(VLOOKUP($A275,'MARCH 2022'!A:A,1,FALSE),$A275)=0,FALSE)</f>
        <v>1</v>
      </c>
      <c r="O275" s="111"/>
    </row>
    <row r="276" ht="15.75" customHeight="1">
      <c r="A276" s="110" t="str">
        <f t="shared" si="1"/>
        <v>1275244631</v>
      </c>
      <c r="B276" s="111">
        <v>12752.0</v>
      </c>
      <c r="C276" s="112">
        <v>0.6145833333333334</v>
      </c>
      <c r="D276" s="111" t="s">
        <v>1678</v>
      </c>
      <c r="E276" s="113">
        <v>25799.0</v>
      </c>
      <c r="F276" s="114">
        <v>44631.0</v>
      </c>
      <c r="G276" s="111" t="s">
        <v>6523</v>
      </c>
      <c r="H276" s="111" t="s">
        <v>6520</v>
      </c>
      <c r="I276" s="111" t="s">
        <v>6524</v>
      </c>
      <c r="J276" s="111" t="s">
        <v>6393</v>
      </c>
      <c r="K276" s="115"/>
      <c r="L276" s="115" t="s">
        <v>6522</v>
      </c>
      <c r="M276" s="115" t="b">
        <f>IFS($A276=FALSE,"", countif(VLOOKUP($B276,'MARCH 2022'!C:C,1,FALSE),$B276)&gt;=1,TRUE,countif(VLOOKUP($B276,'MARCH 2022'!C:C,1,FALSE),$B276)=0,FALSE)</f>
        <v>1</v>
      </c>
      <c r="N276" s="115" t="b">
        <f>IFS($A276=FALSE,"", countif(VLOOKUP($A276,'MARCH 2022'!A:A,1,FALSE),$A276)&gt;=1,TRUE,countif(VLOOKUP($A276,'MARCH 2022'!A:A,1,FALSE),$A276)=0,FALSE)</f>
        <v>1</v>
      </c>
      <c r="O276" s="111"/>
    </row>
    <row r="277" ht="15.75" customHeight="1">
      <c r="A277" s="110" t="str">
        <f t="shared" si="1"/>
        <v>1772644630</v>
      </c>
      <c r="B277" s="111">
        <v>17726.0</v>
      </c>
      <c r="C277" s="112">
        <v>0.6041666666666666</v>
      </c>
      <c r="D277" s="111" t="s">
        <v>5630</v>
      </c>
      <c r="E277" s="113">
        <v>25326.0</v>
      </c>
      <c r="F277" s="114">
        <v>44630.0</v>
      </c>
      <c r="G277" s="111" t="s">
        <v>6523</v>
      </c>
      <c r="H277" s="111" t="s">
        <v>6524</v>
      </c>
      <c r="I277" s="111" t="s">
        <v>6524</v>
      </c>
      <c r="J277" s="111" t="s">
        <v>6379</v>
      </c>
      <c r="K277" s="115"/>
      <c r="L277" s="115" t="s">
        <v>6522</v>
      </c>
      <c r="M277" s="115" t="b">
        <f>IFS($A277=FALSE,"", countif(VLOOKUP($B277,'MARCH 2022'!C:C,1,FALSE),$B277)&gt;=1,TRUE,countif(VLOOKUP($B277,'MARCH 2022'!C:C,1,FALSE),$B277)=0,FALSE)</f>
        <v>1</v>
      </c>
      <c r="N277" s="115" t="b">
        <f>IFS($A277=FALSE,"", countif(VLOOKUP($A277,'MARCH 2022'!A:A,1,FALSE),$A277)&gt;=1,TRUE,countif(VLOOKUP($A277,'MARCH 2022'!A:A,1,FALSE),$A277)=0,FALSE)</f>
        <v>1</v>
      </c>
      <c r="O277" s="111"/>
    </row>
    <row r="278" ht="15.75" customHeight="1">
      <c r="A278" s="110" t="str">
        <f t="shared" si="1"/>
        <v>1555544631</v>
      </c>
      <c r="B278" s="111">
        <v>15555.0</v>
      </c>
      <c r="C278" s="112">
        <v>0.6145833333333334</v>
      </c>
      <c r="D278" s="111" t="s">
        <v>3937</v>
      </c>
      <c r="E278" s="113">
        <v>20542.0</v>
      </c>
      <c r="F278" s="114">
        <v>44631.0</v>
      </c>
      <c r="G278" s="111" t="s">
        <v>6519</v>
      </c>
      <c r="H278" s="111" t="s">
        <v>6520</v>
      </c>
      <c r="I278" s="111" t="s">
        <v>6521</v>
      </c>
      <c r="J278" s="111" t="s">
        <v>6427</v>
      </c>
      <c r="K278" s="115"/>
      <c r="L278" s="115" t="s">
        <v>6522</v>
      </c>
      <c r="M278" s="115" t="b">
        <f>IFS($A278=FALSE,"", countif(VLOOKUP($B278,'MARCH 2022'!C:C,1,FALSE),$B278)&gt;=1,TRUE,countif(VLOOKUP($B278,'MARCH 2022'!C:C,1,FALSE),$B278)=0,FALSE)</f>
        <v>1</v>
      </c>
      <c r="N278" s="115" t="b">
        <f>IFS($A278=FALSE,"", countif(VLOOKUP($A278,'MARCH 2022'!A:A,1,FALSE),$A278)&gt;=1,TRUE,countif(VLOOKUP($A278,'MARCH 2022'!A:A,1,FALSE),$A278)=0,FALSE)</f>
        <v>1</v>
      </c>
      <c r="O278" s="111"/>
    </row>
    <row r="279" ht="15.75" customHeight="1">
      <c r="A279" s="110" t="str">
        <f t="shared" si="1"/>
        <v>985844631</v>
      </c>
      <c r="B279" s="111">
        <v>9858.0</v>
      </c>
      <c r="C279" s="112">
        <v>0.625</v>
      </c>
      <c r="D279" s="111" t="s">
        <v>321</v>
      </c>
      <c r="E279" s="113">
        <v>13270.0</v>
      </c>
      <c r="F279" s="114">
        <v>44631.0</v>
      </c>
      <c r="G279" s="111" t="s">
        <v>6523</v>
      </c>
      <c r="H279" s="111" t="s">
        <v>6526</v>
      </c>
      <c r="I279" s="111" t="s">
        <v>6529</v>
      </c>
      <c r="J279" s="111" t="s">
        <v>6427</v>
      </c>
      <c r="K279" s="115"/>
      <c r="L279" s="115" t="s">
        <v>6522</v>
      </c>
      <c r="M279" s="115" t="b">
        <f>IFS($A279=FALSE,"", countif(VLOOKUP($B279,'MARCH 2022'!C:C,1,FALSE),$B279)&gt;=1,TRUE,countif(VLOOKUP($B279,'MARCH 2022'!C:C,1,FALSE),$B279)=0,FALSE)</f>
        <v>1</v>
      </c>
      <c r="N279" s="115" t="b">
        <f>IFS($A279=FALSE,"", countif(VLOOKUP($A279,'MARCH 2022'!A:A,1,FALSE),$A279)&gt;=1,TRUE,countif(VLOOKUP($A279,'MARCH 2022'!A:A,1,FALSE),$A279)=0,FALSE)</f>
        <v>1</v>
      </c>
      <c r="O279" s="111"/>
    </row>
    <row r="280" ht="15.75" customHeight="1">
      <c r="A280" s="110" t="str">
        <f t="shared" si="1"/>
        <v>1466844631</v>
      </c>
      <c r="B280" s="111">
        <v>14668.0</v>
      </c>
      <c r="C280" s="112">
        <v>0.625</v>
      </c>
      <c r="D280" s="111" t="s">
        <v>3196</v>
      </c>
      <c r="E280" s="113">
        <v>23488.0</v>
      </c>
      <c r="F280" s="114">
        <v>44631.0</v>
      </c>
      <c r="G280" s="111" t="s">
        <v>6523</v>
      </c>
      <c r="H280" s="111" t="s">
        <v>6520</v>
      </c>
      <c r="I280" s="111" t="s">
        <v>6524</v>
      </c>
      <c r="J280" s="111" t="s">
        <v>6391</v>
      </c>
      <c r="K280" s="115"/>
      <c r="L280" s="115" t="s">
        <v>6522</v>
      </c>
      <c r="M280" s="115" t="b">
        <f>IFS($A280=FALSE,"", countif(VLOOKUP($B280,'MARCH 2022'!C:C,1,FALSE),$B280)&gt;=1,TRUE,countif(VLOOKUP($B280,'MARCH 2022'!C:C,1,FALSE),$B280)=0,FALSE)</f>
        <v>1</v>
      </c>
      <c r="N280" s="115" t="b">
        <f>IFS($A280=FALSE,"", countif(VLOOKUP($A280,'MARCH 2022'!A:A,1,FALSE),$A280)&gt;=1,TRUE,countif(VLOOKUP($A280,'MARCH 2022'!A:A,1,FALSE),$A280)=0,FALSE)</f>
        <v>1</v>
      </c>
      <c r="O280" s="111"/>
    </row>
    <row r="281" ht="15.75" customHeight="1">
      <c r="A281" s="110" t="str">
        <f t="shared" si="1"/>
        <v>1604444634</v>
      </c>
      <c r="B281" s="111">
        <v>16044.0</v>
      </c>
      <c r="C281" s="112">
        <v>0.3333333333333333</v>
      </c>
      <c r="D281" s="111" t="s">
        <v>4373</v>
      </c>
      <c r="E281" s="113">
        <v>29615.0</v>
      </c>
      <c r="F281" s="114">
        <v>44634.0</v>
      </c>
      <c r="G281" s="111" t="s">
        <v>6523</v>
      </c>
      <c r="H281" s="111" t="s">
        <v>6520</v>
      </c>
      <c r="I281" s="111" t="s">
        <v>6524</v>
      </c>
      <c r="J281" s="111" t="s">
        <v>6489</v>
      </c>
      <c r="K281" s="115"/>
      <c r="L281" s="115" t="s">
        <v>6522</v>
      </c>
      <c r="M281" s="115" t="b">
        <f>IFS($A281=FALSE,"", countif(VLOOKUP($B281,'MARCH 2022'!C:C,1,FALSE),$B281)&gt;=1,TRUE,countif(VLOOKUP($B281,'MARCH 2022'!C:C,1,FALSE),$B281)=0,FALSE)</f>
        <v>1</v>
      </c>
      <c r="N281" s="115" t="b">
        <f>IFS($A281=FALSE,"", countif(VLOOKUP($A281,'MARCH 2022'!A:A,1,FALSE),$A281)&gt;=1,TRUE,countif(VLOOKUP($A281,'MARCH 2022'!A:A,1,FALSE),$A281)=0,FALSE)</f>
        <v>1</v>
      </c>
      <c r="O281" s="111"/>
    </row>
    <row r="282" ht="15.75" customHeight="1">
      <c r="A282" s="110" t="str">
        <f t="shared" si="1"/>
        <v>1533544634</v>
      </c>
      <c r="B282" s="111">
        <v>15335.0</v>
      </c>
      <c r="C282" s="112">
        <v>0.3333333333333333</v>
      </c>
      <c r="D282" s="111" t="s">
        <v>3746</v>
      </c>
      <c r="E282" s="113">
        <v>33029.0</v>
      </c>
      <c r="F282" s="114">
        <v>44634.0</v>
      </c>
      <c r="G282" s="111" t="s">
        <v>6519</v>
      </c>
      <c r="H282" s="111" t="s">
        <v>6520</v>
      </c>
      <c r="I282" s="111" t="s">
        <v>6521</v>
      </c>
      <c r="J282" s="111" t="s">
        <v>6407</v>
      </c>
      <c r="K282" s="115"/>
      <c r="L282" s="115" t="s">
        <v>6522</v>
      </c>
      <c r="M282" s="115" t="b">
        <f>IFS($A282=FALSE,"", countif(VLOOKUP($B282,'MARCH 2022'!C:C,1,FALSE),$B282)&gt;=1,TRUE,countif(VLOOKUP($B282,'MARCH 2022'!C:C,1,FALSE),$B282)=0,FALSE)</f>
        <v>1</v>
      </c>
      <c r="N282" s="115" t="b">
        <f>IFS($A282=FALSE,"", countif(VLOOKUP($A282,'MARCH 2022'!A:A,1,FALSE),$A282)&gt;=1,TRUE,countif(VLOOKUP($A282,'MARCH 2022'!A:A,1,FALSE),$A282)=0,FALSE)</f>
        <v>1</v>
      </c>
      <c r="O282" s="111"/>
    </row>
    <row r="283" ht="15.75" customHeight="1">
      <c r="A283" s="110" t="str">
        <f t="shared" si="1"/>
        <v>1117144634</v>
      </c>
      <c r="B283" s="111">
        <v>11171.0</v>
      </c>
      <c r="C283" s="112">
        <v>0.3541666666666667</v>
      </c>
      <c r="D283" s="111" t="s">
        <v>844</v>
      </c>
      <c r="E283" s="113">
        <v>27123.0</v>
      </c>
      <c r="F283" s="114">
        <v>44634.0</v>
      </c>
      <c r="G283" s="111" t="s">
        <v>6523</v>
      </c>
      <c r="H283" s="111" t="s">
        <v>6520</v>
      </c>
      <c r="I283" s="111" t="s">
        <v>6521</v>
      </c>
      <c r="J283" s="111" t="s">
        <v>6444</v>
      </c>
      <c r="K283" s="115"/>
      <c r="L283" s="115" t="s">
        <v>6522</v>
      </c>
      <c r="M283" s="115" t="b">
        <f>IFS($A283=FALSE,"", countif(VLOOKUP($B283,'MARCH 2022'!C:C,1,FALSE),$B283)&gt;=1,TRUE,countif(VLOOKUP($B283,'MARCH 2022'!C:C,1,FALSE),$B283)=0,FALSE)</f>
        <v>1</v>
      </c>
      <c r="N283" s="115" t="b">
        <f>IFS($A283=FALSE,"", countif(VLOOKUP($A283,'MARCH 2022'!A:A,1,FALSE),$A283)&gt;=1,TRUE,countif(VLOOKUP($A283,'MARCH 2022'!A:A,1,FALSE),$A283)=0,FALSE)</f>
        <v>1</v>
      </c>
      <c r="O283" s="111"/>
    </row>
    <row r="284" ht="15.75" customHeight="1">
      <c r="A284" s="110" t="str">
        <f t="shared" si="1"/>
        <v>976044634</v>
      </c>
      <c r="B284" s="111">
        <v>9760.0</v>
      </c>
      <c r="C284" s="112">
        <v>0.3645833333333333</v>
      </c>
      <c r="D284" s="111" t="s">
        <v>280</v>
      </c>
      <c r="E284" s="113">
        <v>20490.0</v>
      </c>
      <c r="F284" s="114">
        <v>44634.0</v>
      </c>
      <c r="G284" s="111" t="s">
        <v>6523</v>
      </c>
      <c r="H284" s="111" t="s">
        <v>6520</v>
      </c>
      <c r="I284" s="111" t="s">
        <v>6521</v>
      </c>
      <c r="J284" s="111" t="s">
        <v>6489</v>
      </c>
      <c r="K284" s="115"/>
      <c r="L284" s="115" t="s">
        <v>6522</v>
      </c>
      <c r="M284" s="115" t="b">
        <f>IFS($A284=FALSE,"", countif(VLOOKUP($B284,'MARCH 2022'!C:C,1,FALSE),$B284)&gt;=1,TRUE,countif(VLOOKUP($B284,'MARCH 2022'!C:C,1,FALSE),$B284)=0,FALSE)</f>
        <v>1</v>
      </c>
      <c r="N284" s="115" t="b">
        <f>IFS($A284=FALSE,"", countif(VLOOKUP($A284,'MARCH 2022'!A:A,1,FALSE),$A284)&gt;=1,TRUE,countif(VLOOKUP($A284,'MARCH 2022'!A:A,1,FALSE),$A284)=0,FALSE)</f>
        <v>1</v>
      </c>
      <c r="O284" s="111"/>
    </row>
    <row r="285" ht="15.75" customHeight="1">
      <c r="A285" s="110" t="str">
        <f t="shared" si="1"/>
        <v>1516744634</v>
      </c>
      <c r="B285" s="111">
        <v>15167.0</v>
      </c>
      <c r="C285" s="112">
        <v>0.375</v>
      </c>
      <c r="D285" s="111" t="s">
        <v>3610</v>
      </c>
      <c r="E285" s="113">
        <v>23568.0</v>
      </c>
      <c r="F285" s="114">
        <v>44634.0</v>
      </c>
      <c r="G285" s="111" t="s">
        <v>6523</v>
      </c>
      <c r="H285" s="111" t="s">
        <v>6520</v>
      </c>
      <c r="I285" s="111" t="s">
        <v>6524</v>
      </c>
      <c r="J285" s="111" t="s">
        <v>6372</v>
      </c>
      <c r="K285" s="115"/>
      <c r="L285" s="115" t="s">
        <v>6522</v>
      </c>
      <c r="M285" s="115" t="b">
        <f>IFS($A285=FALSE,"", countif(VLOOKUP($B285,'MARCH 2022'!C:C,1,FALSE),$B285)&gt;=1,TRUE,countif(VLOOKUP($B285,'MARCH 2022'!C:C,1,FALSE),$B285)=0,FALSE)</f>
        <v>1</v>
      </c>
      <c r="N285" s="115" t="b">
        <f>IFS($A285=FALSE,"", countif(VLOOKUP($A285,'MARCH 2022'!A:A,1,FALSE),$A285)&gt;=1,TRUE,countif(VLOOKUP($A285,'MARCH 2022'!A:A,1,FALSE),$A285)=0,FALSE)</f>
        <v>1</v>
      </c>
      <c r="O285" s="111"/>
    </row>
    <row r="286" ht="15.75" customHeight="1">
      <c r="A286" s="110" t="str">
        <f t="shared" si="1"/>
        <v>1500244634</v>
      </c>
      <c r="B286" s="111">
        <v>15002.0</v>
      </c>
      <c r="C286" s="112">
        <v>0.3854166666666667</v>
      </c>
      <c r="D286" s="111" t="s">
        <v>3473</v>
      </c>
      <c r="E286" s="113">
        <v>21001.0</v>
      </c>
      <c r="F286" s="114">
        <v>44634.0</v>
      </c>
      <c r="G286" s="111" t="s">
        <v>6523</v>
      </c>
      <c r="H286" s="111" t="s">
        <v>6520</v>
      </c>
      <c r="I286" s="111" t="s">
        <v>6524</v>
      </c>
      <c r="J286" s="111" t="s">
        <v>6445</v>
      </c>
      <c r="K286" s="115"/>
      <c r="L286" s="115" t="s">
        <v>6522</v>
      </c>
      <c r="M286" s="115" t="b">
        <f>IFS($A286=FALSE,"", countif(VLOOKUP($B286,'MARCH 2022'!C:C,1,FALSE),$B286)&gt;=1,TRUE,countif(VLOOKUP($B286,'MARCH 2022'!C:C,1,FALSE),$B286)=0,FALSE)</f>
        <v>1</v>
      </c>
      <c r="N286" s="115" t="b">
        <f>IFS($A286=FALSE,"", countif(VLOOKUP($A286,'MARCH 2022'!A:A,1,FALSE),$A286)&gt;=1,TRUE,countif(VLOOKUP($A286,'MARCH 2022'!A:A,1,FALSE),$A286)=0,FALSE)</f>
        <v>1</v>
      </c>
      <c r="O286" s="111"/>
    </row>
    <row r="287" ht="15.75" customHeight="1">
      <c r="A287" s="110" t="str">
        <f t="shared" si="1"/>
        <v>919744634</v>
      </c>
      <c r="B287" s="111">
        <v>9197.0</v>
      </c>
      <c r="C287" s="112">
        <v>0.3958333333333333</v>
      </c>
      <c r="D287" s="111" t="s">
        <v>68</v>
      </c>
      <c r="E287" s="113">
        <v>17375.0</v>
      </c>
      <c r="F287" s="114">
        <v>44634.0</v>
      </c>
      <c r="G287" s="111" t="s">
        <v>6523</v>
      </c>
      <c r="H287" s="111" t="s">
        <v>6520</v>
      </c>
      <c r="I287" s="111" t="s">
        <v>6524</v>
      </c>
      <c r="J287" s="111" t="s">
        <v>6427</v>
      </c>
      <c r="K287" s="115"/>
      <c r="L287" s="115" t="s">
        <v>6522</v>
      </c>
      <c r="M287" s="115" t="b">
        <f>IFS($A287=FALSE,"", countif(VLOOKUP($B287,'MARCH 2022'!C:C,1,FALSE),$B287)&gt;=1,TRUE,countif(VLOOKUP($B287,'MARCH 2022'!C:C,1,FALSE),$B287)=0,FALSE)</f>
        <v>1</v>
      </c>
      <c r="N287" s="115" t="b">
        <f>IFS($A287=FALSE,"", countif(VLOOKUP($A287,'MARCH 2022'!A:A,1,FALSE),$A287)&gt;=1,TRUE,countif(VLOOKUP($A287,'MARCH 2022'!A:A,1,FALSE),$A287)=0,FALSE)</f>
        <v>1</v>
      </c>
      <c r="O287" s="111"/>
    </row>
    <row r="288" ht="15.75" customHeight="1">
      <c r="A288" s="110" t="str">
        <f t="shared" si="1"/>
        <v>1195944634</v>
      </c>
      <c r="B288" s="111">
        <v>11959.0</v>
      </c>
      <c r="C288" s="112">
        <v>0.40625</v>
      </c>
      <c r="D288" s="111" t="s">
        <v>1201</v>
      </c>
      <c r="E288" s="113">
        <v>15434.0</v>
      </c>
      <c r="F288" s="114">
        <v>44634.0</v>
      </c>
      <c r="G288" s="111" t="s">
        <v>6523</v>
      </c>
      <c r="H288" s="111" t="s">
        <v>6520</v>
      </c>
      <c r="I288" s="111" t="s">
        <v>6521</v>
      </c>
      <c r="J288" s="111" t="s">
        <v>6374</v>
      </c>
      <c r="K288" s="115"/>
      <c r="L288" s="115" t="s">
        <v>6522</v>
      </c>
      <c r="M288" s="115" t="b">
        <f>IFS($A288=FALSE,"", countif(VLOOKUP($B288,'MARCH 2022'!C:C,1,FALSE),$B288)&gt;=1,TRUE,countif(VLOOKUP($B288,'MARCH 2022'!C:C,1,FALSE),$B288)=0,FALSE)</f>
        <v>1</v>
      </c>
      <c r="N288" s="115" t="b">
        <f>IFS($A288=FALSE,"", countif(VLOOKUP($A288,'MARCH 2022'!A:A,1,FALSE),$A288)&gt;=1,TRUE,countif(VLOOKUP($A288,'MARCH 2022'!A:A,1,FALSE),$A288)=0,FALSE)</f>
        <v>1</v>
      </c>
      <c r="O288" s="111"/>
    </row>
    <row r="289" ht="15.75" customHeight="1">
      <c r="A289" s="110" t="str">
        <f t="shared" si="1"/>
        <v>1011444634</v>
      </c>
      <c r="B289" s="111">
        <v>10114.0</v>
      </c>
      <c r="C289" s="112">
        <v>0.4166666666666667</v>
      </c>
      <c r="D289" s="111" t="s">
        <v>415</v>
      </c>
      <c r="E289" s="113">
        <v>21405.0</v>
      </c>
      <c r="F289" s="114">
        <v>44634.0</v>
      </c>
      <c r="G289" s="111" t="s">
        <v>6523</v>
      </c>
      <c r="H289" s="111" t="s">
        <v>6520</v>
      </c>
      <c r="I289" s="111" t="s">
        <v>6524</v>
      </c>
      <c r="J289" s="111" t="s">
        <v>6381</v>
      </c>
      <c r="K289" s="115"/>
      <c r="L289" s="115" t="s">
        <v>6522</v>
      </c>
      <c r="M289" s="115" t="b">
        <f>IFS($A289=FALSE,"", countif(VLOOKUP($B289,'MARCH 2022'!C:C,1,FALSE),$B289)&gt;=1,TRUE,countif(VLOOKUP($B289,'MARCH 2022'!C:C,1,FALSE),$B289)=0,FALSE)</f>
        <v>1</v>
      </c>
      <c r="N289" s="115" t="b">
        <f>IFS($A289=FALSE,"", countif(VLOOKUP($A289,'MARCH 2022'!A:A,1,FALSE),$A289)&gt;=1,TRUE,countif(VLOOKUP($A289,'MARCH 2022'!A:A,1,FALSE),$A289)=0,FALSE)</f>
        <v>1</v>
      </c>
      <c r="O289" s="111"/>
    </row>
    <row r="290" ht="15.75" customHeight="1">
      <c r="A290" s="110" t="str">
        <f t="shared" si="1"/>
        <v>1565744634</v>
      </c>
      <c r="B290" s="111">
        <v>15657.0</v>
      </c>
      <c r="C290" s="112">
        <v>0.4375</v>
      </c>
      <c r="D290" s="111" t="s">
        <v>4026</v>
      </c>
      <c r="E290" s="113">
        <v>24273.0</v>
      </c>
      <c r="F290" s="114">
        <v>44634.0</v>
      </c>
      <c r="G290" s="111" t="s">
        <v>6523</v>
      </c>
      <c r="H290" s="111" t="s">
        <v>6520</v>
      </c>
      <c r="I290" s="111" t="s">
        <v>6521</v>
      </c>
      <c r="J290" s="111" t="s">
        <v>6451</v>
      </c>
      <c r="K290" s="115"/>
      <c r="L290" s="115" t="s">
        <v>6522</v>
      </c>
      <c r="M290" s="115" t="b">
        <f>IFS($A290=FALSE,"", countif(VLOOKUP($B290,'MARCH 2022'!C:C,1,FALSE),$B290)&gt;=1,TRUE,countif(VLOOKUP($B290,'MARCH 2022'!C:C,1,FALSE),$B290)=0,FALSE)</f>
        <v>1</v>
      </c>
      <c r="N290" s="115" t="b">
        <f>IFS($A290=FALSE,"", countif(VLOOKUP($A290,'MARCH 2022'!A:A,1,FALSE),$A290)&gt;=1,TRUE,countif(VLOOKUP($A290,'MARCH 2022'!A:A,1,FALSE),$A290)=0,FALSE)</f>
        <v>1</v>
      </c>
      <c r="O290" s="111"/>
    </row>
    <row r="291" ht="15.75" customHeight="1">
      <c r="A291" s="110" t="str">
        <f t="shared" si="1"/>
        <v>953844634</v>
      </c>
      <c r="B291" s="111">
        <v>9538.0</v>
      </c>
      <c r="C291" s="112">
        <v>0.4375</v>
      </c>
      <c r="D291" s="111" t="s">
        <v>201</v>
      </c>
      <c r="E291" s="113">
        <v>19933.0</v>
      </c>
      <c r="F291" s="114">
        <v>44634.0</v>
      </c>
      <c r="G291" s="111" t="s">
        <v>6523</v>
      </c>
      <c r="H291" s="111" t="s">
        <v>6520</v>
      </c>
      <c r="I291" s="111" t="s">
        <v>6521</v>
      </c>
      <c r="J291" s="111" t="s">
        <v>6375</v>
      </c>
      <c r="K291" s="115"/>
      <c r="L291" s="115" t="s">
        <v>6522</v>
      </c>
      <c r="M291" s="115" t="b">
        <f>IFS($A291=FALSE,"", countif(VLOOKUP($B291,'MARCH 2022'!C:C,1,FALSE),$B291)&gt;=1,TRUE,countif(VLOOKUP($B291,'MARCH 2022'!C:C,1,FALSE),$B291)=0,FALSE)</f>
        <v>1</v>
      </c>
      <c r="N291" s="115" t="b">
        <f>IFS($A291=FALSE,"", countif(VLOOKUP($A291,'MARCH 2022'!A:A,1,FALSE),$A291)&gt;=1,TRUE,countif(VLOOKUP($A291,'MARCH 2022'!A:A,1,FALSE),$A291)=0,FALSE)</f>
        <v>1</v>
      </c>
      <c r="O291" s="111"/>
    </row>
    <row r="292" ht="15.75" customHeight="1">
      <c r="A292" s="110" t="str">
        <f t="shared" si="1"/>
        <v>1441144634</v>
      </c>
      <c r="B292" s="111">
        <v>14411.0</v>
      </c>
      <c r="C292" s="112">
        <v>0.4479166666666667</v>
      </c>
      <c r="D292" s="111" t="s">
        <v>2986</v>
      </c>
      <c r="E292" s="113">
        <v>20328.0</v>
      </c>
      <c r="F292" s="114">
        <v>44634.0</v>
      </c>
      <c r="G292" s="111" t="s">
        <v>6523</v>
      </c>
      <c r="H292" s="111" t="s">
        <v>6520</v>
      </c>
      <c r="I292" s="111" t="s">
        <v>6524</v>
      </c>
      <c r="J292" s="111" t="s">
        <v>6427</v>
      </c>
      <c r="K292" s="115"/>
      <c r="L292" s="115" t="s">
        <v>6522</v>
      </c>
      <c r="M292" s="115" t="b">
        <f>IFS($A292=FALSE,"", countif(VLOOKUP($B292,'MARCH 2022'!C:C,1,FALSE),$B292)&gt;=1,TRUE,countif(VLOOKUP($B292,'MARCH 2022'!C:C,1,FALSE),$B292)=0,FALSE)</f>
        <v>1</v>
      </c>
      <c r="N292" s="115" t="b">
        <f>IFS($A292=FALSE,"", countif(VLOOKUP($A292,'MARCH 2022'!A:A,1,FALSE),$A292)&gt;=1,TRUE,countif(VLOOKUP($A292,'MARCH 2022'!A:A,1,FALSE),$A292)=0,FALSE)</f>
        <v>1</v>
      </c>
      <c r="O292" s="111"/>
    </row>
    <row r="293" ht="15.75" customHeight="1">
      <c r="A293" s="110" t="str">
        <f t="shared" si="1"/>
        <v>1307844634</v>
      </c>
      <c r="B293" s="111">
        <v>13078.0</v>
      </c>
      <c r="C293" s="112">
        <v>0.4583333333333333</v>
      </c>
      <c r="D293" s="111" t="s">
        <v>1949</v>
      </c>
      <c r="E293" s="113">
        <v>25457.0</v>
      </c>
      <c r="F293" s="114">
        <v>44634.0</v>
      </c>
      <c r="G293" s="111" t="s">
        <v>6523</v>
      </c>
      <c r="H293" s="111" t="s">
        <v>6520</v>
      </c>
      <c r="I293" s="111" t="s">
        <v>6524</v>
      </c>
      <c r="J293" s="111" t="s">
        <v>6379</v>
      </c>
      <c r="K293" s="115"/>
      <c r="L293" s="115" t="s">
        <v>6522</v>
      </c>
      <c r="M293" s="115" t="b">
        <f>IFS($A293=FALSE,"", countif(VLOOKUP($B293,'MARCH 2022'!C:C,1,FALSE),$B293)&gt;=1,TRUE,countif(VLOOKUP($B293,'MARCH 2022'!C:C,1,FALSE),$B293)=0,FALSE)</f>
        <v>1</v>
      </c>
      <c r="N293" s="115" t="b">
        <f>IFS($A293=FALSE,"", countif(VLOOKUP($A293,'MARCH 2022'!A:A,1,FALSE),$A293)&gt;=1,TRUE,countif(VLOOKUP($A293,'MARCH 2022'!A:A,1,FALSE),$A293)=0,FALSE)</f>
        <v>1</v>
      </c>
      <c r="O293" s="111"/>
    </row>
    <row r="294" ht="15.75" customHeight="1">
      <c r="A294" s="110" t="str">
        <f t="shared" si="1"/>
        <v>1185644634</v>
      </c>
      <c r="B294" s="111">
        <v>11856.0</v>
      </c>
      <c r="C294" s="112">
        <v>0.4583333333333333</v>
      </c>
      <c r="D294" s="111" t="s">
        <v>1147</v>
      </c>
      <c r="E294" s="113">
        <v>23707.0</v>
      </c>
      <c r="F294" s="114">
        <v>44634.0</v>
      </c>
      <c r="G294" s="111" t="s">
        <v>6523</v>
      </c>
      <c r="H294" s="111" t="s">
        <v>6520</v>
      </c>
      <c r="I294" s="111" t="s">
        <v>6521</v>
      </c>
      <c r="J294" s="111" t="s">
        <v>6407</v>
      </c>
      <c r="K294" s="115"/>
      <c r="L294" s="115" t="s">
        <v>6522</v>
      </c>
      <c r="M294" s="115" t="b">
        <f>IFS($A294=FALSE,"", countif(VLOOKUP($B294,'MARCH 2022'!C:C,1,FALSE),$B294)&gt;=1,TRUE,countif(VLOOKUP($B294,'MARCH 2022'!C:C,1,FALSE),$B294)=0,FALSE)</f>
        <v>1</v>
      </c>
      <c r="N294" s="115" t="b">
        <f>IFS($A294=FALSE,"", countif(VLOOKUP($A294,'MARCH 2022'!A:A,1,FALSE),$A294)&gt;=1,TRUE,countif(VLOOKUP($A294,'MARCH 2022'!A:A,1,FALSE),$A294)=0,FALSE)</f>
        <v>1</v>
      </c>
      <c r="O294" s="111"/>
    </row>
    <row r="295" ht="15.75" customHeight="1">
      <c r="A295" s="110" t="str">
        <f t="shared" si="1"/>
        <v>1654244634</v>
      </c>
      <c r="B295" s="111">
        <v>16542.0</v>
      </c>
      <c r="C295" s="112">
        <v>0.46875</v>
      </c>
      <c r="D295" s="111" t="s">
        <v>4769</v>
      </c>
      <c r="E295" s="113">
        <v>16692.0</v>
      </c>
      <c r="F295" s="114">
        <v>44634.0</v>
      </c>
      <c r="G295" s="111" t="s">
        <v>6523</v>
      </c>
      <c r="H295" s="111" t="s">
        <v>6520</v>
      </c>
      <c r="I295" s="111" t="s">
        <v>6524</v>
      </c>
      <c r="J295" s="111" t="s">
        <v>6457</v>
      </c>
      <c r="K295" s="115"/>
      <c r="L295" s="115" t="s">
        <v>6522</v>
      </c>
      <c r="M295" s="115" t="b">
        <f>IFS($A295=FALSE,"", countif(VLOOKUP($B295,'MARCH 2022'!C:C,1,FALSE),$B295)&gt;=1,TRUE,countif(VLOOKUP($B295,'MARCH 2022'!C:C,1,FALSE),$B295)=0,FALSE)</f>
        <v>1</v>
      </c>
      <c r="N295" s="115" t="b">
        <f>IFS($A295=FALSE,"", countif(VLOOKUP($A295,'MARCH 2022'!A:A,1,FALSE),$A295)&gt;=1,TRUE,countif(VLOOKUP($A295,'MARCH 2022'!A:A,1,FALSE),$A295)=0,FALSE)</f>
        <v>1</v>
      </c>
      <c r="O295" s="111"/>
    </row>
    <row r="296" ht="15.75" customHeight="1">
      <c r="A296" s="110" t="str">
        <f t="shared" si="1"/>
        <v>1027344634</v>
      </c>
      <c r="B296" s="111">
        <v>10273.0</v>
      </c>
      <c r="C296" s="112">
        <v>0.5520833333333334</v>
      </c>
      <c r="D296" s="111" t="s">
        <v>472</v>
      </c>
      <c r="E296" s="113">
        <v>15730.0</v>
      </c>
      <c r="F296" s="114">
        <v>44634.0</v>
      </c>
      <c r="G296" s="111" t="s">
        <v>6523</v>
      </c>
      <c r="H296" s="111" t="s">
        <v>6520</v>
      </c>
      <c r="I296" s="111" t="s">
        <v>6521</v>
      </c>
      <c r="J296" s="111" t="s">
        <v>6476</v>
      </c>
      <c r="K296" s="115"/>
      <c r="L296" s="115" t="s">
        <v>6522</v>
      </c>
      <c r="M296" s="115" t="b">
        <f>IFS($A296=FALSE,"", countif(VLOOKUP($B296,'MARCH 2022'!C:C,1,FALSE),$B296)&gt;=1,TRUE,countif(VLOOKUP($B296,'MARCH 2022'!C:C,1,FALSE),$B296)=0,FALSE)</f>
        <v>1</v>
      </c>
      <c r="N296" s="115" t="b">
        <f>IFS($A296=FALSE,"", countif(VLOOKUP($A296,'MARCH 2022'!A:A,1,FALSE),$A296)&gt;=1,TRUE,countif(VLOOKUP($A296,'MARCH 2022'!A:A,1,FALSE),$A296)=0,FALSE)</f>
        <v>1</v>
      </c>
      <c r="O296" s="111"/>
    </row>
    <row r="297" ht="15.75" customHeight="1">
      <c r="A297" s="110" t="str">
        <f t="shared" si="1"/>
        <v>1624644634</v>
      </c>
      <c r="B297" s="111">
        <v>16246.0</v>
      </c>
      <c r="C297" s="112">
        <v>0.59375</v>
      </c>
      <c r="D297" s="111" t="s">
        <v>4542</v>
      </c>
      <c r="E297" s="113">
        <v>24375.0</v>
      </c>
      <c r="F297" s="114">
        <v>44634.0</v>
      </c>
      <c r="G297" s="111" t="s">
        <v>6523</v>
      </c>
      <c r="H297" s="111" t="s">
        <v>6520</v>
      </c>
      <c r="I297" s="111" t="s">
        <v>6524</v>
      </c>
      <c r="J297" s="111" t="s">
        <v>6540</v>
      </c>
      <c r="K297" s="115"/>
      <c r="L297" s="115" t="s">
        <v>6522</v>
      </c>
      <c r="M297" s="115" t="b">
        <f>IFS($A297=FALSE,"", countif(VLOOKUP($B297,'MARCH 2022'!C:C,1,FALSE),$B297)&gt;=1,TRUE,countif(VLOOKUP($B297,'MARCH 2022'!C:C,1,FALSE),$B297)=0,FALSE)</f>
        <v>1</v>
      </c>
      <c r="N297" s="115" t="b">
        <f>IFS($A297=FALSE,"", countif(VLOOKUP($A297,'MARCH 2022'!A:A,1,FALSE),$A297)&gt;=1,TRUE,countif(VLOOKUP($A297,'MARCH 2022'!A:A,1,FALSE),$A297)=0,FALSE)</f>
        <v>1</v>
      </c>
      <c r="O297" s="111"/>
    </row>
    <row r="298" ht="15.75" customHeight="1">
      <c r="A298" s="110" t="str">
        <f t="shared" si="1"/>
        <v>1379844634</v>
      </c>
      <c r="B298" s="111">
        <v>13798.0</v>
      </c>
      <c r="C298" s="112">
        <v>0.6145833333333334</v>
      </c>
      <c r="D298" s="111" t="s">
        <v>2515</v>
      </c>
      <c r="E298" s="113">
        <v>34259.0</v>
      </c>
      <c r="F298" s="114">
        <v>44634.0</v>
      </c>
      <c r="G298" s="111" t="s">
        <v>6523</v>
      </c>
      <c r="H298" s="111" t="s">
        <v>6520</v>
      </c>
      <c r="I298" s="111" t="s">
        <v>6524</v>
      </c>
      <c r="J298" s="111" t="s">
        <v>6489</v>
      </c>
      <c r="K298" s="115"/>
      <c r="L298" s="115" t="s">
        <v>6522</v>
      </c>
      <c r="M298" s="115" t="b">
        <f>IFS($A298=FALSE,"", countif(VLOOKUP($B298,'MARCH 2022'!C:C,1,FALSE),$B298)&gt;=1,TRUE,countif(VLOOKUP($B298,'MARCH 2022'!C:C,1,FALSE),$B298)=0,FALSE)</f>
        <v>1</v>
      </c>
      <c r="N298" s="115" t="b">
        <f>IFS($A298=FALSE,"", countif(VLOOKUP($A298,'MARCH 2022'!A:A,1,FALSE),$A298)&gt;=1,TRUE,countif(VLOOKUP($A298,'MARCH 2022'!A:A,1,FALSE),$A298)=0,FALSE)</f>
        <v>1</v>
      </c>
      <c r="O298" s="111"/>
    </row>
    <row r="299" ht="15.75" customHeight="1">
      <c r="A299" s="110" t="str">
        <f t="shared" si="1"/>
        <v>1736744634</v>
      </c>
      <c r="B299" s="111">
        <v>17367.0</v>
      </c>
      <c r="C299" s="112">
        <v>0.6354166666666666</v>
      </c>
      <c r="D299" s="111" t="s">
        <v>5413</v>
      </c>
      <c r="E299" s="113">
        <v>20919.0</v>
      </c>
      <c r="F299" s="114">
        <v>44634.0</v>
      </c>
      <c r="G299" s="111" t="s">
        <v>6523</v>
      </c>
      <c r="H299" s="111" t="s">
        <v>6520</v>
      </c>
      <c r="I299" s="111" t="s">
        <v>6524</v>
      </c>
      <c r="J299" s="111" t="s">
        <v>6489</v>
      </c>
      <c r="K299" s="115"/>
      <c r="L299" s="115" t="s">
        <v>6522</v>
      </c>
      <c r="M299" s="115" t="b">
        <f>IFS($A299=FALSE,"", countif(VLOOKUP($B299,'MARCH 2022'!C:C,1,FALSE),$B299)&gt;=1,TRUE,countif(VLOOKUP($B299,'MARCH 2022'!C:C,1,FALSE),$B299)=0,FALSE)</f>
        <v>1</v>
      </c>
      <c r="N299" s="115" t="b">
        <f>IFS($A299=FALSE,"", countif(VLOOKUP($A299,'MARCH 2022'!A:A,1,FALSE),$A299)&gt;=1,TRUE,countif(VLOOKUP($A299,'MARCH 2022'!A:A,1,FALSE),$A299)=0,FALSE)</f>
        <v>1</v>
      </c>
      <c r="O299" s="111"/>
    </row>
    <row r="300" ht="15.75" customHeight="1">
      <c r="A300" s="110" t="str">
        <f t="shared" si="1"/>
        <v>1577144634</v>
      </c>
      <c r="B300" s="111">
        <v>15771.0</v>
      </c>
      <c r="C300" s="112">
        <v>0.6458333333333334</v>
      </c>
      <c r="D300" s="111" t="s">
        <v>4132</v>
      </c>
      <c r="E300" s="113">
        <v>19858.0</v>
      </c>
      <c r="F300" s="114">
        <v>44634.0</v>
      </c>
      <c r="G300" s="111" t="s">
        <v>6523</v>
      </c>
      <c r="H300" s="111" t="s">
        <v>6520</v>
      </c>
      <c r="I300" s="111" t="s">
        <v>6521</v>
      </c>
      <c r="J300" s="111" t="s">
        <v>6374</v>
      </c>
      <c r="K300" s="115"/>
      <c r="L300" s="115" t="s">
        <v>6522</v>
      </c>
      <c r="M300" s="115" t="b">
        <f>IFS($A300=FALSE,"", countif(VLOOKUP($B300,'MARCH 2022'!C:C,1,FALSE),$B300)&gt;=1,TRUE,countif(VLOOKUP($B300,'MARCH 2022'!C:C,1,FALSE),$B300)=0,FALSE)</f>
        <v>1</v>
      </c>
      <c r="N300" s="115" t="b">
        <f>IFS($A300=FALSE,"", countif(VLOOKUP($A300,'MARCH 2022'!A:A,1,FALSE),$A300)&gt;=1,TRUE,countif(VLOOKUP($A300,'MARCH 2022'!A:A,1,FALSE),$A300)=0,FALSE)</f>
        <v>1</v>
      </c>
      <c r="O300" s="111"/>
    </row>
    <row r="301" ht="15.75" customHeight="1">
      <c r="A301" s="110" t="str">
        <f t="shared" si="1"/>
        <v>942044635</v>
      </c>
      <c r="B301" s="111">
        <v>9420.0</v>
      </c>
      <c r="C301" s="112">
        <v>0.3333333333333333</v>
      </c>
      <c r="D301" s="111" t="s">
        <v>159</v>
      </c>
      <c r="E301" s="113">
        <v>19224.0</v>
      </c>
      <c r="F301" s="114">
        <v>44635.0</v>
      </c>
      <c r="G301" s="111" t="s">
        <v>6523</v>
      </c>
      <c r="H301" s="111" t="s">
        <v>6526</v>
      </c>
      <c r="I301" s="111" t="s">
        <v>6529</v>
      </c>
      <c r="J301" s="111" t="s">
        <v>6427</v>
      </c>
      <c r="K301" s="115"/>
      <c r="L301" s="115" t="s">
        <v>6522</v>
      </c>
      <c r="M301" s="115" t="b">
        <f>IFS($A301=FALSE,"", countif(VLOOKUP($B301,'MARCH 2022'!C:C,1,FALSE),$B301)&gt;=1,TRUE,countif(VLOOKUP($B301,'MARCH 2022'!C:C,1,FALSE),$B301)=0,FALSE)</f>
        <v>1</v>
      </c>
      <c r="N301" s="115" t="b">
        <f>IFS($A301=FALSE,"", countif(VLOOKUP($A301,'MARCH 2022'!A:A,1,FALSE),$A301)&gt;=1,TRUE,countif(VLOOKUP($A301,'MARCH 2022'!A:A,1,FALSE),$A301)=0,FALSE)</f>
        <v>1</v>
      </c>
      <c r="O301" s="111"/>
    </row>
    <row r="302" ht="15.75" customHeight="1">
      <c r="A302" s="110" t="str">
        <f t="shared" si="1"/>
        <v>1821244635</v>
      </c>
      <c r="B302" s="111">
        <v>18212.0</v>
      </c>
      <c r="C302" s="112">
        <v>0.34375</v>
      </c>
      <c r="D302" s="111" t="s">
        <v>6360</v>
      </c>
      <c r="E302" s="113">
        <v>29080.0</v>
      </c>
      <c r="F302" s="114">
        <v>44635.0</v>
      </c>
      <c r="G302" s="111" t="s">
        <v>6525</v>
      </c>
      <c r="H302" s="111" t="s">
        <v>6526</v>
      </c>
      <c r="I302" s="111" t="s">
        <v>6527</v>
      </c>
      <c r="J302" s="111" t="s">
        <v>6541</v>
      </c>
      <c r="K302" s="115"/>
      <c r="L302" s="115" t="s">
        <v>6522</v>
      </c>
      <c r="M302" s="115" t="b">
        <f>IFS($A302=FALSE,"", countif(VLOOKUP($B302,'MARCH 2022'!C:C,1,FALSE),$B302)&gt;=1,TRUE,countif(VLOOKUP($B302,'MARCH 2022'!C:C,1,FALSE),$B302)=0,FALSE)</f>
        <v>1</v>
      </c>
      <c r="N302" s="115" t="b">
        <f>IFS($A302=FALSE,"", countif(VLOOKUP($A302,'MARCH 2022'!A:A,1,FALSE),$A302)&gt;=1,TRUE,countif(VLOOKUP($A302,'MARCH 2022'!A:A,1,FALSE),$A302)=0,FALSE)</f>
        <v>1</v>
      </c>
      <c r="O302" s="111"/>
    </row>
    <row r="303" ht="15.75" customHeight="1">
      <c r="A303" s="110" t="str">
        <f t="shared" si="1"/>
        <v>1102644635</v>
      </c>
      <c r="B303" s="111">
        <v>11026.0</v>
      </c>
      <c r="C303" s="112">
        <v>0.34375</v>
      </c>
      <c r="D303" s="111" t="s">
        <v>769</v>
      </c>
      <c r="E303" s="113">
        <v>21125.0</v>
      </c>
      <c r="F303" s="114">
        <v>44635.0</v>
      </c>
      <c r="G303" s="111" t="s">
        <v>6523</v>
      </c>
      <c r="H303" s="111" t="s">
        <v>6520</v>
      </c>
      <c r="I303" s="111" t="s">
        <v>6524</v>
      </c>
      <c r="J303" s="111" t="s">
        <v>6381</v>
      </c>
      <c r="K303" s="115"/>
      <c r="L303" s="115" t="s">
        <v>6522</v>
      </c>
      <c r="M303" s="115" t="b">
        <f>IFS($A303=FALSE,"", countif(VLOOKUP($B303,'MARCH 2022'!C:C,1,FALSE),$B303)&gt;=1,TRUE,countif(VLOOKUP($B303,'MARCH 2022'!C:C,1,FALSE),$B303)=0,FALSE)</f>
        <v>1</v>
      </c>
      <c r="N303" s="115" t="b">
        <f>IFS($A303=FALSE,"", countif(VLOOKUP($A303,'MARCH 2022'!A:A,1,FALSE),$A303)&gt;=1,TRUE,countif(VLOOKUP($A303,'MARCH 2022'!A:A,1,FALSE),$A303)=0,FALSE)</f>
        <v>1</v>
      </c>
      <c r="O303" s="111"/>
    </row>
    <row r="304" ht="15.75" customHeight="1">
      <c r="A304" s="110" t="str">
        <f t="shared" si="1"/>
        <v>1680744635</v>
      </c>
      <c r="B304" s="111">
        <v>16807.0</v>
      </c>
      <c r="C304" s="112">
        <v>0.3645833333333333</v>
      </c>
      <c r="D304" s="111" t="s">
        <v>4974</v>
      </c>
      <c r="E304" s="113">
        <v>13912.0</v>
      </c>
      <c r="F304" s="114">
        <v>44635.0</v>
      </c>
      <c r="G304" s="111" t="s">
        <v>6523</v>
      </c>
      <c r="H304" s="111" t="s">
        <v>6520</v>
      </c>
      <c r="I304" s="111" t="s">
        <v>6521</v>
      </c>
      <c r="J304" s="111" t="s">
        <v>6381</v>
      </c>
      <c r="K304" s="115"/>
      <c r="L304" s="115" t="s">
        <v>6522</v>
      </c>
      <c r="M304" s="115" t="b">
        <f>IFS($A304=FALSE,"", countif(VLOOKUP($B304,'MARCH 2022'!C:C,1,FALSE),$B304)&gt;=1,TRUE,countif(VLOOKUP($B304,'MARCH 2022'!C:C,1,FALSE),$B304)=0,FALSE)</f>
        <v>1</v>
      </c>
      <c r="N304" s="115" t="b">
        <f>IFS($A304=FALSE,"", countif(VLOOKUP($A304,'MARCH 2022'!A:A,1,FALSE),$A304)&gt;=1,TRUE,countif(VLOOKUP($A304,'MARCH 2022'!A:A,1,FALSE),$A304)=0,FALSE)</f>
        <v>1</v>
      </c>
      <c r="O304" s="111"/>
    </row>
    <row r="305" ht="15.75" customHeight="1">
      <c r="A305" s="110" t="str">
        <f t="shared" si="1"/>
        <v>1569744635</v>
      </c>
      <c r="B305" s="111">
        <v>15697.0</v>
      </c>
      <c r="C305" s="112">
        <v>0.3854166666666667</v>
      </c>
      <c r="D305" s="111" t="s">
        <v>4062</v>
      </c>
      <c r="E305" s="113">
        <v>28605.0</v>
      </c>
      <c r="F305" s="114">
        <v>44635.0</v>
      </c>
      <c r="G305" s="111" t="s">
        <v>6523</v>
      </c>
      <c r="H305" s="111" t="s">
        <v>6520</v>
      </c>
      <c r="I305" s="111" t="s">
        <v>6521</v>
      </c>
      <c r="J305" s="111" t="s">
        <v>6416</v>
      </c>
      <c r="K305" s="115"/>
      <c r="L305" s="115" t="s">
        <v>6522</v>
      </c>
      <c r="M305" s="115" t="b">
        <f>IFS($A305=FALSE,"", countif(VLOOKUP($B305,'MARCH 2022'!C:C,1,FALSE),$B305)&gt;=1,TRUE,countif(VLOOKUP($B305,'MARCH 2022'!C:C,1,FALSE),$B305)=0,FALSE)</f>
        <v>1</v>
      </c>
      <c r="N305" s="115" t="b">
        <f>IFS($A305=FALSE,"", countif(VLOOKUP($A305,'MARCH 2022'!A:A,1,FALSE),$A305)&gt;=1,TRUE,countif(VLOOKUP($A305,'MARCH 2022'!A:A,1,FALSE),$A305)=0,FALSE)</f>
        <v>1</v>
      </c>
      <c r="O305" s="111"/>
    </row>
    <row r="306" ht="15.75" customHeight="1">
      <c r="A306" s="110" t="str">
        <f t="shared" si="1"/>
        <v>1829944635</v>
      </c>
      <c r="B306" s="111">
        <v>18299.0</v>
      </c>
      <c r="C306" s="112">
        <v>0.3958333333333333</v>
      </c>
      <c r="D306" s="111" t="s">
        <v>6362</v>
      </c>
      <c r="E306" s="113">
        <v>22989.0</v>
      </c>
      <c r="F306" s="114">
        <v>44635.0</v>
      </c>
      <c r="G306" s="111" t="s">
        <v>6525</v>
      </c>
      <c r="H306" s="111" t="s">
        <v>6526</v>
      </c>
      <c r="I306" s="111" t="s">
        <v>6527</v>
      </c>
      <c r="J306" s="111" t="s">
        <v>6381</v>
      </c>
      <c r="K306" s="115"/>
      <c r="L306" s="115" t="s">
        <v>6522</v>
      </c>
      <c r="M306" s="115" t="b">
        <f>IFS($A306=FALSE,"", countif(VLOOKUP($B306,'MARCH 2022'!C:C,1,FALSE),$B306)&gt;=1,TRUE,countif(VLOOKUP($B306,'MARCH 2022'!C:C,1,FALSE),$B306)=0,FALSE)</f>
        <v>1</v>
      </c>
      <c r="N306" s="115" t="b">
        <f>IFS($A306=FALSE,"", countif(VLOOKUP($A306,'MARCH 2022'!A:A,1,FALSE),$A306)&gt;=1,TRUE,countif(VLOOKUP($A306,'MARCH 2022'!A:A,1,FALSE),$A306)=0,FALSE)</f>
        <v>1</v>
      </c>
      <c r="O306" s="111"/>
    </row>
    <row r="307" ht="15.75" customHeight="1">
      <c r="A307" s="110" t="str">
        <f t="shared" si="1"/>
        <v>1831044635</v>
      </c>
      <c r="B307" s="111">
        <v>18310.0</v>
      </c>
      <c r="C307" s="112">
        <v>0.3958333333333333</v>
      </c>
      <c r="D307" s="111" t="s">
        <v>6363</v>
      </c>
      <c r="E307" s="113">
        <v>24704.0</v>
      </c>
      <c r="F307" s="114">
        <v>44635.0</v>
      </c>
      <c r="G307" s="111" t="s">
        <v>6525</v>
      </c>
      <c r="H307" s="111" t="s">
        <v>6526</v>
      </c>
      <c r="I307" s="111" t="s">
        <v>6527</v>
      </c>
      <c r="J307" s="111" t="s">
        <v>6381</v>
      </c>
      <c r="K307" s="115"/>
      <c r="L307" s="115" t="s">
        <v>6522</v>
      </c>
      <c r="M307" s="115" t="b">
        <f>IFS($A307=FALSE,"", countif(VLOOKUP($B307,'MARCH 2022'!C:C,1,FALSE),$B307)&gt;=1,TRUE,countif(VLOOKUP($B307,'MARCH 2022'!C:C,1,FALSE),$B307)=0,FALSE)</f>
        <v>1</v>
      </c>
      <c r="N307" s="115" t="b">
        <f>IFS($A307=FALSE,"", countif(VLOOKUP($A307,'MARCH 2022'!A:A,1,FALSE),$A307)&gt;=1,TRUE,countif(VLOOKUP($A307,'MARCH 2022'!A:A,1,FALSE),$A307)=0,FALSE)</f>
        <v>1</v>
      </c>
      <c r="O307" s="111"/>
    </row>
    <row r="308" ht="15.75" customHeight="1">
      <c r="A308" s="110" t="str">
        <f t="shared" si="1"/>
        <v>930344635</v>
      </c>
      <c r="B308" s="111">
        <v>9303.0</v>
      </c>
      <c r="C308" s="112">
        <v>0.3958333333333333</v>
      </c>
      <c r="D308" s="111" t="s">
        <v>134</v>
      </c>
      <c r="E308" s="113">
        <v>21908.0</v>
      </c>
      <c r="F308" s="114">
        <v>44635.0</v>
      </c>
      <c r="G308" s="111" t="s">
        <v>6523</v>
      </c>
      <c r="H308" s="111" t="s">
        <v>6526</v>
      </c>
      <c r="I308" s="111" t="s">
        <v>6527</v>
      </c>
      <c r="J308" s="111" t="s">
        <v>6407</v>
      </c>
      <c r="K308" s="115"/>
      <c r="L308" s="115" t="s">
        <v>6522</v>
      </c>
      <c r="M308" s="115" t="b">
        <f>IFS($A308=FALSE,"", countif(VLOOKUP($B308,'MARCH 2022'!C:C,1,FALSE),$B308)&gt;=1,TRUE,countif(VLOOKUP($B308,'MARCH 2022'!C:C,1,FALSE),$B308)=0,FALSE)</f>
        <v>1</v>
      </c>
      <c r="N308" s="115" t="b">
        <f>IFS($A308=FALSE,"", countif(VLOOKUP($A308,'MARCH 2022'!A:A,1,FALSE),$A308)&gt;=1,TRUE,countif(VLOOKUP($A308,'MARCH 2022'!A:A,1,FALSE),$A308)=0,FALSE)</f>
        <v>1</v>
      </c>
      <c r="O308" s="111"/>
    </row>
    <row r="309" ht="15.75" customHeight="1">
      <c r="A309" s="110" t="str">
        <f t="shared" si="1"/>
        <v>1600044635</v>
      </c>
      <c r="B309" s="111">
        <v>16000.0</v>
      </c>
      <c r="C309" s="112">
        <v>0.40625</v>
      </c>
      <c r="D309" s="111" t="s">
        <v>4336</v>
      </c>
      <c r="E309" s="113">
        <v>25400.0</v>
      </c>
      <c r="F309" s="114">
        <v>44635.0</v>
      </c>
      <c r="G309" s="111" t="s">
        <v>6523</v>
      </c>
      <c r="H309" s="111" t="s">
        <v>6520</v>
      </c>
      <c r="I309" s="111" t="s">
        <v>6524</v>
      </c>
      <c r="J309" s="111" t="s">
        <v>6427</v>
      </c>
      <c r="K309" s="115"/>
      <c r="L309" s="115" t="s">
        <v>6522</v>
      </c>
      <c r="M309" s="115" t="b">
        <f>IFS($A309=FALSE,"", countif(VLOOKUP($B309,'MARCH 2022'!C:C,1,FALSE),$B309)&gt;=1,TRUE,countif(VLOOKUP($B309,'MARCH 2022'!C:C,1,FALSE),$B309)=0,FALSE)</f>
        <v>1</v>
      </c>
      <c r="N309" s="115" t="b">
        <f>IFS($A309=FALSE,"", countif(VLOOKUP($A309,'MARCH 2022'!A:A,1,FALSE),$A309)&gt;=1,TRUE,countif(VLOOKUP($A309,'MARCH 2022'!A:A,1,FALSE),$A309)=0,FALSE)</f>
        <v>1</v>
      </c>
      <c r="O309" s="111"/>
    </row>
    <row r="310" ht="15.75" customHeight="1">
      <c r="A310" s="110" t="str">
        <f t="shared" si="1"/>
        <v>1631044635</v>
      </c>
      <c r="B310" s="111">
        <v>16310.0</v>
      </c>
      <c r="C310" s="112">
        <v>0.4166666666666667</v>
      </c>
      <c r="D310" s="111" t="s">
        <v>4586</v>
      </c>
      <c r="E310" s="113">
        <v>20014.0</v>
      </c>
      <c r="F310" s="114">
        <v>44635.0</v>
      </c>
      <c r="G310" s="111" t="s">
        <v>6523</v>
      </c>
      <c r="H310" s="111" t="s">
        <v>6526</v>
      </c>
      <c r="I310" s="111" t="s">
        <v>6527</v>
      </c>
      <c r="J310" s="111" t="s">
        <v>6427</v>
      </c>
      <c r="K310" s="115"/>
      <c r="L310" s="115" t="s">
        <v>6522</v>
      </c>
      <c r="M310" s="115" t="b">
        <f>IFS($A310=FALSE,"", countif(VLOOKUP($B310,'MARCH 2022'!C:C,1,FALSE),$B310)&gt;=1,TRUE,countif(VLOOKUP($B310,'MARCH 2022'!C:C,1,FALSE),$B310)=0,FALSE)</f>
        <v>1</v>
      </c>
      <c r="N310" s="115" t="b">
        <f>IFS($A310=FALSE,"", countif(VLOOKUP($A310,'MARCH 2022'!A:A,1,FALSE),$A310)&gt;=1,TRUE,countif(VLOOKUP($A310,'MARCH 2022'!A:A,1,FALSE),$A310)=0,FALSE)</f>
        <v>1</v>
      </c>
      <c r="O310" s="111"/>
    </row>
    <row r="311" ht="15.75" customHeight="1">
      <c r="A311" s="110" t="str">
        <f t="shared" si="1"/>
        <v>1747644635</v>
      </c>
      <c r="B311" s="111">
        <v>17476.0</v>
      </c>
      <c r="C311" s="112">
        <v>0.4166666666666667</v>
      </c>
      <c r="D311" s="111" t="s">
        <v>5501</v>
      </c>
      <c r="E311" s="113">
        <v>18351.0</v>
      </c>
      <c r="F311" s="114">
        <v>44635.0</v>
      </c>
      <c r="G311" s="111" t="s">
        <v>6523</v>
      </c>
      <c r="H311" s="111" t="s">
        <v>6520</v>
      </c>
      <c r="I311" s="111" t="s">
        <v>6524</v>
      </c>
      <c r="J311" s="111" t="s">
        <v>6427</v>
      </c>
      <c r="K311" s="115"/>
      <c r="L311" s="115" t="s">
        <v>6522</v>
      </c>
      <c r="M311" s="115" t="b">
        <f>IFS($A311=FALSE,"", countif(VLOOKUP($B311,'MARCH 2022'!C:C,1,FALSE),$B311)&gt;=1,TRUE,countif(VLOOKUP($B311,'MARCH 2022'!C:C,1,FALSE),$B311)=0,FALSE)</f>
        <v>1</v>
      </c>
      <c r="N311" s="115" t="b">
        <f>IFS($A311=FALSE,"", countif(VLOOKUP($A311,'MARCH 2022'!A:A,1,FALSE),$A311)&gt;=1,TRUE,countif(VLOOKUP($A311,'MARCH 2022'!A:A,1,FALSE),$A311)=0,FALSE)</f>
        <v>1</v>
      </c>
      <c r="O311" s="111"/>
    </row>
    <row r="312" ht="15.75" customHeight="1">
      <c r="A312" s="110" t="str">
        <f t="shared" si="1"/>
        <v>1687344635</v>
      </c>
      <c r="B312" s="111">
        <v>16873.0</v>
      </c>
      <c r="C312" s="112">
        <v>0.4479166666666667</v>
      </c>
      <c r="D312" s="111" t="s">
        <v>5020</v>
      </c>
      <c r="E312" s="113">
        <v>25643.0</v>
      </c>
      <c r="F312" s="114">
        <v>44635.0</v>
      </c>
      <c r="G312" s="111" t="s">
        <v>6525</v>
      </c>
      <c r="H312" s="111" t="s">
        <v>6526</v>
      </c>
      <c r="I312" s="111" t="s">
        <v>6527</v>
      </c>
      <c r="J312" s="111" t="s">
        <v>6381</v>
      </c>
      <c r="K312" s="115"/>
      <c r="L312" s="115" t="s">
        <v>6522</v>
      </c>
      <c r="M312" s="115" t="b">
        <f>IFS($A312=FALSE,"", countif(VLOOKUP($B312,'MARCH 2022'!C:C,1,FALSE),$B312)&gt;=1,TRUE,countif(VLOOKUP($B312,'MARCH 2022'!C:C,1,FALSE),$B312)=0,FALSE)</f>
        <v>1</v>
      </c>
      <c r="N312" s="115" t="b">
        <f>IFS($A312=FALSE,"", countif(VLOOKUP($A312,'MARCH 2022'!A:A,1,FALSE),$A312)&gt;=1,TRUE,countif(VLOOKUP($A312,'MARCH 2022'!A:A,1,FALSE),$A312)=0,FALSE)</f>
        <v>1</v>
      </c>
      <c r="O312" s="111"/>
    </row>
    <row r="313" ht="15.75" customHeight="1">
      <c r="A313" s="110" t="str">
        <f t="shared" si="1"/>
        <v>1692344635</v>
      </c>
      <c r="B313" s="111">
        <v>16923.0</v>
      </c>
      <c r="C313" s="112">
        <v>0.4479166666666667</v>
      </c>
      <c r="D313" s="111" t="s">
        <v>5062</v>
      </c>
      <c r="E313" s="113">
        <v>26764.0</v>
      </c>
      <c r="F313" s="114">
        <v>44635.0</v>
      </c>
      <c r="G313" s="111" t="s">
        <v>6523</v>
      </c>
      <c r="H313" s="111" t="s">
        <v>6520</v>
      </c>
      <c r="I313" s="111" t="s">
        <v>6521</v>
      </c>
      <c r="J313" s="111" t="s">
        <v>6492</v>
      </c>
      <c r="K313" s="115"/>
      <c r="L313" s="115" t="s">
        <v>6522</v>
      </c>
      <c r="M313" s="115" t="b">
        <f>IFS($A313=FALSE,"", countif(VLOOKUP($B313,'MARCH 2022'!C:C,1,FALSE),$B313)&gt;=1,TRUE,countif(VLOOKUP($B313,'MARCH 2022'!C:C,1,FALSE),$B313)=0,FALSE)</f>
        <v>1</v>
      </c>
      <c r="N313" s="115" t="b">
        <f>IFS($A313=FALSE,"", countif(VLOOKUP($A313,'MARCH 2022'!A:A,1,FALSE),$A313)&gt;=1,TRUE,countif(VLOOKUP($A313,'MARCH 2022'!A:A,1,FALSE),$A313)=0,FALSE)</f>
        <v>1</v>
      </c>
      <c r="O313" s="111"/>
    </row>
    <row r="314" ht="15.75" customHeight="1">
      <c r="A314" s="110" t="str">
        <f t="shared" si="1"/>
        <v>1829744635</v>
      </c>
      <c r="B314" s="111">
        <v>18297.0</v>
      </c>
      <c r="C314" s="112">
        <v>0.5416666666666666</v>
      </c>
      <c r="D314" s="111" t="s">
        <v>6361</v>
      </c>
      <c r="E314" s="113">
        <v>15719.0</v>
      </c>
      <c r="F314" s="114">
        <v>44635.0</v>
      </c>
      <c r="G314" s="111" t="s">
        <v>6525</v>
      </c>
      <c r="H314" s="111" t="s">
        <v>6526</v>
      </c>
      <c r="I314" s="111" t="s">
        <v>6527</v>
      </c>
      <c r="J314" s="111" t="s">
        <v>6385</v>
      </c>
      <c r="K314" s="115"/>
      <c r="L314" s="115" t="s">
        <v>6522</v>
      </c>
      <c r="M314" s="115" t="b">
        <f>IFS($A314=FALSE,"", countif(VLOOKUP($B314,'MARCH 2022'!C:C,1,FALSE),$B314)&gt;=1,TRUE,countif(VLOOKUP($B314,'MARCH 2022'!C:C,1,FALSE),$B314)=0,FALSE)</f>
        <v>1</v>
      </c>
      <c r="N314" s="115" t="b">
        <f>IFS($A314=FALSE,"", countif(VLOOKUP($A314,'MARCH 2022'!A:A,1,FALSE),$A314)&gt;=1,TRUE,countif(VLOOKUP($A314,'MARCH 2022'!A:A,1,FALSE),$A314)=0,FALSE)</f>
        <v>1</v>
      </c>
      <c r="O314" s="111"/>
    </row>
    <row r="315" ht="15.75" customHeight="1">
      <c r="A315" s="110" t="str">
        <f t="shared" si="1"/>
        <v>1812244635</v>
      </c>
      <c r="B315" s="111">
        <v>18122.0</v>
      </c>
      <c r="C315" s="112">
        <v>0.5625</v>
      </c>
      <c r="D315" s="111" t="s">
        <v>6169</v>
      </c>
      <c r="E315" s="113">
        <v>26185.0</v>
      </c>
      <c r="F315" s="114">
        <v>44635.0</v>
      </c>
      <c r="G315" s="111" t="s">
        <v>6525</v>
      </c>
      <c r="H315" s="111" t="s">
        <v>6526</v>
      </c>
      <c r="I315" s="111" t="s">
        <v>6527</v>
      </c>
      <c r="J315" s="111" t="s">
        <v>6489</v>
      </c>
      <c r="K315" s="115"/>
      <c r="L315" s="115" t="s">
        <v>6522</v>
      </c>
      <c r="M315" s="115" t="b">
        <f>IFS($A315=FALSE,"", countif(VLOOKUP($B315,'MARCH 2022'!C:C,1,FALSE),$B315)&gt;=1,TRUE,countif(VLOOKUP($B315,'MARCH 2022'!C:C,1,FALSE),$B315)=0,FALSE)</f>
        <v>1</v>
      </c>
      <c r="N315" s="115" t="b">
        <f>IFS($A315=FALSE,"", countif(VLOOKUP($A315,'MARCH 2022'!A:A,1,FALSE),$A315)&gt;=1,TRUE,countif(VLOOKUP($A315,'MARCH 2022'!A:A,1,FALSE),$A315)=0,FALSE)</f>
        <v>1</v>
      </c>
      <c r="O315" s="111"/>
    </row>
    <row r="316" ht="15.75" customHeight="1">
      <c r="A316" s="110" t="str">
        <f t="shared" si="1"/>
        <v>1227444635</v>
      </c>
      <c r="B316" s="111">
        <v>12274.0</v>
      </c>
      <c r="C316" s="112">
        <v>0.5625</v>
      </c>
      <c r="D316" s="111" t="s">
        <v>1353</v>
      </c>
      <c r="E316" s="113">
        <v>27219.0</v>
      </c>
      <c r="F316" s="114">
        <v>44635.0</v>
      </c>
      <c r="G316" s="111" t="s">
        <v>6523</v>
      </c>
      <c r="H316" s="111" t="s">
        <v>6526</v>
      </c>
      <c r="I316" s="111" t="s">
        <v>6527</v>
      </c>
      <c r="J316" s="111" t="s">
        <v>6444</v>
      </c>
      <c r="K316" s="115"/>
      <c r="L316" s="115" t="s">
        <v>6522</v>
      </c>
      <c r="M316" s="115" t="b">
        <f>IFS($A316=FALSE,"", countif(VLOOKUP($B316,'MARCH 2022'!C:C,1,FALSE),$B316)&gt;=1,TRUE,countif(VLOOKUP($B316,'MARCH 2022'!C:C,1,FALSE),$B316)=0,FALSE)</f>
        <v>1</v>
      </c>
      <c r="N316" s="115" t="b">
        <f>IFS($A316=FALSE,"", countif(VLOOKUP($A316,'MARCH 2022'!A:A,1,FALSE),$A316)&gt;=1,TRUE,countif(VLOOKUP($A316,'MARCH 2022'!A:A,1,FALSE),$A316)=0,FALSE)</f>
        <v>1</v>
      </c>
      <c r="O316" s="111"/>
    </row>
    <row r="317" ht="15.75" customHeight="1">
      <c r="A317" s="110" t="str">
        <f t="shared" si="1"/>
        <v>977944635</v>
      </c>
      <c r="B317" s="111">
        <v>9779.0</v>
      </c>
      <c r="C317" s="112">
        <v>0.5625</v>
      </c>
      <c r="D317" s="111" t="s">
        <v>284</v>
      </c>
      <c r="E317" s="113">
        <v>22449.0</v>
      </c>
      <c r="F317" s="114">
        <v>44635.0</v>
      </c>
      <c r="G317" s="111" t="s">
        <v>6519</v>
      </c>
      <c r="H317" s="111" t="s">
        <v>6520</v>
      </c>
      <c r="I317" s="111" t="s">
        <v>6521</v>
      </c>
      <c r="J317" s="111" t="s">
        <v>6373</v>
      </c>
      <c r="K317" s="115"/>
      <c r="L317" s="115" t="s">
        <v>6522</v>
      </c>
      <c r="M317" s="115" t="b">
        <f>IFS($A317=FALSE,"", countif(VLOOKUP($B317,'MARCH 2022'!C:C,1,FALSE),$B317)&gt;=1,TRUE,countif(VLOOKUP($B317,'MARCH 2022'!C:C,1,FALSE),$B317)=0,FALSE)</f>
        <v>1</v>
      </c>
      <c r="N317" s="115" t="b">
        <f>IFS($A317=FALSE,"", countif(VLOOKUP($A317,'MARCH 2022'!A:A,1,FALSE),$A317)&gt;=1,TRUE,countif(VLOOKUP($A317,'MARCH 2022'!A:A,1,FALSE),$A317)=0,FALSE)</f>
        <v>1</v>
      </c>
      <c r="O317" s="111"/>
    </row>
    <row r="318" ht="15.75" customHeight="1">
      <c r="A318" s="110" t="str">
        <f t="shared" si="1"/>
        <v>1648844635</v>
      </c>
      <c r="B318" s="111">
        <v>16488.0</v>
      </c>
      <c r="C318" s="112">
        <v>0.5729166666666666</v>
      </c>
      <c r="D318" s="111" t="s">
        <v>4724</v>
      </c>
      <c r="E318" s="113">
        <v>22921.0</v>
      </c>
      <c r="F318" s="114">
        <v>44635.0</v>
      </c>
      <c r="G318" s="111" t="s">
        <v>6523</v>
      </c>
      <c r="H318" s="111" t="s">
        <v>6520</v>
      </c>
      <c r="I318" s="111" t="s">
        <v>6524</v>
      </c>
      <c r="J318" s="111" t="s">
        <v>6379</v>
      </c>
      <c r="K318" s="115"/>
      <c r="L318" s="115" t="s">
        <v>6522</v>
      </c>
      <c r="M318" s="115" t="b">
        <f>IFS($A318=FALSE,"", countif(VLOOKUP($B318,'MARCH 2022'!C:C,1,FALSE),$B318)&gt;=1,TRUE,countif(VLOOKUP($B318,'MARCH 2022'!C:C,1,FALSE),$B318)=0,FALSE)</f>
        <v>1</v>
      </c>
      <c r="N318" s="115" t="b">
        <f>IFS($A318=FALSE,"", countif(VLOOKUP($A318,'MARCH 2022'!A:A,1,FALSE),$A318)&gt;=1,TRUE,countif(VLOOKUP($A318,'MARCH 2022'!A:A,1,FALSE),$A318)=0,FALSE)</f>
        <v>1</v>
      </c>
      <c r="O318" s="111"/>
    </row>
    <row r="319" ht="15.75" customHeight="1">
      <c r="A319" s="110" t="str">
        <f t="shared" si="1"/>
        <v>1615644635</v>
      </c>
      <c r="B319" s="111">
        <v>16156.0</v>
      </c>
      <c r="C319" s="112">
        <v>0.5833333333333334</v>
      </c>
      <c r="D319" s="111" t="s">
        <v>4469</v>
      </c>
      <c r="E319" s="113">
        <v>29705.0</v>
      </c>
      <c r="F319" s="114">
        <v>44635.0</v>
      </c>
      <c r="G319" s="111" t="s">
        <v>6523</v>
      </c>
      <c r="H319" s="111" t="s">
        <v>6520</v>
      </c>
      <c r="I319" s="111" t="s">
        <v>6524</v>
      </c>
      <c r="J319" s="111" t="s">
        <v>6381</v>
      </c>
      <c r="K319" s="115"/>
      <c r="L319" s="115" t="s">
        <v>6522</v>
      </c>
      <c r="M319" s="115" t="b">
        <f>IFS($A319=FALSE,"", countif(VLOOKUP($B319,'MARCH 2022'!C:C,1,FALSE),$B319)&gt;=1,TRUE,countif(VLOOKUP($B319,'MARCH 2022'!C:C,1,FALSE),$B319)=0,FALSE)</f>
        <v>1</v>
      </c>
      <c r="N319" s="115" t="b">
        <f>IFS($A319=FALSE,"", countif(VLOOKUP($A319,'MARCH 2022'!A:A,1,FALSE),$A319)&gt;=1,TRUE,countif(VLOOKUP($A319,'MARCH 2022'!A:A,1,FALSE),$A319)=0,FALSE)</f>
        <v>1</v>
      </c>
      <c r="O319" s="111"/>
    </row>
    <row r="320" ht="15.75" customHeight="1">
      <c r="A320" s="110" t="str">
        <f t="shared" si="1"/>
        <v>1135744635</v>
      </c>
      <c r="B320" s="111">
        <v>11357.0</v>
      </c>
      <c r="C320" s="112">
        <v>0.5833333333333334</v>
      </c>
      <c r="D320" s="111" t="s">
        <v>916</v>
      </c>
      <c r="E320" s="113">
        <v>14592.0</v>
      </c>
      <c r="F320" s="114">
        <v>44635.0</v>
      </c>
      <c r="G320" s="111" t="s">
        <v>6519</v>
      </c>
      <c r="H320" s="111" t="s">
        <v>6520</v>
      </c>
      <c r="I320" s="111" t="s">
        <v>6521</v>
      </c>
      <c r="J320" s="111" t="s">
        <v>6427</v>
      </c>
      <c r="K320" s="115"/>
      <c r="L320" s="115" t="s">
        <v>6522</v>
      </c>
      <c r="M320" s="115" t="b">
        <f>IFS($A320=FALSE,"", countif(VLOOKUP($B320,'MARCH 2022'!C:C,1,FALSE),$B320)&gt;=1,TRUE,countif(VLOOKUP($B320,'MARCH 2022'!C:C,1,FALSE),$B320)=0,FALSE)</f>
        <v>1</v>
      </c>
      <c r="N320" s="115" t="b">
        <f>IFS($A320=FALSE,"", countif(VLOOKUP($A320,'MARCH 2022'!A:A,1,FALSE),$A320)&gt;=1,TRUE,countif(VLOOKUP($A320,'MARCH 2022'!A:A,1,FALSE),$A320)=0,FALSE)</f>
        <v>1</v>
      </c>
      <c r="O320" s="111"/>
    </row>
    <row r="321" ht="15.75" customHeight="1">
      <c r="A321" s="110" t="str">
        <f t="shared" si="1"/>
        <v>1623944635</v>
      </c>
      <c r="B321" s="111">
        <v>16239.0</v>
      </c>
      <c r="C321" s="112">
        <v>0.5833333333333334</v>
      </c>
      <c r="D321" s="111" t="s">
        <v>4536</v>
      </c>
      <c r="E321" s="113">
        <v>20907.0</v>
      </c>
      <c r="F321" s="114">
        <v>44635.0</v>
      </c>
      <c r="G321" s="111" t="s">
        <v>6523</v>
      </c>
      <c r="H321" s="111" t="s">
        <v>6520</v>
      </c>
      <c r="I321" s="111" t="s">
        <v>6521</v>
      </c>
      <c r="J321" s="111" t="s">
        <v>6477</v>
      </c>
      <c r="K321" s="115"/>
      <c r="L321" s="115" t="s">
        <v>6522</v>
      </c>
      <c r="M321" s="115" t="b">
        <f>IFS($A321=FALSE,"", countif(VLOOKUP($B321,'MARCH 2022'!C:C,1,FALSE),$B321)&gt;=1,TRUE,countif(VLOOKUP($B321,'MARCH 2022'!C:C,1,FALSE),$B321)=0,FALSE)</f>
        <v>1</v>
      </c>
      <c r="N321" s="115" t="b">
        <f>IFS($A321=FALSE,"", countif(VLOOKUP($A321,'MARCH 2022'!A:A,1,FALSE),$A321)&gt;=1,TRUE,countif(VLOOKUP($A321,'MARCH 2022'!A:A,1,FALSE),$A321)=0,FALSE)</f>
        <v>1</v>
      </c>
      <c r="O321" s="111"/>
    </row>
    <row r="322" ht="15.75" customHeight="1">
      <c r="A322" s="110" t="str">
        <f t="shared" si="1"/>
        <v>1794744635</v>
      </c>
      <c r="B322" s="111">
        <v>17947.0</v>
      </c>
      <c r="C322" s="112">
        <v>0.59375</v>
      </c>
      <c r="D322" s="111" t="s">
        <v>6163</v>
      </c>
      <c r="E322" s="113">
        <v>22055.0</v>
      </c>
      <c r="F322" s="114">
        <v>44635.0</v>
      </c>
      <c r="G322" s="111" t="s">
        <v>6525</v>
      </c>
      <c r="H322" s="111" t="s">
        <v>6526</v>
      </c>
      <c r="I322" s="111" t="s">
        <v>6527</v>
      </c>
      <c r="J322" s="111" t="s">
        <v>6393</v>
      </c>
      <c r="K322" s="115"/>
      <c r="L322" s="115" t="s">
        <v>6522</v>
      </c>
      <c r="M322" s="115" t="b">
        <f>IFS($A322=FALSE,"", countif(VLOOKUP($B322,'MARCH 2022'!C:C,1,FALSE),$B322)&gt;=1,TRUE,countif(VLOOKUP($B322,'MARCH 2022'!C:C,1,FALSE),$B322)=0,FALSE)</f>
        <v>1</v>
      </c>
      <c r="N322" s="115" t="b">
        <f>IFS($A322=FALSE,"", countif(VLOOKUP($A322,'MARCH 2022'!A:A,1,FALSE),$A322)&gt;=1,TRUE,countif(VLOOKUP($A322,'MARCH 2022'!A:A,1,FALSE),$A322)=0,FALSE)</f>
        <v>1</v>
      </c>
      <c r="O322" s="111"/>
    </row>
    <row r="323" ht="15.75" customHeight="1">
      <c r="A323" s="110" t="str">
        <f t="shared" si="1"/>
        <v>1832344635</v>
      </c>
      <c r="B323" s="111">
        <v>18323.0</v>
      </c>
      <c r="C323" s="112">
        <v>0.59375</v>
      </c>
      <c r="D323" s="111" t="s">
        <v>6364</v>
      </c>
      <c r="E323" s="113">
        <v>34576.0</v>
      </c>
      <c r="F323" s="114">
        <v>44635.0</v>
      </c>
      <c r="G323" s="111" t="s">
        <v>6525</v>
      </c>
      <c r="H323" s="111" t="s">
        <v>6526</v>
      </c>
      <c r="I323" s="111" t="s">
        <v>6527</v>
      </c>
      <c r="J323" s="111" t="s">
        <v>6492</v>
      </c>
      <c r="K323" s="115"/>
      <c r="L323" s="115" t="s">
        <v>6522</v>
      </c>
      <c r="M323" s="115" t="b">
        <f>IFS($A323=FALSE,"", countif(VLOOKUP($B323,'MARCH 2022'!C:C,1,FALSE),$B323)&gt;=1,TRUE,countif(VLOOKUP($B323,'MARCH 2022'!C:C,1,FALSE),$B323)=0,FALSE)</f>
        <v>1</v>
      </c>
      <c r="N323" s="115" t="b">
        <f>IFS($A323=FALSE,"", countif(VLOOKUP($A323,'MARCH 2022'!A:A,1,FALSE),$A323)&gt;=1,TRUE,countif(VLOOKUP($A323,'MARCH 2022'!A:A,1,FALSE),$A323)=0,FALSE)</f>
        <v>1</v>
      </c>
      <c r="O323" s="111"/>
    </row>
    <row r="324" ht="15.75" customHeight="1">
      <c r="A324" s="110" t="str">
        <f t="shared" si="1"/>
        <v>1840344635</v>
      </c>
      <c r="B324" s="111">
        <v>18403.0</v>
      </c>
      <c r="C324" s="112">
        <v>0.59375</v>
      </c>
      <c r="D324" s="111" t="s">
        <v>6365</v>
      </c>
      <c r="E324" s="113">
        <v>14229.0</v>
      </c>
      <c r="F324" s="114">
        <v>44635.0</v>
      </c>
      <c r="G324" s="111" t="s">
        <v>6525</v>
      </c>
      <c r="H324" s="111" t="s">
        <v>6526</v>
      </c>
      <c r="I324" s="111" t="s">
        <v>6527</v>
      </c>
      <c r="J324" s="111" t="s">
        <v>6427</v>
      </c>
      <c r="K324" s="115"/>
      <c r="L324" s="115" t="s">
        <v>6522</v>
      </c>
      <c r="M324" s="115" t="b">
        <f>IFS($A324=FALSE,"", countif(VLOOKUP($B324,'MARCH 2022'!C:C,1,FALSE),$B324)&gt;=1,TRUE,countif(VLOOKUP($B324,'MARCH 2022'!C:C,1,FALSE),$B324)=0,FALSE)</f>
        <v>1</v>
      </c>
      <c r="N324" s="115" t="b">
        <f>IFS($A324=FALSE,"", countif(VLOOKUP($A324,'MARCH 2022'!A:A,1,FALSE),$A324)&gt;=1,TRUE,countif(VLOOKUP($A324,'MARCH 2022'!A:A,1,FALSE),$A324)=0,FALSE)</f>
        <v>1</v>
      </c>
      <c r="O324" s="111"/>
    </row>
    <row r="325" ht="15.75" customHeight="1">
      <c r="A325" s="110" t="str">
        <f t="shared" si="1"/>
        <v>1156244635</v>
      </c>
      <c r="B325" s="111">
        <v>11562.0</v>
      </c>
      <c r="C325" s="112">
        <v>0.6041666666666666</v>
      </c>
      <c r="D325" s="111" t="s">
        <v>1005</v>
      </c>
      <c r="E325" s="113">
        <v>16827.0</v>
      </c>
      <c r="F325" s="114">
        <v>44635.0</v>
      </c>
      <c r="G325" s="111" t="s">
        <v>6523</v>
      </c>
      <c r="H325" s="111" t="s">
        <v>6520</v>
      </c>
      <c r="I325" s="111" t="s">
        <v>6524</v>
      </c>
      <c r="J325" s="111" t="s">
        <v>6489</v>
      </c>
      <c r="K325" s="115"/>
      <c r="L325" s="115" t="s">
        <v>6522</v>
      </c>
      <c r="M325" s="115" t="b">
        <f>IFS($A325=FALSE,"", countif(VLOOKUP($B325,'MARCH 2022'!C:C,1,FALSE),$B325)&gt;=1,TRUE,countif(VLOOKUP($B325,'MARCH 2022'!C:C,1,FALSE),$B325)=0,FALSE)</f>
        <v>1</v>
      </c>
      <c r="N325" s="115" t="b">
        <f>IFS($A325=FALSE,"", countif(VLOOKUP($A325,'MARCH 2022'!A:A,1,FALSE),$A325)&gt;=1,TRUE,countif(VLOOKUP($A325,'MARCH 2022'!A:A,1,FALSE),$A325)=0,FALSE)</f>
        <v>1</v>
      </c>
      <c r="O325" s="111"/>
    </row>
    <row r="326" ht="15.75" customHeight="1">
      <c r="A326" s="110" t="str">
        <f t="shared" si="1"/>
        <v>1632544635</v>
      </c>
      <c r="B326" s="111">
        <v>16325.0</v>
      </c>
      <c r="C326" s="112">
        <v>0.6041666666666666</v>
      </c>
      <c r="D326" s="111" t="s">
        <v>4599</v>
      </c>
      <c r="E326" s="113">
        <v>22374.0</v>
      </c>
      <c r="F326" s="114">
        <v>44635.0</v>
      </c>
      <c r="G326" s="111" t="s">
        <v>6523</v>
      </c>
      <c r="H326" s="111" t="s">
        <v>6520</v>
      </c>
      <c r="I326" s="111" t="s">
        <v>6521</v>
      </c>
      <c r="J326" s="111" t="s">
        <v>6381</v>
      </c>
      <c r="K326" s="115"/>
      <c r="L326" s="115" t="s">
        <v>6522</v>
      </c>
      <c r="M326" s="115" t="b">
        <f>IFS($A326=FALSE,"", countif(VLOOKUP($B326,'MARCH 2022'!C:C,1,FALSE),$B326)&gt;=1,TRUE,countif(VLOOKUP($B326,'MARCH 2022'!C:C,1,FALSE),$B326)=0,FALSE)</f>
        <v>1</v>
      </c>
      <c r="N326" s="115" t="b">
        <f>IFS($A326=FALSE,"", countif(VLOOKUP($A326,'MARCH 2022'!A:A,1,FALSE),$A326)&gt;=1,TRUE,countif(VLOOKUP($A326,'MARCH 2022'!A:A,1,FALSE),$A326)=0,FALSE)</f>
        <v>1</v>
      </c>
      <c r="O326" s="111"/>
    </row>
    <row r="327" ht="15.75" customHeight="1">
      <c r="A327" s="110" t="str">
        <f t="shared" si="1"/>
        <v>1831344635</v>
      </c>
      <c r="B327" s="111">
        <v>18313.0</v>
      </c>
      <c r="C327" s="112">
        <v>0.6145833333333334</v>
      </c>
      <c r="D327" s="111" t="s">
        <v>790</v>
      </c>
      <c r="E327" s="113">
        <v>25973.0</v>
      </c>
      <c r="F327" s="114">
        <v>44635.0</v>
      </c>
      <c r="G327" s="111" t="s">
        <v>6525</v>
      </c>
      <c r="H327" s="111" t="s">
        <v>6526</v>
      </c>
      <c r="I327" s="111" t="s">
        <v>6527</v>
      </c>
      <c r="J327" s="111" t="s">
        <v>6438</v>
      </c>
      <c r="K327" s="115"/>
      <c r="L327" s="115" t="s">
        <v>6522</v>
      </c>
      <c r="M327" s="115" t="b">
        <f>IFS($A327=FALSE,"", countif(VLOOKUP($B327,'MARCH 2022'!C:C,1,FALSE),$B327)&gt;=1,TRUE,countif(VLOOKUP($B327,'MARCH 2022'!C:C,1,FALSE),$B327)=0,FALSE)</f>
        <v>1</v>
      </c>
      <c r="N327" s="115" t="b">
        <f>IFS($A327=FALSE,"", countif(VLOOKUP($A327,'MARCH 2022'!A:A,1,FALSE),$A327)&gt;=1,TRUE,countif(VLOOKUP($A327,'MARCH 2022'!A:A,1,FALSE),$A327)=0,FALSE)</f>
        <v>1</v>
      </c>
      <c r="O327" s="111"/>
    </row>
    <row r="328" ht="15.75" customHeight="1">
      <c r="A328" s="110" t="str">
        <f t="shared" si="1"/>
        <v>1520744635</v>
      </c>
      <c r="B328" s="111">
        <v>15207.0</v>
      </c>
      <c r="C328" s="112">
        <v>0.6145833333333334</v>
      </c>
      <c r="D328" s="111" t="s">
        <v>3642</v>
      </c>
      <c r="E328" s="113">
        <v>20268.0</v>
      </c>
      <c r="F328" s="114">
        <v>44635.0</v>
      </c>
      <c r="G328" s="111" t="s">
        <v>6523</v>
      </c>
      <c r="H328" s="111" t="s">
        <v>6526</v>
      </c>
      <c r="I328" s="111" t="s">
        <v>6527</v>
      </c>
      <c r="J328" s="111" t="s">
        <v>6542</v>
      </c>
      <c r="K328" s="115"/>
      <c r="L328" s="115" t="s">
        <v>6522</v>
      </c>
      <c r="M328" s="115" t="b">
        <f>IFS($A328=FALSE,"", countif(VLOOKUP($B328,'MARCH 2022'!C:C,1,FALSE),$B328)&gt;=1,TRUE,countif(VLOOKUP($B328,'MARCH 2022'!C:C,1,FALSE),$B328)=0,FALSE)</f>
        <v>1</v>
      </c>
      <c r="N328" s="115" t="b">
        <f>IFS($A328=FALSE,"", countif(VLOOKUP($A328,'MARCH 2022'!A:A,1,FALSE),$A328)&gt;=1,TRUE,countif(VLOOKUP($A328,'MARCH 2022'!A:A,1,FALSE),$A328)=0,FALSE)</f>
        <v>1</v>
      </c>
      <c r="O328" s="111"/>
    </row>
    <row r="329" ht="15.75" customHeight="1">
      <c r="A329" s="110" t="str">
        <f t="shared" si="1"/>
        <v>1329344635</v>
      </c>
      <c r="B329" s="111">
        <v>13293.0</v>
      </c>
      <c r="C329" s="112">
        <v>0.625</v>
      </c>
      <c r="D329" s="111" t="s">
        <v>2120</v>
      </c>
      <c r="E329" s="113">
        <v>30806.0</v>
      </c>
      <c r="F329" s="114">
        <v>44635.0</v>
      </c>
      <c r="G329" s="111" t="s">
        <v>6519</v>
      </c>
      <c r="H329" s="111" t="s">
        <v>6520</v>
      </c>
      <c r="I329" s="111" t="s">
        <v>6524</v>
      </c>
      <c r="J329" s="111" t="s">
        <v>6407</v>
      </c>
      <c r="K329" s="115"/>
      <c r="L329" s="115" t="s">
        <v>6522</v>
      </c>
      <c r="M329" s="115" t="b">
        <f>IFS($A329=FALSE,"", countif(VLOOKUP($B329,'MARCH 2022'!C:C,1,FALSE),$B329)&gt;=1,TRUE,countif(VLOOKUP($B329,'MARCH 2022'!C:C,1,FALSE),$B329)=0,FALSE)</f>
        <v>1</v>
      </c>
      <c r="N329" s="115" t="b">
        <f>IFS($A329=FALSE,"", countif(VLOOKUP($A329,'MARCH 2022'!A:A,1,FALSE),$A329)&gt;=1,TRUE,countif(VLOOKUP($A329,'MARCH 2022'!A:A,1,FALSE),$A329)=0,FALSE)</f>
        <v>1</v>
      </c>
      <c r="O329" s="111"/>
    </row>
    <row r="330" ht="15.75" customHeight="1">
      <c r="A330" s="110" t="str">
        <f t="shared" si="1"/>
        <v>925944635</v>
      </c>
      <c r="B330" s="111">
        <v>9259.0</v>
      </c>
      <c r="C330" s="112">
        <v>0.625</v>
      </c>
      <c r="D330" s="111" t="s">
        <v>113</v>
      </c>
      <c r="E330" s="113">
        <v>23278.0</v>
      </c>
      <c r="F330" s="114">
        <v>44635.0</v>
      </c>
      <c r="G330" s="111" t="s">
        <v>6523</v>
      </c>
      <c r="H330" s="111" t="s">
        <v>6520</v>
      </c>
      <c r="I330" s="111" t="s">
        <v>6524</v>
      </c>
      <c r="J330" s="111" t="s">
        <v>6381</v>
      </c>
      <c r="K330" s="115"/>
      <c r="L330" s="115" t="s">
        <v>6522</v>
      </c>
      <c r="M330" s="115" t="b">
        <f>IFS($A330=FALSE,"", countif(VLOOKUP($B330,'MARCH 2022'!C:C,1,FALSE),$B330)&gt;=1,TRUE,countif(VLOOKUP($B330,'MARCH 2022'!C:C,1,FALSE),$B330)=0,FALSE)</f>
        <v>1</v>
      </c>
      <c r="N330" s="115" t="b">
        <f>IFS($A330=FALSE,"", countif(VLOOKUP($A330,'MARCH 2022'!A:A,1,FALSE),$A330)&gt;=1,TRUE,countif(VLOOKUP($A330,'MARCH 2022'!A:A,1,FALSE),$A330)=0,FALSE)</f>
        <v>1</v>
      </c>
      <c r="O330" s="111"/>
    </row>
    <row r="331" ht="15.75" customHeight="1">
      <c r="A331" s="110" t="str">
        <f t="shared" si="1"/>
        <v>1571644635</v>
      </c>
      <c r="B331" s="111">
        <v>15716.0</v>
      </c>
      <c r="C331" s="112">
        <v>0.625</v>
      </c>
      <c r="D331" s="111" t="s">
        <v>4081</v>
      </c>
      <c r="E331" s="113">
        <v>22638.0</v>
      </c>
      <c r="F331" s="114">
        <v>44635.0</v>
      </c>
      <c r="G331" s="111" t="s">
        <v>6519</v>
      </c>
      <c r="H331" s="111" t="s">
        <v>6520</v>
      </c>
      <c r="I331" s="111" t="s">
        <v>6521</v>
      </c>
      <c r="J331" s="111" t="s">
        <v>6489</v>
      </c>
      <c r="K331" s="115"/>
      <c r="L331" s="115" t="s">
        <v>6522</v>
      </c>
      <c r="M331" s="115" t="b">
        <f>IFS($A331=FALSE,"", countif(VLOOKUP($B331,'MARCH 2022'!C:C,1,FALSE),$B331)&gt;=1,TRUE,countif(VLOOKUP($B331,'MARCH 2022'!C:C,1,FALSE),$B331)=0,FALSE)</f>
        <v>1</v>
      </c>
      <c r="N331" s="115" t="b">
        <f>IFS($A331=FALSE,"", countif(VLOOKUP($A331,'MARCH 2022'!A:A,1,FALSE),$A331)&gt;=1,TRUE,countif(VLOOKUP($A331,'MARCH 2022'!A:A,1,FALSE),$A331)=0,FALSE)</f>
        <v>1</v>
      </c>
      <c r="O331" s="111"/>
    </row>
    <row r="332" ht="15.75" customHeight="1">
      <c r="A332" s="110" t="str">
        <f t="shared" si="1"/>
        <v>1069744635</v>
      </c>
      <c r="B332" s="111">
        <v>10697.0</v>
      </c>
      <c r="C332" s="112">
        <v>0.6458333333333334</v>
      </c>
      <c r="D332" s="111" t="s">
        <v>641</v>
      </c>
      <c r="E332" s="113">
        <v>27612.0</v>
      </c>
      <c r="F332" s="114">
        <v>44635.0</v>
      </c>
      <c r="G332" s="111" t="s">
        <v>6519</v>
      </c>
      <c r="H332" s="111" t="s">
        <v>6520</v>
      </c>
      <c r="I332" s="111" t="s">
        <v>6524</v>
      </c>
      <c r="J332" s="111" t="s">
        <v>6445</v>
      </c>
      <c r="K332" s="115"/>
      <c r="L332" s="115" t="s">
        <v>6522</v>
      </c>
      <c r="M332" s="115" t="b">
        <f>IFS($A332=FALSE,"", countif(VLOOKUP($B332,'MARCH 2022'!C:C,1,FALSE),$B332)&gt;=1,TRUE,countif(VLOOKUP($B332,'MARCH 2022'!C:C,1,FALSE),$B332)=0,FALSE)</f>
        <v>1</v>
      </c>
      <c r="N332" s="115" t="b">
        <f>IFS($A332=FALSE,"", countif(VLOOKUP($A332,'MARCH 2022'!A:A,1,FALSE),$A332)&gt;=1,TRUE,countif(VLOOKUP($A332,'MARCH 2022'!A:A,1,FALSE),$A332)=0,FALSE)</f>
        <v>1</v>
      </c>
      <c r="O332" s="111"/>
    </row>
    <row r="333" ht="15.75" customHeight="1">
      <c r="A333" s="110" t="str">
        <f t="shared" si="1"/>
        <v>1208344635</v>
      </c>
      <c r="B333" s="111">
        <v>12083.0</v>
      </c>
      <c r="C333" s="112">
        <v>0.6458333333333334</v>
      </c>
      <c r="D333" s="111" t="s">
        <v>1264</v>
      </c>
      <c r="E333" s="113">
        <v>22041.0</v>
      </c>
      <c r="F333" s="114">
        <v>44635.0</v>
      </c>
      <c r="G333" s="111" t="s">
        <v>6519</v>
      </c>
      <c r="H333" s="111" t="s">
        <v>6520</v>
      </c>
      <c r="I333" s="111" t="s">
        <v>6521</v>
      </c>
      <c r="J333" s="111" t="s">
        <v>6489</v>
      </c>
      <c r="K333" s="115"/>
      <c r="L333" s="115" t="s">
        <v>6522</v>
      </c>
      <c r="M333" s="115" t="b">
        <f>IFS($A333=FALSE,"", countif(VLOOKUP($B333,'MARCH 2022'!C:C,1,FALSE),$B333)&gt;=1,TRUE,countif(VLOOKUP($B333,'MARCH 2022'!C:C,1,FALSE),$B333)=0,FALSE)</f>
        <v>1</v>
      </c>
      <c r="N333" s="115" t="b">
        <f>IFS($A333=FALSE,"", countif(VLOOKUP($A333,'MARCH 2022'!A:A,1,FALSE),$A333)&gt;=1,TRUE,countif(VLOOKUP($A333,'MARCH 2022'!A:A,1,FALSE),$A333)=0,FALSE)</f>
        <v>1</v>
      </c>
      <c r="O333" s="111"/>
    </row>
    <row r="334" ht="15.75" customHeight="1">
      <c r="A334" s="110" t="str">
        <f t="shared" si="1"/>
        <v>930944635</v>
      </c>
      <c r="B334" s="111">
        <v>9309.0</v>
      </c>
      <c r="C334" s="112">
        <v>0.65625</v>
      </c>
      <c r="D334" s="111" t="s">
        <v>136</v>
      </c>
      <c r="E334" s="113">
        <v>16967.0</v>
      </c>
      <c r="F334" s="114">
        <v>44635.0</v>
      </c>
      <c r="G334" s="111" t="s">
        <v>6519</v>
      </c>
      <c r="H334" s="111" t="s">
        <v>6526</v>
      </c>
      <c r="I334" s="111" t="s">
        <v>6527</v>
      </c>
      <c r="J334" s="111" t="s">
        <v>6489</v>
      </c>
      <c r="K334" s="115"/>
      <c r="L334" s="115" t="s">
        <v>6522</v>
      </c>
      <c r="M334" s="115" t="b">
        <f>IFS($A334=FALSE,"", countif(VLOOKUP($B334,'MARCH 2022'!C:C,1,FALSE),$B334)&gt;=1,TRUE,countif(VLOOKUP($B334,'MARCH 2022'!C:C,1,FALSE),$B334)=0,FALSE)</f>
        <v>1</v>
      </c>
      <c r="N334" s="115" t="b">
        <f>IFS($A334=FALSE,"", countif(VLOOKUP($A334,'MARCH 2022'!A:A,1,FALSE),$A334)&gt;=1,TRUE,countif(VLOOKUP($A334,'MARCH 2022'!A:A,1,FALSE),$A334)=0,FALSE)</f>
        <v>1</v>
      </c>
      <c r="O334" s="111"/>
    </row>
    <row r="335" ht="15.75" customHeight="1">
      <c r="A335" s="110" t="str">
        <f t="shared" si="1"/>
        <v>1700244636</v>
      </c>
      <c r="B335" s="111">
        <v>17002.0</v>
      </c>
      <c r="C335" s="112">
        <v>0.3125</v>
      </c>
      <c r="D335" s="111" t="s">
        <v>5123</v>
      </c>
      <c r="E335" s="113">
        <v>16318.0</v>
      </c>
      <c r="F335" s="114">
        <v>44636.0</v>
      </c>
      <c r="G335" s="111" t="s">
        <v>6523</v>
      </c>
      <c r="H335" s="111" t="s">
        <v>6526</v>
      </c>
      <c r="I335" s="111" t="s">
        <v>6527</v>
      </c>
      <c r="J335" s="111" t="s">
        <v>6489</v>
      </c>
      <c r="K335" s="115"/>
      <c r="L335" s="115" t="s">
        <v>6522</v>
      </c>
      <c r="M335" s="115" t="b">
        <f>IFS($A335=FALSE,"", countif(VLOOKUP($B335,'MARCH 2022'!C:C,1,FALSE),$B335)&gt;=1,TRUE,countif(VLOOKUP($B335,'MARCH 2022'!C:C,1,FALSE),$B335)=0,FALSE)</f>
        <v>0</v>
      </c>
      <c r="N335" s="115" t="b">
        <f>IFS($A335=FALSE,"", countif(VLOOKUP($A335,'MARCH 2022'!A:A,1,FALSE),$A335)&gt;=1,TRUE,countif(VLOOKUP($A335,'MARCH 2022'!A:A,1,FALSE),$A335)=0,FALSE)</f>
        <v>0</v>
      </c>
      <c r="O335" s="111"/>
    </row>
    <row r="336" ht="15.75" customHeight="1">
      <c r="A336" s="110" t="str">
        <f t="shared" si="1"/>
        <v>927044636</v>
      </c>
      <c r="B336" s="111">
        <v>9270.0</v>
      </c>
      <c r="C336" s="112">
        <v>0.3333333333333333</v>
      </c>
      <c r="D336" s="111" t="s">
        <v>121</v>
      </c>
      <c r="E336" s="113">
        <v>17815.0</v>
      </c>
      <c r="F336" s="114">
        <v>44636.0</v>
      </c>
      <c r="G336" s="111" t="s">
        <v>6523</v>
      </c>
      <c r="H336" s="111" t="s">
        <v>6520</v>
      </c>
      <c r="I336" s="111" t="s">
        <v>6524</v>
      </c>
      <c r="J336" s="111" t="s">
        <v>6374</v>
      </c>
      <c r="K336" s="115"/>
      <c r="L336" s="115" t="s">
        <v>6522</v>
      </c>
      <c r="M336" s="115" t="b">
        <f>IFS($A336=FALSE,"", countif(VLOOKUP($B336,'MARCH 2022'!C:C,1,FALSE),$B336)&gt;=1,TRUE,countif(VLOOKUP($B336,'MARCH 2022'!C:C,1,FALSE),$B336)=0,FALSE)</f>
        <v>0</v>
      </c>
      <c r="N336" s="115" t="b">
        <f>IFS($A336=FALSE,"", countif(VLOOKUP($A336,'MARCH 2022'!A:A,1,FALSE),$A336)&gt;=1,TRUE,countif(VLOOKUP($A336,'MARCH 2022'!A:A,1,FALSE),$A336)=0,FALSE)</f>
        <v>0</v>
      </c>
      <c r="O336" s="111"/>
    </row>
    <row r="337" ht="15.75" customHeight="1">
      <c r="A337" s="110" t="str">
        <f t="shared" si="1"/>
        <v>1095944636</v>
      </c>
      <c r="B337" s="111">
        <v>10959.0</v>
      </c>
      <c r="C337" s="112">
        <v>0.3333333333333333</v>
      </c>
      <c r="D337" s="111" t="s">
        <v>743</v>
      </c>
      <c r="E337" s="113">
        <v>20829.0</v>
      </c>
      <c r="F337" s="114">
        <v>44636.0</v>
      </c>
      <c r="G337" s="111" t="s">
        <v>6519</v>
      </c>
      <c r="H337" s="111" t="s">
        <v>6520</v>
      </c>
      <c r="I337" s="111" t="s">
        <v>6521</v>
      </c>
      <c r="J337" s="111" t="s">
        <v>6375</v>
      </c>
      <c r="K337" s="115"/>
      <c r="L337" s="115" t="s">
        <v>6522</v>
      </c>
      <c r="M337" s="115" t="b">
        <f>IFS($A337=FALSE,"", countif(VLOOKUP($B337,'MARCH 2022'!C:C,1,FALSE),$B337)&gt;=1,TRUE,countif(VLOOKUP($B337,'MARCH 2022'!C:C,1,FALSE),$B337)=0,FALSE)</f>
        <v>0</v>
      </c>
      <c r="N337" s="115" t="b">
        <f>IFS($A337=FALSE,"", countif(VLOOKUP($A337,'MARCH 2022'!A:A,1,FALSE),$A337)&gt;=1,TRUE,countif(VLOOKUP($A337,'MARCH 2022'!A:A,1,FALSE),$A337)=0,FALSE)</f>
        <v>0</v>
      </c>
      <c r="O337" s="111"/>
    </row>
    <row r="338" ht="15.75" customHeight="1">
      <c r="A338" s="110" t="str">
        <f t="shared" si="1"/>
        <v>1426244636</v>
      </c>
      <c r="B338" s="111">
        <v>14262.0</v>
      </c>
      <c r="C338" s="112">
        <v>0.34375</v>
      </c>
      <c r="D338" s="111" t="s">
        <v>2861</v>
      </c>
      <c r="E338" s="113">
        <v>31118.0</v>
      </c>
      <c r="F338" s="114">
        <v>44636.0</v>
      </c>
      <c r="G338" s="111" t="s">
        <v>6519</v>
      </c>
      <c r="H338" s="111" t="s">
        <v>6526</v>
      </c>
      <c r="I338" s="111" t="s">
        <v>6529</v>
      </c>
      <c r="J338" s="111" t="s">
        <v>6427</v>
      </c>
      <c r="K338" s="115"/>
      <c r="L338" s="115" t="s">
        <v>6522</v>
      </c>
      <c r="M338" s="115" t="b">
        <f>IFS($A338=FALSE,"", countif(VLOOKUP($B338,'MARCH 2022'!C:C,1,FALSE),$B338)&gt;=1,TRUE,countif(VLOOKUP($B338,'MARCH 2022'!C:C,1,FALSE),$B338)=0,FALSE)</f>
        <v>0</v>
      </c>
      <c r="N338" s="115" t="b">
        <f>IFS($A338=FALSE,"", countif(VLOOKUP($A338,'MARCH 2022'!A:A,1,FALSE),$A338)&gt;=1,TRUE,countif(VLOOKUP($A338,'MARCH 2022'!A:A,1,FALSE),$A338)=0,FALSE)</f>
        <v>0</v>
      </c>
      <c r="O338" s="111"/>
    </row>
    <row r="339" ht="15.75" customHeight="1">
      <c r="A339" s="110" t="str">
        <f t="shared" si="1"/>
        <v>1286944636</v>
      </c>
      <c r="B339" s="111">
        <v>12869.0</v>
      </c>
      <c r="C339" s="112">
        <v>0.34375</v>
      </c>
      <c r="D339" s="111" t="s">
        <v>1777</v>
      </c>
      <c r="E339" s="113">
        <v>25511.0</v>
      </c>
      <c r="F339" s="114">
        <v>44636.0</v>
      </c>
      <c r="G339" s="111" t="s">
        <v>6523</v>
      </c>
      <c r="H339" s="111" t="s">
        <v>6520</v>
      </c>
      <c r="I339" s="111" t="s">
        <v>6521</v>
      </c>
      <c r="J339" s="111" t="s">
        <v>6384</v>
      </c>
      <c r="K339" s="115"/>
      <c r="L339" s="115" t="s">
        <v>6522</v>
      </c>
      <c r="M339" s="115" t="b">
        <f>IFS($A339=FALSE,"", countif(VLOOKUP($B339,'MARCH 2022'!C:C,1,FALSE),$B339)&gt;=1,TRUE,countif(VLOOKUP($B339,'MARCH 2022'!C:C,1,FALSE),$B339)=0,FALSE)</f>
        <v>0</v>
      </c>
      <c r="N339" s="115" t="b">
        <f>IFS($A339=FALSE,"", countif(VLOOKUP($A339,'MARCH 2022'!A:A,1,FALSE),$A339)&gt;=1,TRUE,countif(VLOOKUP($A339,'MARCH 2022'!A:A,1,FALSE),$A339)=0,FALSE)</f>
        <v>0</v>
      </c>
      <c r="O339" s="111"/>
    </row>
    <row r="340" ht="15.75" customHeight="1">
      <c r="A340" s="110" t="str">
        <f t="shared" si="1"/>
        <v>1834644636</v>
      </c>
      <c r="B340" s="111">
        <v>18346.0</v>
      </c>
      <c r="C340" s="112">
        <v>0.3645833333333333</v>
      </c>
      <c r="D340" s="111" t="s">
        <v>1096</v>
      </c>
      <c r="E340" s="113">
        <v>27930.0</v>
      </c>
      <c r="F340" s="114">
        <v>44636.0</v>
      </c>
      <c r="G340" s="111" t="s">
        <v>6525</v>
      </c>
      <c r="H340" s="111" t="s">
        <v>6526</v>
      </c>
      <c r="I340" s="111" t="s">
        <v>6529</v>
      </c>
      <c r="J340" s="111" t="s">
        <v>6407</v>
      </c>
      <c r="K340" s="115"/>
      <c r="L340" s="115" t="s">
        <v>6522</v>
      </c>
      <c r="M340" s="115" t="b">
        <f>IFS($A340=FALSE,"", countif(VLOOKUP($B340,'MARCH 2022'!C:C,1,FALSE),$B340)&gt;=1,TRUE,countif(VLOOKUP($B340,'MARCH 2022'!C:C,1,FALSE),$B340)=0,FALSE)</f>
        <v>0</v>
      </c>
      <c r="N340" s="115" t="b">
        <f>IFS($A340=FALSE,"", countif(VLOOKUP($A340,'MARCH 2022'!A:A,1,FALSE),$A340)&gt;=1,TRUE,countif(VLOOKUP($A340,'MARCH 2022'!A:A,1,FALSE),$A340)=0,FALSE)</f>
        <v>0</v>
      </c>
      <c r="O340" s="111"/>
    </row>
    <row r="341" ht="15.75" customHeight="1">
      <c r="A341" s="110" t="str">
        <f t="shared" si="1"/>
        <v>1568044636</v>
      </c>
      <c r="B341" s="111">
        <v>15680.0</v>
      </c>
      <c r="C341" s="112">
        <v>0.3645833333333333</v>
      </c>
      <c r="D341" s="111" t="s">
        <v>4048</v>
      </c>
      <c r="E341" s="113">
        <v>26249.0</v>
      </c>
      <c r="F341" s="114">
        <v>44636.0</v>
      </c>
      <c r="G341" s="111" t="s">
        <v>6519</v>
      </c>
      <c r="H341" s="111" t="s">
        <v>6520</v>
      </c>
      <c r="I341" s="111" t="s">
        <v>6524</v>
      </c>
      <c r="J341" s="111" t="s">
        <v>6444</v>
      </c>
      <c r="K341" s="115"/>
      <c r="L341" s="115" t="s">
        <v>6522</v>
      </c>
      <c r="M341" s="115" t="b">
        <f>IFS($A341=FALSE,"", countif(VLOOKUP($B341,'MARCH 2022'!C:C,1,FALSE),$B341)&gt;=1,TRUE,countif(VLOOKUP($B341,'MARCH 2022'!C:C,1,FALSE),$B341)=0,FALSE)</f>
        <v>0</v>
      </c>
      <c r="N341" s="115" t="b">
        <f>IFS($A341=FALSE,"", countif(VLOOKUP($A341,'MARCH 2022'!A:A,1,FALSE),$A341)&gt;=1,TRUE,countif(VLOOKUP($A341,'MARCH 2022'!A:A,1,FALSE),$A341)=0,FALSE)</f>
        <v>0</v>
      </c>
      <c r="O341" s="111"/>
    </row>
    <row r="342" ht="15.75" customHeight="1">
      <c r="A342" s="110" t="str">
        <f t="shared" si="1"/>
        <v>1710744636</v>
      </c>
      <c r="B342" s="111">
        <v>17107.0</v>
      </c>
      <c r="C342" s="112">
        <v>0.375</v>
      </c>
      <c r="D342" s="111" t="s">
        <v>5208</v>
      </c>
      <c r="E342" s="113">
        <v>33141.0</v>
      </c>
      <c r="F342" s="114">
        <v>44636.0</v>
      </c>
      <c r="G342" s="111" t="s">
        <v>6523</v>
      </c>
      <c r="H342" s="111" t="s">
        <v>6520</v>
      </c>
      <c r="I342" s="111" t="s">
        <v>6524</v>
      </c>
      <c r="J342" s="111" t="s">
        <v>6438</v>
      </c>
      <c r="K342" s="115"/>
      <c r="L342" s="115" t="s">
        <v>6522</v>
      </c>
      <c r="M342" s="115" t="b">
        <f>IFS($A342=FALSE,"", countif(VLOOKUP($B342,'MARCH 2022'!C:C,1,FALSE),$B342)&gt;=1,TRUE,countif(VLOOKUP($B342,'MARCH 2022'!C:C,1,FALSE),$B342)=0,FALSE)</f>
        <v>0</v>
      </c>
      <c r="N342" s="115" t="b">
        <f>IFS($A342=FALSE,"", countif(VLOOKUP($A342,'MARCH 2022'!A:A,1,FALSE),$A342)&gt;=1,TRUE,countif(VLOOKUP($A342,'MARCH 2022'!A:A,1,FALSE),$A342)=0,FALSE)</f>
        <v>0</v>
      </c>
      <c r="O342" s="111"/>
    </row>
    <row r="343" ht="15.75" customHeight="1">
      <c r="A343" s="110" t="str">
        <f t="shared" si="1"/>
        <v>1681044636</v>
      </c>
      <c r="B343" s="111">
        <v>16810.0</v>
      </c>
      <c r="C343" s="112">
        <v>0.3958333333333333</v>
      </c>
      <c r="D343" s="111" t="s">
        <v>4977</v>
      </c>
      <c r="E343" s="113">
        <v>27556.0</v>
      </c>
      <c r="F343" s="114">
        <v>44636.0</v>
      </c>
      <c r="G343" s="111" t="s">
        <v>6523</v>
      </c>
      <c r="H343" s="111" t="s">
        <v>6520</v>
      </c>
      <c r="I343" s="111" t="s">
        <v>6521</v>
      </c>
      <c r="J343" s="111" t="s">
        <v>6374</v>
      </c>
      <c r="K343" s="115"/>
      <c r="L343" s="115" t="s">
        <v>6522</v>
      </c>
      <c r="M343" s="115" t="b">
        <f>IFS($A343=FALSE,"", countif(VLOOKUP($B343,'MARCH 2022'!C:C,1,FALSE),$B343)&gt;=1,TRUE,countif(VLOOKUP($B343,'MARCH 2022'!C:C,1,FALSE),$B343)=0,FALSE)</f>
        <v>0</v>
      </c>
      <c r="N343" s="115" t="b">
        <f>IFS($A343=FALSE,"", countif(VLOOKUP($A343,'MARCH 2022'!A:A,1,FALSE),$A343)&gt;=1,TRUE,countif(VLOOKUP($A343,'MARCH 2022'!A:A,1,FALSE),$A343)=0,FALSE)</f>
        <v>0</v>
      </c>
      <c r="O343" s="111"/>
    </row>
    <row r="344" ht="15.75" customHeight="1">
      <c r="A344" s="110" t="str">
        <f t="shared" si="1"/>
        <v>1680844636</v>
      </c>
      <c r="B344" s="111">
        <v>16808.0</v>
      </c>
      <c r="C344" s="112">
        <v>0.4270833333333333</v>
      </c>
      <c r="D344" s="111" t="s">
        <v>4975</v>
      </c>
      <c r="E344" s="113">
        <v>23943.0</v>
      </c>
      <c r="F344" s="114">
        <v>44636.0</v>
      </c>
      <c r="G344" s="111" t="s">
        <v>6523</v>
      </c>
      <c r="H344" s="111" t="s">
        <v>6520</v>
      </c>
      <c r="I344" s="111" t="s">
        <v>6521</v>
      </c>
      <c r="J344" s="111" t="s">
        <v>6489</v>
      </c>
      <c r="K344" s="115"/>
      <c r="L344" s="115" t="s">
        <v>6522</v>
      </c>
      <c r="M344" s="115" t="b">
        <f>IFS($A344=FALSE,"", countif(VLOOKUP($B344,'MARCH 2022'!C:C,1,FALSE),$B344)&gt;=1,TRUE,countif(VLOOKUP($B344,'MARCH 2022'!C:C,1,FALSE),$B344)=0,FALSE)</f>
        <v>0</v>
      </c>
      <c r="N344" s="115" t="b">
        <f>IFS($A344=FALSE,"", countif(VLOOKUP($A344,'MARCH 2022'!A:A,1,FALSE),$A344)&gt;=1,TRUE,countif(VLOOKUP($A344,'MARCH 2022'!A:A,1,FALSE),$A344)=0,FALSE)</f>
        <v>0</v>
      </c>
      <c r="O344" s="111"/>
    </row>
    <row r="345" ht="15.75" customHeight="1">
      <c r="A345" s="110" t="str">
        <f t="shared" si="1"/>
        <v>1775344636</v>
      </c>
      <c r="B345" s="111">
        <v>17753.0</v>
      </c>
      <c r="C345" s="112">
        <v>0.4375</v>
      </c>
      <c r="D345" s="111" t="s">
        <v>5883</v>
      </c>
      <c r="E345" s="113">
        <v>35291.0</v>
      </c>
      <c r="F345" s="114">
        <v>44636.0</v>
      </c>
      <c r="G345" s="111" t="s">
        <v>6523</v>
      </c>
      <c r="H345" s="111" t="s">
        <v>6520</v>
      </c>
      <c r="I345" s="111" t="s">
        <v>6521</v>
      </c>
      <c r="J345" s="111" t="s">
        <v>6407</v>
      </c>
      <c r="K345" s="115"/>
      <c r="L345" s="115" t="s">
        <v>6522</v>
      </c>
      <c r="M345" s="115" t="b">
        <f>IFS($A345=FALSE,"", countif(VLOOKUP($B345,'MARCH 2022'!C:C,1,FALSE),$B345)&gt;=1,TRUE,countif(VLOOKUP($B345,'MARCH 2022'!C:C,1,FALSE),$B345)=0,FALSE)</f>
        <v>0</v>
      </c>
      <c r="N345" s="115" t="b">
        <f>IFS($A345=FALSE,"", countif(VLOOKUP($A345,'MARCH 2022'!A:A,1,FALSE),$A345)&gt;=1,TRUE,countif(VLOOKUP($A345,'MARCH 2022'!A:A,1,FALSE),$A345)=0,FALSE)</f>
        <v>0</v>
      </c>
      <c r="O345" s="111"/>
    </row>
    <row r="346" ht="15.75" customHeight="1">
      <c r="A346" s="110" t="str">
        <f t="shared" si="1"/>
        <v>1468344636</v>
      </c>
      <c r="B346" s="111">
        <v>14683.0</v>
      </c>
      <c r="C346" s="112">
        <v>0.4583333333333333</v>
      </c>
      <c r="D346" s="111" t="s">
        <v>3207</v>
      </c>
      <c r="E346" s="113">
        <v>18722.0</v>
      </c>
      <c r="F346" s="114">
        <v>44636.0</v>
      </c>
      <c r="G346" s="111" t="s">
        <v>6519</v>
      </c>
      <c r="H346" s="111" t="s">
        <v>6520</v>
      </c>
      <c r="I346" s="111" t="s">
        <v>6524</v>
      </c>
      <c r="J346" s="111" t="s">
        <v>6489</v>
      </c>
      <c r="K346" s="115"/>
      <c r="L346" s="115" t="s">
        <v>6522</v>
      </c>
      <c r="M346" s="115" t="b">
        <f>IFS($A346=FALSE,"", countif(VLOOKUP($B346,'MARCH 2022'!C:C,1,FALSE),$B346)&gt;=1,TRUE,countif(VLOOKUP($B346,'MARCH 2022'!C:C,1,FALSE),$B346)=0,FALSE)</f>
        <v>0</v>
      </c>
      <c r="N346" s="115" t="b">
        <f>IFS($A346=FALSE,"", countif(VLOOKUP($A346,'MARCH 2022'!A:A,1,FALSE),$A346)&gt;=1,TRUE,countif(VLOOKUP($A346,'MARCH 2022'!A:A,1,FALSE),$A346)=0,FALSE)</f>
        <v>0</v>
      </c>
      <c r="O346" s="111"/>
    </row>
    <row r="347" ht="15.75" customHeight="1">
      <c r="A347" s="110" t="str">
        <f t="shared" si="1"/>
        <v>1707144636</v>
      </c>
      <c r="B347" s="111">
        <v>17071.0</v>
      </c>
      <c r="C347" s="112">
        <v>0.46875</v>
      </c>
      <c r="D347" s="111" t="s">
        <v>5178</v>
      </c>
      <c r="E347" s="113">
        <v>20042.0</v>
      </c>
      <c r="F347" s="114">
        <v>44636.0</v>
      </c>
      <c r="G347" s="111" t="s">
        <v>6523</v>
      </c>
      <c r="H347" s="111" t="s">
        <v>6526</v>
      </c>
      <c r="I347" s="111" t="s">
        <v>6527</v>
      </c>
      <c r="J347" s="111" t="s">
        <v>6489</v>
      </c>
      <c r="K347" s="115"/>
      <c r="L347" s="115" t="s">
        <v>6522</v>
      </c>
      <c r="M347" s="115" t="b">
        <f>IFS($A347=FALSE,"", countif(VLOOKUP($B347,'MARCH 2022'!C:C,1,FALSE),$B347)&gt;=1,TRUE,countif(VLOOKUP($B347,'MARCH 2022'!C:C,1,FALSE),$B347)=0,FALSE)</f>
        <v>0</v>
      </c>
      <c r="N347" s="115" t="b">
        <f>IFS($A347=FALSE,"", countif(VLOOKUP($A347,'MARCH 2022'!A:A,1,FALSE),$A347)&gt;=1,TRUE,countif(VLOOKUP($A347,'MARCH 2022'!A:A,1,FALSE),$A347)=0,FALSE)</f>
        <v>0</v>
      </c>
      <c r="O347" s="111"/>
    </row>
    <row r="348" ht="15.75" customHeight="1">
      <c r="A348" s="110" t="str">
        <f t="shared" si="1"/>
        <v>1831544636</v>
      </c>
      <c r="B348" s="111">
        <v>18315.0</v>
      </c>
      <c r="C348" s="112">
        <v>0.5416666666666666</v>
      </c>
      <c r="D348" s="111" t="s">
        <v>6543</v>
      </c>
      <c r="E348" s="113">
        <v>30332.0</v>
      </c>
      <c r="F348" s="114">
        <v>44636.0</v>
      </c>
      <c r="G348" s="111" t="s">
        <v>6525</v>
      </c>
      <c r="H348" s="111" t="s">
        <v>6526</v>
      </c>
      <c r="I348" s="111" t="s">
        <v>6529</v>
      </c>
      <c r="J348" s="111" t="s">
        <v>6391</v>
      </c>
      <c r="K348" s="115"/>
      <c r="L348" s="115" t="s">
        <v>6522</v>
      </c>
      <c r="M348" s="115" t="b">
        <f>IFS($A348=FALSE,"", countif(VLOOKUP($B348,'MARCH 2022'!C:C,1,FALSE),$B348)&gt;=1,TRUE,countif(VLOOKUP($B348,'MARCH 2022'!C:C,1,FALSE),$B348)=0,FALSE)</f>
        <v>0</v>
      </c>
      <c r="N348" s="115" t="b">
        <f>IFS($A348=FALSE,"", countif(VLOOKUP($A348,'MARCH 2022'!A:A,1,FALSE),$A348)&gt;=1,TRUE,countif(VLOOKUP($A348,'MARCH 2022'!A:A,1,FALSE),$A348)=0,FALSE)</f>
        <v>0</v>
      </c>
      <c r="O348" s="111"/>
    </row>
    <row r="349" ht="15.75" customHeight="1">
      <c r="A349" s="110" t="str">
        <f t="shared" si="1"/>
        <v>1630744636</v>
      </c>
      <c r="B349" s="111">
        <v>16307.0</v>
      </c>
      <c r="C349" s="112">
        <v>0.5416666666666666</v>
      </c>
      <c r="D349" s="111" t="s">
        <v>4584</v>
      </c>
      <c r="E349" s="113">
        <v>33237.0</v>
      </c>
      <c r="F349" s="114">
        <v>44636.0</v>
      </c>
      <c r="G349" s="111" t="s">
        <v>6523</v>
      </c>
      <c r="H349" s="111" t="s">
        <v>6520</v>
      </c>
      <c r="I349" s="111" t="s">
        <v>6524</v>
      </c>
      <c r="J349" s="111" t="s">
        <v>6444</v>
      </c>
      <c r="K349" s="115"/>
      <c r="L349" s="115" t="s">
        <v>6522</v>
      </c>
      <c r="M349" s="115" t="b">
        <f>IFS($A349=FALSE,"", countif(VLOOKUP($B349,'MARCH 2022'!C:C,1,FALSE),$B349)&gt;=1,TRUE,countif(VLOOKUP($B349,'MARCH 2022'!C:C,1,FALSE),$B349)=0,FALSE)</f>
        <v>0</v>
      </c>
      <c r="N349" s="115" t="b">
        <f>IFS($A349=FALSE,"", countif(VLOOKUP($A349,'MARCH 2022'!A:A,1,FALSE),$A349)&gt;=1,TRUE,countif(VLOOKUP($A349,'MARCH 2022'!A:A,1,FALSE),$A349)=0,FALSE)</f>
        <v>0</v>
      </c>
      <c r="O349" s="111"/>
    </row>
    <row r="350" ht="15.75" customHeight="1">
      <c r="A350" s="110" t="str">
        <f t="shared" si="1"/>
        <v>1832144636</v>
      </c>
      <c r="B350" s="111">
        <v>18321.0</v>
      </c>
      <c r="C350" s="112">
        <v>0.5520833333333334</v>
      </c>
      <c r="D350" s="111" t="s">
        <v>6544</v>
      </c>
      <c r="E350" s="113">
        <v>22583.0</v>
      </c>
      <c r="F350" s="114">
        <v>44636.0</v>
      </c>
      <c r="G350" s="111" t="s">
        <v>6525</v>
      </c>
      <c r="H350" s="111" t="s">
        <v>6526</v>
      </c>
      <c r="I350" s="111" t="s">
        <v>6527</v>
      </c>
      <c r="J350" s="111" t="s">
        <v>6420</v>
      </c>
      <c r="K350" s="115"/>
      <c r="L350" s="115" t="s">
        <v>6522</v>
      </c>
      <c r="M350" s="115" t="b">
        <f>IFS($A350=FALSE,"", countif(VLOOKUP($B350,'MARCH 2022'!C:C,1,FALSE),$B350)&gt;=1,TRUE,countif(VLOOKUP($B350,'MARCH 2022'!C:C,1,FALSE),$B350)=0,FALSE)</f>
        <v>0</v>
      </c>
      <c r="N350" s="115" t="b">
        <f>IFS($A350=FALSE,"", countif(VLOOKUP($A350,'MARCH 2022'!A:A,1,FALSE),$A350)&gt;=1,TRUE,countif(VLOOKUP($A350,'MARCH 2022'!A:A,1,FALSE),$A350)=0,FALSE)</f>
        <v>0</v>
      </c>
      <c r="O350" s="111"/>
    </row>
    <row r="351" ht="15.75" customHeight="1">
      <c r="A351" s="110" t="str">
        <f t="shared" si="1"/>
        <v>1836544636</v>
      </c>
      <c r="B351" s="111">
        <v>18365.0</v>
      </c>
      <c r="C351" s="112">
        <v>0.5520833333333334</v>
      </c>
      <c r="D351" s="111" t="s">
        <v>6545</v>
      </c>
      <c r="E351" s="113">
        <v>14566.0</v>
      </c>
      <c r="F351" s="114">
        <v>44636.0</v>
      </c>
      <c r="G351" s="111" t="s">
        <v>6525</v>
      </c>
      <c r="H351" s="111" t="s">
        <v>6526</v>
      </c>
      <c r="I351" s="111" t="s">
        <v>6527</v>
      </c>
      <c r="J351" s="111" t="s">
        <v>6451</v>
      </c>
      <c r="K351" s="115"/>
      <c r="L351" s="115" t="s">
        <v>6522</v>
      </c>
      <c r="M351" s="115" t="b">
        <f>IFS($A351=FALSE,"", countif(VLOOKUP($B351,'MARCH 2022'!C:C,1,FALSE),$B351)&gt;=1,TRUE,countif(VLOOKUP($B351,'MARCH 2022'!C:C,1,FALSE),$B351)=0,FALSE)</f>
        <v>0</v>
      </c>
      <c r="N351" s="115" t="b">
        <f>IFS($A351=FALSE,"", countif(VLOOKUP($A351,'MARCH 2022'!A:A,1,FALSE),$A351)&gt;=1,TRUE,countif(VLOOKUP($A351,'MARCH 2022'!A:A,1,FALSE),$A351)=0,FALSE)</f>
        <v>0</v>
      </c>
      <c r="O351" s="111"/>
    </row>
    <row r="352" ht="15.75" customHeight="1">
      <c r="A352" s="110" t="str">
        <f t="shared" si="1"/>
        <v>1807944636</v>
      </c>
      <c r="B352" s="111">
        <v>18079.0</v>
      </c>
      <c r="C352" s="112">
        <v>0.5520833333333334</v>
      </c>
      <c r="D352" s="111" t="s">
        <v>6546</v>
      </c>
      <c r="E352" s="113">
        <v>21537.0</v>
      </c>
      <c r="F352" s="114">
        <v>44636.0</v>
      </c>
      <c r="G352" s="111" t="s">
        <v>6525</v>
      </c>
      <c r="H352" s="111" t="s">
        <v>6526</v>
      </c>
      <c r="I352" s="111" t="s">
        <v>6527</v>
      </c>
      <c r="J352" s="111" t="s">
        <v>6437</v>
      </c>
      <c r="K352" s="115"/>
      <c r="L352" s="115" t="s">
        <v>6522</v>
      </c>
      <c r="M352" s="115" t="b">
        <f>IFS($A352=FALSE,"", countif(VLOOKUP($B352,'MARCH 2022'!C:C,1,FALSE),$B352)&gt;=1,TRUE,countif(VLOOKUP($B352,'MARCH 2022'!C:C,1,FALSE),$B352)=0,FALSE)</f>
        <v>0</v>
      </c>
      <c r="N352" s="115" t="b">
        <f>IFS($A352=FALSE,"", countif(VLOOKUP($A352,'MARCH 2022'!A:A,1,FALSE),$A352)&gt;=1,TRUE,countif(VLOOKUP($A352,'MARCH 2022'!A:A,1,FALSE),$A352)=0,FALSE)</f>
        <v>0</v>
      </c>
      <c r="O352" s="111"/>
    </row>
    <row r="353" ht="15.75" customHeight="1">
      <c r="A353" s="110" t="str">
        <f t="shared" si="1"/>
        <v>970744636</v>
      </c>
      <c r="B353" s="111">
        <v>9707.0</v>
      </c>
      <c r="C353" s="112">
        <v>0.5625</v>
      </c>
      <c r="D353" s="111" t="s">
        <v>263</v>
      </c>
      <c r="E353" s="113">
        <v>29373.0</v>
      </c>
      <c r="F353" s="114">
        <v>44636.0</v>
      </c>
      <c r="G353" s="111" t="s">
        <v>6523</v>
      </c>
      <c r="H353" s="111" t="s">
        <v>6526</v>
      </c>
      <c r="I353" s="111" t="s">
        <v>6527</v>
      </c>
      <c r="J353" s="111" t="s">
        <v>6379</v>
      </c>
      <c r="K353" s="115"/>
      <c r="L353" s="115" t="s">
        <v>6522</v>
      </c>
      <c r="M353" s="115" t="b">
        <f>IFS($A353=FALSE,"", countif(VLOOKUP($B353,'MARCH 2022'!C:C,1,FALSE),$B353)&gt;=1,TRUE,countif(VLOOKUP($B353,'MARCH 2022'!C:C,1,FALSE),$B353)=0,FALSE)</f>
        <v>0</v>
      </c>
      <c r="N353" s="115" t="b">
        <f>IFS($A353=FALSE,"", countif(VLOOKUP($A353,'MARCH 2022'!A:A,1,FALSE),$A353)&gt;=1,TRUE,countif(VLOOKUP($A353,'MARCH 2022'!A:A,1,FALSE),$A353)=0,FALSE)</f>
        <v>0</v>
      </c>
      <c r="O353" s="111"/>
    </row>
    <row r="354" ht="15.75" customHeight="1">
      <c r="A354" s="110" t="str">
        <f t="shared" si="1"/>
        <v>1835144636</v>
      </c>
      <c r="B354" s="111">
        <v>18351.0</v>
      </c>
      <c r="C354" s="112">
        <v>0.5625</v>
      </c>
      <c r="D354" s="111" t="s">
        <v>6547</v>
      </c>
      <c r="E354" s="113">
        <v>32037.0</v>
      </c>
      <c r="F354" s="114">
        <v>44636.0</v>
      </c>
      <c r="G354" s="111" t="s">
        <v>6525</v>
      </c>
      <c r="H354" s="111" t="s">
        <v>6526</v>
      </c>
      <c r="I354" s="111" t="s">
        <v>6529</v>
      </c>
      <c r="J354" s="111" t="s">
        <v>6407</v>
      </c>
      <c r="K354" s="115"/>
      <c r="L354" s="115" t="s">
        <v>6522</v>
      </c>
      <c r="M354" s="115" t="b">
        <f>IFS($A354=FALSE,"", countif(VLOOKUP($B354,'MARCH 2022'!C:C,1,FALSE),$B354)&gt;=1,TRUE,countif(VLOOKUP($B354,'MARCH 2022'!C:C,1,FALSE),$B354)=0,FALSE)</f>
        <v>0</v>
      </c>
      <c r="N354" s="115" t="b">
        <f>IFS($A354=FALSE,"", countif(VLOOKUP($A354,'MARCH 2022'!A:A,1,FALSE),$A354)&gt;=1,TRUE,countif(VLOOKUP($A354,'MARCH 2022'!A:A,1,FALSE),$A354)=0,FALSE)</f>
        <v>0</v>
      </c>
      <c r="O354" s="111"/>
    </row>
    <row r="355" ht="15.75" customHeight="1">
      <c r="A355" s="110" t="str">
        <f t="shared" si="1"/>
        <v>940544636</v>
      </c>
      <c r="B355" s="111">
        <v>9405.0</v>
      </c>
      <c r="C355" s="112">
        <v>0.5625</v>
      </c>
      <c r="D355" s="111" t="s">
        <v>152</v>
      </c>
      <c r="E355" s="113">
        <v>23240.0</v>
      </c>
      <c r="F355" s="114">
        <v>44636.0</v>
      </c>
      <c r="G355" s="111" t="s">
        <v>6523</v>
      </c>
      <c r="H355" s="111" t="s">
        <v>6520</v>
      </c>
      <c r="I355" s="111" t="s">
        <v>6521</v>
      </c>
      <c r="J355" s="111" t="s">
        <v>6486</v>
      </c>
      <c r="K355" s="115"/>
      <c r="L355" s="115" t="s">
        <v>6522</v>
      </c>
      <c r="M355" s="115" t="b">
        <f>IFS($A355=FALSE,"", countif(VLOOKUP($B355,'MARCH 2022'!C:C,1,FALSE),$B355)&gt;=1,TRUE,countif(VLOOKUP($B355,'MARCH 2022'!C:C,1,FALSE),$B355)=0,FALSE)</f>
        <v>0</v>
      </c>
      <c r="N355" s="115" t="b">
        <f>IFS($A355=FALSE,"", countif(VLOOKUP($A355,'MARCH 2022'!A:A,1,FALSE),$A355)&gt;=1,TRUE,countif(VLOOKUP($A355,'MARCH 2022'!A:A,1,FALSE),$A355)=0,FALSE)</f>
        <v>0</v>
      </c>
      <c r="O355" s="111"/>
    </row>
    <row r="356" ht="15.75" customHeight="1">
      <c r="A356" s="110" t="str">
        <f t="shared" si="1"/>
        <v>1832844636</v>
      </c>
      <c r="B356" s="111">
        <v>18328.0</v>
      </c>
      <c r="C356" s="112">
        <v>0.5729166666666666</v>
      </c>
      <c r="D356" s="111" t="s">
        <v>6548</v>
      </c>
      <c r="E356" s="113">
        <v>13021.0</v>
      </c>
      <c r="F356" s="114">
        <v>44636.0</v>
      </c>
      <c r="G356" s="111" t="s">
        <v>6525</v>
      </c>
      <c r="H356" s="111" t="s">
        <v>6526</v>
      </c>
      <c r="I356" s="111" t="s">
        <v>6527</v>
      </c>
      <c r="J356" s="111" t="s">
        <v>6451</v>
      </c>
      <c r="K356" s="115"/>
      <c r="L356" s="115" t="s">
        <v>6522</v>
      </c>
      <c r="M356" s="115" t="b">
        <f>IFS($A356=FALSE,"", countif(VLOOKUP($B356,'MARCH 2022'!C:C,1,FALSE),$B356)&gt;=1,TRUE,countif(VLOOKUP($B356,'MARCH 2022'!C:C,1,FALSE),$B356)=0,FALSE)</f>
        <v>0</v>
      </c>
      <c r="N356" s="115" t="b">
        <f>IFS($A356=FALSE,"", countif(VLOOKUP($A356,'MARCH 2022'!A:A,1,FALSE),$A356)&gt;=1,TRUE,countif(VLOOKUP($A356,'MARCH 2022'!A:A,1,FALSE),$A356)=0,FALSE)</f>
        <v>0</v>
      </c>
      <c r="O356" s="111"/>
    </row>
    <row r="357" ht="15.75" customHeight="1">
      <c r="A357" s="110" t="str">
        <f t="shared" si="1"/>
        <v>1485844636</v>
      </c>
      <c r="B357" s="111">
        <v>14858.0</v>
      </c>
      <c r="C357" s="112">
        <v>0.5729166666666666</v>
      </c>
      <c r="D357" s="111" t="s">
        <v>3355</v>
      </c>
      <c r="E357" s="113">
        <v>33442.0</v>
      </c>
      <c r="F357" s="114">
        <v>44636.0</v>
      </c>
      <c r="G357" s="111" t="s">
        <v>6519</v>
      </c>
      <c r="H357" s="111" t="s">
        <v>6520</v>
      </c>
      <c r="I357" s="111" t="s">
        <v>6524</v>
      </c>
      <c r="J357" s="111" t="s">
        <v>6381</v>
      </c>
      <c r="K357" s="115"/>
      <c r="L357" s="115" t="s">
        <v>6522</v>
      </c>
      <c r="M357" s="115" t="b">
        <f>IFS($A357=FALSE,"", countif(VLOOKUP($B357,'MARCH 2022'!C:C,1,FALSE),$B357)&gt;=1,TRUE,countif(VLOOKUP($B357,'MARCH 2022'!C:C,1,FALSE),$B357)=0,FALSE)</f>
        <v>0</v>
      </c>
      <c r="N357" s="115" t="b">
        <f>IFS($A357=FALSE,"", countif(VLOOKUP($A357,'MARCH 2022'!A:A,1,FALSE),$A357)&gt;=1,TRUE,countif(VLOOKUP($A357,'MARCH 2022'!A:A,1,FALSE),$A357)=0,FALSE)</f>
        <v>0</v>
      </c>
      <c r="O357" s="111"/>
    </row>
    <row r="358" ht="15.75" customHeight="1">
      <c r="A358" s="110" t="str">
        <f t="shared" si="1"/>
        <v>1032944636</v>
      </c>
      <c r="B358" s="111">
        <v>10329.0</v>
      </c>
      <c r="C358" s="112">
        <v>0.59375</v>
      </c>
      <c r="D358" s="111" t="s">
        <v>496</v>
      </c>
      <c r="E358" s="113">
        <v>28366.0</v>
      </c>
      <c r="F358" s="114">
        <v>44636.0</v>
      </c>
      <c r="G358" s="111" t="s">
        <v>6523</v>
      </c>
      <c r="H358" s="111" t="s">
        <v>6520</v>
      </c>
      <c r="I358" s="111" t="s">
        <v>6524</v>
      </c>
      <c r="J358" s="111" t="s">
        <v>6381</v>
      </c>
      <c r="K358" s="115"/>
      <c r="L358" s="115" t="s">
        <v>6522</v>
      </c>
      <c r="M358" s="115" t="b">
        <f>IFS($A358=FALSE,"", countif(VLOOKUP($B358,'MARCH 2022'!C:C,1,FALSE),$B358)&gt;=1,TRUE,countif(VLOOKUP($B358,'MARCH 2022'!C:C,1,FALSE),$B358)=0,FALSE)</f>
        <v>0</v>
      </c>
      <c r="N358" s="115" t="b">
        <f>IFS($A358=FALSE,"", countif(VLOOKUP($A358,'MARCH 2022'!A:A,1,FALSE),$A358)&gt;=1,TRUE,countif(VLOOKUP($A358,'MARCH 2022'!A:A,1,FALSE),$A358)=0,FALSE)</f>
        <v>0</v>
      </c>
      <c r="O358" s="111"/>
    </row>
    <row r="359" ht="15.75" customHeight="1">
      <c r="A359" s="110" t="str">
        <f t="shared" si="1"/>
        <v>1831944636</v>
      </c>
      <c r="B359" s="111">
        <v>18319.0</v>
      </c>
      <c r="C359" s="112">
        <v>0.6041666666666666</v>
      </c>
      <c r="D359" s="111" t="s">
        <v>6549</v>
      </c>
      <c r="E359" s="113">
        <v>24537.0</v>
      </c>
      <c r="F359" s="114">
        <v>44636.0</v>
      </c>
      <c r="G359" s="111" t="s">
        <v>6525</v>
      </c>
      <c r="H359" s="111" t="s">
        <v>6526</v>
      </c>
      <c r="I359" s="111" t="s">
        <v>6527</v>
      </c>
      <c r="J359" s="111" t="s">
        <v>6476</v>
      </c>
      <c r="K359" s="115"/>
      <c r="L359" s="115" t="s">
        <v>6522</v>
      </c>
      <c r="M359" s="115" t="b">
        <f>IFS($A359=FALSE,"", countif(VLOOKUP($B359,'MARCH 2022'!C:C,1,FALSE),$B359)&gt;=1,TRUE,countif(VLOOKUP($B359,'MARCH 2022'!C:C,1,FALSE),$B359)=0,FALSE)</f>
        <v>0</v>
      </c>
      <c r="N359" s="115" t="b">
        <f>IFS($A359=FALSE,"", countif(VLOOKUP($A359,'MARCH 2022'!A:A,1,FALSE),$A359)&gt;=1,TRUE,countif(VLOOKUP($A359,'MARCH 2022'!A:A,1,FALSE),$A359)=0,FALSE)</f>
        <v>0</v>
      </c>
      <c r="O359" s="111"/>
    </row>
    <row r="360" ht="15.75" customHeight="1">
      <c r="A360" s="110" t="str">
        <f t="shared" si="1"/>
        <v>1095544636</v>
      </c>
      <c r="B360" s="111">
        <v>10955.0</v>
      </c>
      <c r="C360" s="112">
        <v>0.6145833333333334</v>
      </c>
      <c r="D360" s="111" t="s">
        <v>741</v>
      </c>
      <c r="E360" s="113">
        <v>26255.0</v>
      </c>
      <c r="F360" s="114">
        <v>44636.0</v>
      </c>
      <c r="G360" s="111" t="s">
        <v>6523</v>
      </c>
      <c r="H360" s="111" t="s">
        <v>6520</v>
      </c>
      <c r="I360" s="111" t="s">
        <v>6524</v>
      </c>
      <c r="J360" s="111" t="s">
        <v>6451</v>
      </c>
      <c r="K360" s="115"/>
      <c r="L360" s="115" t="s">
        <v>6522</v>
      </c>
      <c r="M360" s="115" t="b">
        <f>IFS($A360=FALSE,"", countif(VLOOKUP($B360,'MARCH 2022'!C:C,1,FALSE),$B360)&gt;=1,TRUE,countif(VLOOKUP($B360,'MARCH 2022'!C:C,1,FALSE),$B360)=0,FALSE)</f>
        <v>0</v>
      </c>
      <c r="N360" s="115" t="b">
        <f>IFS($A360=FALSE,"", countif(VLOOKUP($A360,'MARCH 2022'!A:A,1,FALSE),$A360)&gt;=1,TRUE,countif(VLOOKUP($A360,'MARCH 2022'!A:A,1,FALSE),$A360)=0,FALSE)</f>
        <v>0</v>
      </c>
      <c r="O360" s="111"/>
    </row>
    <row r="361" ht="15.75" customHeight="1">
      <c r="A361" s="110" t="str">
        <f t="shared" si="1"/>
        <v>1318744636</v>
      </c>
      <c r="B361" s="111">
        <v>13187.0</v>
      </c>
      <c r="C361" s="112">
        <v>0.6145833333333334</v>
      </c>
      <c r="D361" s="111" t="s">
        <v>5970</v>
      </c>
      <c r="E361" s="113">
        <v>20156.0</v>
      </c>
      <c r="F361" s="114">
        <v>44636.0</v>
      </c>
      <c r="G361" s="111" t="s">
        <v>6523</v>
      </c>
      <c r="H361" s="111" t="s">
        <v>6520</v>
      </c>
      <c r="I361" s="111" t="s">
        <v>6521</v>
      </c>
      <c r="J361" s="111" t="s">
        <v>6395</v>
      </c>
      <c r="K361" s="115"/>
      <c r="L361" s="115" t="s">
        <v>6522</v>
      </c>
      <c r="M361" s="115" t="b">
        <f>IFS($A361=FALSE,"", countif(VLOOKUP($B361,'MARCH 2022'!C:C,1,FALSE),$B361)&gt;=1,TRUE,countif(VLOOKUP($B361,'MARCH 2022'!C:C,1,FALSE),$B361)=0,FALSE)</f>
        <v>0</v>
      </c>
      <c r="N361" s="115" t="b">
        <f>IFS($A361=FALSE,"", countif(VLOOKUP($A361,'MARCH 2022'!A:A,1,FALSE),$A361)&gt;=1,TRUE,countif(VLOOKUP($A361,'MARCH 2022'!A:A,1,FALSE),$A361)=0,FALSE)</f>
        <v>0</v>
      </c>
      <c r="O361" s="111"/>
    </row>
    <row r="362" ht="15.75" customHeight="1">
      <c r="A362" s="110" t="str">
        <f t="shared" si="1"/>
        <v>1015544636</v>
      </c>
      <c r="B362" s="111">
        <v>10155.0</v>
      </c>
      <c r="C362" s="112">
        <v>0.625</v>
      </c>
      <c r="D362" s="111" t="s">
        <v>430</v>
      </c>
      <c r="E362" s="113">
        <v>16882.0</v>
      </c>
      <c r="F362" s="114">
        <v>44636.0</v>
      </c>
      <c r="G362" s="111" t="s">
        <v>6523</v>
      </c>
      <c r="H362" s="111" t="s">
        <v>6520</v>
      </c>
      <c r="I362" s="111" t="s">
        <v>6521</v>
      </c>
      <c r="J362" s="111" t="s">
        <v>6374</v>
      </c>
      <c r="K362" s="115"/>
      <c r="L362" s="115" t="s">
        <v>6522</v>
      </c>
      <c r="M362" s="115" t="b">
        <f>IFS($A362=FALSE,"", countif(VLOOKUP($B362,'MARCH 2022'!C:C,1,FALSE),$B362)&gt;=1,TRUE,countif(VLOOKUP($B362,'MARCH 2022'!C:C,1,FALSE),$B362)=0,FALSE)</f>
        <v>0</v>
      </c>
      <c r="N362" s="115" t="b">
        <f>IFS($A362=FALSE,"", countif(VLOOKUP($A362,'MARCH 2022'!A:A,1,FALSE),$A362)&gt;=1,TRUE,countif(VLOOKUP($A362,'MARCH 2022'!A:A,1,FALSE),$A362)=0,FALSE)</f>
        <v>0</v>
      </c>
      <c r="O362" s="111"/>
    </row>
    <row r="363" ht="15.75" customHeight="1">
      <c r="A363" s="110" t="str">
        <f t="shared" si="1"/>
        <v>1680644636</v>
      </c>
      <c r="B363" s="111">
        <v>16806.0</v>
      </c>
      <c r="C363" s="112">
        <v>0.6354166666666666</v>
      </c>
      <c r="D363" s="111" t="s">
        <v>4973</v>
      </c>
      <c r="E363" s="113">
        <v>24302.0</v>
      </c>
      <c r="F363" s="114">
        <v>44636.0</v>
      </c>
      <c r="G363" s="111" t="s">
        <v>6523</v>
      </c>
      <c r="H363" s="111" t="s">
        <v>6520</v>
      </c>
      <c r="I363" s="111" t="s">
        <v>6524</v>
      </c>
      <c r="J363" s="111" t="s">
        <v>6489</v>
      </c>
      <c r="K363" s="115"/>
      <c r="L363" s="115" t="s">
        <v>6522</v>
      </c>
      <c r="M363" s="115" t="b">
        <f>IFS($A363=FALSE,"", countif(VLOOKUP($B363,'MARCH 2022'!C:C,1,FALSE),$B363)&gt;=1,TRUE,countif(VLOOKUP($B363,'MARCH 2022'!C:C,1,FALSE),$B363)=0,FALSE)</f>
        <v>0</v>
      </c>
      <c r="N363" s="115" t="b">
        <f>IFS($A363=FALSE,"", countif(VLOOKUP($A363,'MARCH 2022'!A:A,1,FALSE),$A363)&gt;=1,TRUE,countif(VLOOKUP($A363,'MARCH 2022'!A:A,1,FALSE),$A363)=0,FALSE)</f>
        <v>0</v>
      </c>
      <c r="O363" s="111"/>
    </row>
    <row r="364" ht="15.75" customHeight="1">
      <c r="A364" s="110" t="str">
        <f t="shared" si="1"/>
        <v>1435644636</v>
      </c>
      <c r="B364" s="111">
        <v>14356.0</v>
      </c>
      <c r="C364" s="112">
        <v>0.6354166666666666</v>
      </c>
      <c r="D364" s="111" t="s">
        <v>2945</v>
      </c>
      <c r="E364" s="113">
        <v>17942.0</v>
      </c>
      <c r="F364" s="114">
        <v>44636.0</v>
      </c>
      <c r="G364" s="111" t="s">
        <v>6519</v>
      </c>
      <c r="H364" s="111" t="s">
        <v>6520</v>
      </c>
      <c r="I364" s="111" t="s">
        <v>6521</v>
      </c>
      <c r="J364" s="111" t="s">
        <v>6489</v>
      </c>
      <c r="K364" s="115"/>
      <c r="L364" s="115" t="s">
        <v>6522</v>
      </c>
      <c r="M364" s="115" t="b">
        <f>IFS($A364=FALSE,"", countif(VLOOKUP($B364,'MARCH 2022'!C:C,1,FALSE),$B364)&gt;=1,TRUE,countif(VLOOKUP($B364,'MARCH 2022'!C:C,1,FALSE),$B364)=0,FALSE)</f>
        <v>0</v>
      </c>
      <c r="N364" s="115" t="b">
        <f>IFS($A364=FALSE,"", countif(VLOOKUP($A364,'MARCH 2022'!A:A,1,FALSE),$A364)&gt;=1,TRUE,countif(VLOOKUP($A364,'MARCH 2022'!A:A,1,FALSE),$A364)=0,FALSE)</f>
        <v>0</v>
      </c>
      <c r="O364" s="111"/>
    </row>
    <row r="365" ht="15.75" customHeight="1">
      <c r="A365" s="110" t="str">
        <f t="shared" si="1"/>
        <v>1535944636</v>
      </c>
      <c r="B365" s="111">
        <v>15359.0</v>
      </c>
      <c r="C365" s="112">
        <v>0.6458333333333334</v>
      </c>
      <c r="D365" s="111" t="s">
        <v>3768</v>
      </c>
      <c r="E365" s="113">
        <v>29328.0</v>
      </c>
      <c r="F365" s="114">
        <v>44636.0</v>
      </c>
      <c r="G365" s="111" t="s">
        <v>6523</v>
      </c>
      <c r="H365" s="111" t="s">
        <v>6520</v>
      </c>
      <c r="I365" s="111" t="s">
        <v>6521</v>
      </c>
      <c r="J365" s="111" t="s">
        <v>6381</v>
      </c>
      <c r="K365" s="115"/>
      <c r="L365" s="115" t="s">
        <v>6522</v>
      </c>
      <c r="M365" s="115" t="b">
        <f>IFS($A365=FALSE,"", countif(VLOOKUP($B365,'MARCH 2022'!C:C,1,FALSE),$B365)&gt;=1,TRUE,countif(VLOOKUP($B365,'MARCH 2022'!C:C,1,FALSE),$B365)=0,FALSE)</f>
        <v>0</v>
      </c>
      <c r="N365" s="115" t="b">
        <f>IFS($A365=FALSE,"", countif(VLOOKUP($A365,'MARCH 2022'!A:A,1,FALSE),$A365)&gt;=1,TRUE,countif(VLOOKUP($A365,'MARCH 2022'!A:A,1,FALSE),$A365)=0,FALSE)</f>
        <v>0</v>
      </c>
      <c r="O365" s="111"/>
    </row>
    <row r="366" ht="15.75" customHeight="1">
      <c r="A366" s="110" t="str">
        <f t="shared" si="1"/>
        <v>1783344636</v>
      </c>
      <c r="B366" s="111">
        <v>17833.0</v>
      </c>
      <c r="C366" s="112">
        <v>0.6458333333333334</v>
      </c>
      <c r="D366" s="111" t="s">
        <v>6007</v>
      </c>
      <c r="E366" s="113">
        <v>16597.0</v>
      </c>
      <c r="F366" s="114">
        <v>44636.0</v>
      </c>
      <c r="G366" s="111" t="s">
        <v>6519</v>
      </c>
      <c r="H366" s="111" t="s">
        <v>6520</v>
      </c>
      <c r="I366" s="111" t="s">
        <v>6524</v>
      </c>
      <c r="J366" s="111" t="s">
        <v>6390</v>
      </c>
      <c r="K366" s="115"/>
      <c r="L366" s="115" t="s">
        <v>6522</v>
      </c>
      <c r="M366" s="115" t="b">
        <f>IFS($A366=FALSE,"", countif(VLOOKUP($B366,'MARCH 2022'!C:C,1,FALSE),$B366)&gt;=1,TRUE,countif(VLOOKUP($B366,'MARCH 2022'!C:C,1,FALSE),$B366)=0,FALSE)</f>
        <v>0</v>
      </c>
      <c r="N366" s="115" t="b">
        <f>IFS($A366=FALSE,"", countif(VLOOKUP($A366,'MARCH 2022'!A:A,1,FALSE),$A366)&gt;=1,TRUE,countif(VLOOKUP($A366,'MARCH 2022'!A:A,1,FALSE),$A366)=0,FALSE)</f>
        <v>0</v>
      </c>
      <c r="O366" s="111"/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O366">
    <cfRule type="expression" dxfId="2" priority="1">
      <formula>$O2="Repeat"</formula>
    </cfRule>
  </conditionalFormatting>
  <conditionalFormatting sqref="A1:N366">
    <cfRule type="expression" dxfId="19" priority="2">
      <formula>$N1=true</formula>
    </cfRule>
  </conditionalFormatting>
  <conditionalFormatting sqref="A1:M366">
    <cfRule type="expression" dxfId="1" priority="3">
      <formula>$M1=false</formula>
    </cfRule>
  </conditionalFormatting>
  <conditionalFormatting sqref="B2:O366">
    <cfRule type="expression" dxfId="5" priority="4">
      <formula>$J2="AMBETTER - SUPERIOR"</formula>
    </cfRule>
  </conditionalFormatting>
  <conditionalFormatting sqref="B2:O366">
    <cfRule type="expression" dxfId="5" priority="5">
      <formula>$J2="SUPERIOR HEALTH PLAN"</formula>
    </cfRule>
  </conditionalFormatting>
  <conditionalFormatting sqref="B2:O366">
    <cfRule type="expression" dxfId="20" priority="6">
      <formula>$G2="OUT-UAQPre"</formula>
    </cfRule>
  </conditionalFormatting>
  <conditionalFormatting sqref="B2:O366">
    <cfRule type="expression" dxfId="20" priority="7">
      <formula>$G2="OUT-UAQ"</formula>
    </cfRule>
  </conditionalFormatting>
  <conditionalFormatting sqref="B2:O366">
    <cfRule type="expression" dxfId="21" priority="8">
      <formula>$G2="HUMANA CHOICE CARE"</formula>
    </cfRule>
  </conditionalFormatting>
  <conditionalFormatting sqref="B2:O366">
    <cfRule type="expression" dxfId="21" priority="9">
      <formula>$G2="HUMANA OPEN ACCESS PLAN"</formula>
    </cfRule>
  </conditionalFormatting>
  <conditionalFormatting sqref="B2:O366">
    <cfRule type="expression" dxfId="22" priority="10">
      <formula>$G2="OUTSA-SaQu"</formula>
    </cfRule>
  </conditionalFormatting>
  <conditionalFormatting sqref="B2:O366">
    <cfRule type="expression" dxfId="20" priority="11">
      <formula>$G2="OUTUA-QNEW"</formula>
    </cfRule>
  </conditionalFormatting>
  <conditionalFormatting sqref="B2:O366">
    <cfRule type="expression" dxfId="20" priority="12">
      <formula>$G2="OUTUA-PrRW"</formula>
    </cfRule>
  </conditionalFormatting>
  <conditionalFormatting sqref="B2:O366">
    <cfRule type="expression" dxfId="20" priority="13">
      <formula>$G2="OUTUA-NWRW"</formula>
    </cfRule>
  </conditionalFormatting>
  <conditionalFormatting sqref="B2:O366">
    <cfRule type="expression" dxfId="22" priority="14">
      <formula>$G2="OUTSA-RW"</formula>
    </cfRule>
  </conditionalFormatting>
  <conditionalFormatting sqref="B2:O366">
    <cfRule type="expression" dxfId="20" priority="15">
      <formula>$G2="OUTUA-FURW"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7.88"/>
    <col customWidth="1" min="3" max="3" width="6.75"/>
    <col customWidth="1" min="4" max="4" width="23.0"/>
    <col customWidth="1" min="5" max="5" width="6.5"/>
    <col customWidth="1" min="6" max="6" width="6.38"/>
    <col customWidth="1" min="7" max="7" width="10.63"/>
    <col customWidth="1" min="8" max="8" width="11.0"/>
    <col customWidth="1" min="9" max="9" width="10.5"/>
    <col customWidth="1" min="10" max="10" width="30.88"/>
    <col customWidth="1" min="11" max="11" width="8.13"/>
    <col customWidth="1" min="12" max="12" width="12.38"/>
    <col customWidth="1" min="13" max="13" width="10.0"/>
    <col customWidth="1" min="14" max="14" width="9.63"/>
    <col customWidth="1" min="15" max="15" width="8.75"/>
  </cols>
  <sheetData>
    <row r="1" ht="15.75" customHeight="1">
      <c r="A1" s="107" t="str">
        <f t="shared" ref="A1:A166" si="1">B1&amp;F1</f>
        <v>MRNDOS</v>
      </c>
      <c r="B1" s="106" t="s">
        <v>32</v>
      </c>
      <c r="C1" s="107" t="s">
        <v>6367</v>
      </c>
      <c r="D1" s="106" t="s">
        <v>33</v>
      </c>
      <c r="E1" s="108" t="s">
        <v>34</v>
      </c>
      <c r="F1" s="109" t="s">
        <v>3</v>
      </c>
      <c r="G1" s="106" t="s">
        <v>6513</v>
      </c>
      <c r="H1" s="106" t="s">
        <v>6514</v>
      </c>
      <c r="I1" s="106" t="s">
        <v>6499</v>
      </c>
      <c r="J1" s="106" t="s">
        <v>6425</v>
      </c>
      <c r="K1" s="105" t="s">
        <v>6503</v>
      </c>
      <c r="L1" s="105" t="s">
        <v>6515</v>
      </c>
      <c r="M1" s="105" t="s">
        <v>6516</v>
      </c>
      <c r="N1" s="105" t="s">
        <v>6517</v>
      </c>
      <c r="O1" s="105" t="s">
        <v>6518</v>
      </c>
    </row>
    <row r="2" ht="15.75" customHeight="1">
      <c r="A2" s="110" t="str">
        <f t="shared" si="1"/>
        <v>1555544613</v>
      </c>
      <c r="B2" s="111">
        <v>15555.0</v>
      </c>
      <c r="C2" s="112">
        <v>0.3229166666666667</v>
      </c>
      <c r="D2" s="111" t="s">
        <v>3937</v>
      </c>
      <c r="E2" s="113">
        <v>20542.0</v>
      </c>
      <c r="F2" s="114">
        <v>44613.0</v>
      </c>
      <c r="G2" s="111" t="s">
        <v>6519</v>
      </c>
      <c r="H2" s="111" t="s">
        <v>6526</v>
      </c>
      <c r="I2" s="111" t="s">
        <v>6550</v>
      </c>
      <c r="J2" s="111" t="s">
        <v>6427</v>
      </c>
      <c r="K2" s="115"/>
      <c r="L2" s="115" t="s">
        <v>6522</v>
      </c>
      <c r="M2" s="115" t="b">
        <f>IFS($A2=FALSE,"", countif(VLOOKUP($B2,'FEBRUARY 2022'!C:C,1,FALSE),$B2)&gt;=1,TRUE,countif(VLOOKUP($B2,'FEBRUARY 2022'!C:C,1,FALSE),$B2)=0,FALSE)</f>
        <v>1</v>
      </c>
      <c r="N2" s="115" t="b">
        <f>IFS($A2=FALSE,"", countif(VLOOKUP($A2,'FEBRUARY 2022'!A:A,1,FALSE),$A2)&gt;=1,TRUE,countif(VLOOKUP($A2,'FEBRUARY 2022'!A:A,1,FALSE),$A2)=0,FALSE)</f>
        <v>1</v>
      </c>
      <c r="O2" s="111" t="str">
        <f t="shared" ref="O2:O166" si="2">IF((countif($A$2:$A166,$A2)&gt;1),"Repeat"," ")</f>
        <v> </v>
      </c>
    </row>
    <row r="3" ht="15.75" customHeight="1">
      <c r="A3" s="110" t="str">
        <f t="shared" si="1"/>
        <v>1814444613</v>
      </c>
      <c r="B3" s="111">
        <v>18144.0</v>
      </c>
      <c r="C3" s="112">
        <v>0.34375</v>
      </c>
      <c r="D3" s="111" t="s">
        <v>6184</v>
      </c>
      <c r="E3" s="113">
        <v>19469.0</v>
      </c>
      <c r="F3" s="114">
        <v>44613.0</v>
      </c>
      <c r="G3" s="111" t="s">
        <v>6525</v>
      </c>
      <c r="H3" s="111" t="s">
        <v>6526</v>
      </c>
      <c r="I3" s="111" t="s">
        <v>6527</v>
      </c>
      <c r="J3" s="111" t="s">
        <v>6374</v>
      </c>
      <c r="K3" s="115"/>
      <c r="L3" s="115" t="s">
        <v>6522</v>
      </c>
      <c r="M3" s="115" t="b">
        <f>IFS($A3=FALSE,"", countif(VLOOKUP($B3,'FEBRUARY 2022'!C:C,1,FALSE),$B3)&gt;=1,TRUE,countif(VLOOKUP($B3,'FEBRUARY 2022'!C:C,1,FALSE),$B3)=0,FALSE)</f>
        <v>1</v>
      </c>
      <c r="N3" s="115" t="b">
        <f>IFS($A3=FALSE,"", countif(VLOOKUP($A3,'FEBRUARY 2022'!A:A,1,FALSE),$A3)&gt;=1,TRUE,countif(VLOOKUP($A3,'FEBRUARY 2022'!A:A,1,FALSE),$A3)=0,FALSE)</f>
        <v>1</v>
      </c>
      <c r="O3" s="111" t="str">
        <f t="shared" si="2"/>
        <v> </v>
      </c>
    </row>
    <row r="4" ht="15.75" customHeight="1">
      <c r="A4" s="110" t="str">
        <f t="shared" si="1"/>
        <v>1537944613</v>
      </c>
      <c r="B4" s="111">
        <v>15379.0</v>
      </c>
      <c r="C4" s="112">
        <v>0.3541666666666667</v>
      </c>
      <c r="D4" s="111" t="s">
        <v>3785</v>
      </c>
      <c r="E4" s="113">
        <v>17858.0</v>
      </c>
      <c r="F4" s="114">
        <v>44613.0</v>
      </c>
      <c r="G4" s="111" t="s">
        <v>6523</v>
      </c>
      <c r="H4" s="111" t="s">
        <v>6520</v>
      </c>
      <c r="I4" s="111" t="s">
        <v>6524</v>
      </c>
      <c r="J4" s="111" t="s">
        <v>6375</v>
      </c>
      <c r="K4" s="115"/>
      <c r="L4" s="115" t="s">
        <v>6522</v>
      </c>
      <c r="M4" s="115" t="b">
        <f>IFS($A4=FALSE,"", countif(VLOOKUP($B4,'FEBRUARY 2022'!C:C,1,FALSE),$B4)&gt;=1,TRUE,countif(VLOOKUP($B4,'FEBRUARY 2022'!C:C,1,FALSE),$B4)=0,FALSE)</f>
        <v>1</v>
      </c>
      <c r="N4" s="115" t="b">
        <f>IFS($A4=FALSE,"", countif(VLOOKUP($A4,'FEBRUARY 2022'!A:A,1,FALSE),$A4)&gt;=1,TRUE,countif(VLOOKUP($A4,'FEBRUARY 2022'!A:A,1,FALSE),$A4)=0,FALSE)</f>
        <v>1</v>
      </c>
      <c r="O4" s="111" t="str">
        <f t="shared" si="2"/>
        <v> </v>
      </c>
    </row>
    <row r="5" ht="15.75" customHeight="1">
      <c r="A5" s="110" t="str">
        <f t="shared" si="1"/>
        <v>1279544613</v>
      </c>
      <c r="B5" s="111">
        <v>12795.0</v>
      </c>
      <c r="C5" s="112">
        <v>0.3541666666666667</v>
      </c>
      <c r="D5" s="111" t="s">
        <v>1715</v>
      </c>
      <c r="E5" s="113">
        <v>25954.0</v>
      </c>
      <c r="F5" s="114">
        <v>44613.0</v>
      </c>
      <c r="G5" s="111" t="s">
        <v>6519</v>
      </c>
      <c r="H5" s="111" t="s">
        <v>6520</v>
      </c>
      <c r="I5" s="111" t="s">
        <v>6521</v>
      </c>
      <c r="J5" s="111" t="s">
        <v>6489</v>
      </c>
      <c r="K5" s="115"/>
      <c r="L5" s="115" t="s">
        <v>6522</v>
      </c>
      <c r="M5" s="115" t="b">
        <f>IFS($A5=FALSE,"", countif(VLOOKUP($B5,'FEBRUARY 2022'!C:C,1,FALSE),$B5)&gt;=1,TRUE,countif(VLOOKUP($B5,'FEBRUARY 2022'!C:C,1,FALSE),$B5)=0,FALSE)</f>
        <v>1</v>
      </c>
      <c r="N5" s="115" t="b">
        <f>IFS($A5=FALSE,"", countif(VLOOKUP($A5,'FEBRUARY 2022'!A:A,1,FALSE),$A5)&gt;=1,TRUE,countif(VLOOKUP($A5,'FEBRUARY 2022'!A:A,1,FALSE),$A5)=0,FALSE)</f>
        <v>1</v>
      </c>
      <c r="O5" s="111" t="str">
        <f t="shared" si="2"/>
        <v> </v>
      </c>
    </row>
    <row r="6" ht="15.75" customHeight="1">
      <c r="A6" s="110" t="str">
        <f t="shared" si="1"/>
        <v>1798244613</v>
      </c>
      <c r="B6" s="111">
        <v>17982.0</v>
      </c>
      <c r="C6" s="112">
        <v>0.3645833333333333</v>
      </c>
      <c r="D6" s="111" t="s">
        <v>6155</v>
      </c>
      <c r="E6" s="113">
        <v>31771.0</v>
      </c>
      <c r="F6" s="114">
        <v>44613.0</v>
      </c>
      <c r="G6" s="111" t="s">
        <v>6525</v>
      </c>
      <c r="H6" s="111" t="s">
        <v>6526</v>
      </c>
      <c r="I6" s="111" t="s">
        <v>6527</v>
      </c>
      <c r="J6" s="111" t="s">
        <v>6372</v>
      </c>
      <c r="K6" s="115"/>
      <c r="L6" s="115" t="s">
        <v>6522</v>
      </c>
      <c r="M6" s="115" t="b">
        <f>IFS($A6=FALSE,"", countif(VLOOKUP($B6,'FEBRUARY 2022'!C:C,1,FALSE),$B6)&gt;=1,TRUE,countif(VLOOKUP($B6,'FEBRUARY 2022'!C:C,1,FALSE),$B6)=0,FALSE)</f>
        <v>1</v>
      </c>
      <c r="N6" s="115" t="b">
        <f>IFS($A6=FALSE,"", countif(VLOOKUP($A6,'FEBRUARY 2022'!A:A,1,FALSE),$A6)&gt;=1,TRUE,countif(VLOOKUP($A6,'FEBRUARY 2022'!A:A,1,FALSE),$A6)=0,FALSE)</f>
        <v>1</v>
      </c>
      <c r="O6" s="111" t="str">
        <f t="shared" si="2"/>
        <v> </v>
      </c>
    </row>
    <row r="7" ht="15.75" customHeight="1">
      <c r="A7" s="110" t="str">
        <f t="shared" si="1"/>
        <v>1802344613</v>
      </c>
      <c r="B7" s="111">
        <v>18023.0</v>
      </c>
      <c r="C7" s="112">
        <v>0.3645833333333333</v>
      </c>
      <c r="D7" s="111" t="s">
        <v>6178</v>
      </c>
      <c r="E7" s="113">
        <v>36140.0</v>
      </c>
      <c r="F7" s="114">
        <v>44613.0</v>
      </c>
      <c r="G7" s="111" t="s">
        <v>6523</v>
      </c>
      <c r="H7" s="111" t="s">
        <v>6526</v>
      </c>
      <c r="I7" s="111" t="s">
        <v>6527</v>
      </c>
      <c r="J7" s="111" t="s">
        <v>6444</v>
      </c>
      <c r="K7" s="115"/>
      <c r="L7" s="115" t="s">
        <v>6522</v>
      </c>
      <c r="M7" s="115" t="b">
        <f>IFS($A7=FALSE,"", countif(VLOOKUP($B7,'FEBRUARY 2022'!C:C,1,FALSE),$B7)&gt;=1,TRUE,countif(VLOOKUP($B7,'FEBRUARY 2022'!C:C,1,FALSE),$B7)=0,FALSE)</f>
        <v>1</v>
      </c>
      <c r="N7" s="115" t="b">
        <f>IFS($A7=FALSE,"", countif(VLOOKUP($A7,'FEBRUARY 2022'!A:A,1,FALSE),$A7)&gt;=1,TRUE,countif(VLOOKUP($A7,'FEBRUARY 2022'!A:A,1,FALSE),$A7)=0,FALSE)</f>
        <v>1</v>
      </c>
      <c r="O7" s="111" t="str">
        <f t="shared" si="2"/>
        <v> </v>
      </c>
    </row>
    <row r="8" ht="15.75" customHeight="1">
      <c r="A8" s="110" t="str">
        <f t="shared" si="1"/>
        <v>1583144613</v>
      </c>
      <c r="B8" s="111">
        <v>15831.0</v>
      </c>
      <c r="C8" s="112">
        <v>0.3645833333333333</v>
      </c>
      <c r="D8" s="111" t="s">
        <v>4184</v>
      </c>
      <c r="E8" s="113">
        <v>27556.0</v>
      </c>
      <c r="F8" s="114">
        <v>44613.0</v>
      </c>
      <c r="G8" s="111" t="s">
        <v>6519</v>
      </c>
      <c r="H8" s="111" t="s">
        <v>6520</v>
      </c>
      <c r="I8" s="111" t="s">
        <v>6521</v>
      </c>
      <c r="J8" s="111" t="s">
        <v>6407</v>
      </c>
      <c r="K8" s="115"/>
      <c r="L8" s="115" t="s">
        <v>6522</v>
      </c>
      <c r="M8" s="115" t="b">
        <f>IFS($A8=FALSE,"", countif(VLOOKUP($B8,'FEBRUARY 2022'!C:C,1,FALSE),$B8)&gt;=1,TRUE,countif(VLOOKUP($B8,'FEBRUARY 2022'!C:C,1,FALSE),$B8)=0,FALSE)</f>
        <v>1</v>
      </c>
      <c r="N8" s="115" t="b">
        <f>IFS($A8=FALSE,"", countif(VLOOKUP($A8,'FEBRUARY 2022'!A:A,1,FALSE),$A8)&gt;=1,TRUE,countif(VLOOKUP($A8,'FEBRUARY 2022'!A:A,1,FALSE),$A8)=0,FALSE)</f>
        <v>1</v>
      </c>
      <c r="O8" s="111" t="str">
        <f t="shared" si="2"/>
        <v> </v>
      </c>
    </row>
    <row r="9" ht="15.75" customHeight="1">
      <c r="A9" s="110" t="str">
        <f t="shared" si="1"/>
        <v>1609644613</v>
      </c>
      <c r="B9" s="111">
        <v>16096.0</v>
      </c>
      <c r="C9" s="112">
        <v>0.375</v>
      </c>
      <c r="D9" s="111" t="s">
        <v>4419</v>
      </c>
      <c r="E9" s="113">
        <v>30163.0</v>
      </c>
      <c r="F9" s="114">
        <v>44613.0</v>
      </c>
      <c r="G9" s="111" t="s">
        <v>6523</v>
      </c>
      <c r="H9" s="111" t="s">
        <v>6520</v>
      </c>
      <c r="I9" s="111" t="s">
        <v>6524</v>
      </c>
      <c r="J9" s="111" t="s">
        <v>6489</v>
      </c>
      <c r="K9" s="115"/>
      <c r="L9" s="115" t="s">
        <v>6522</v>
      </c>
      <c r="M9" s="115" t="b">
        <f>IFS($A9=FALSE,"", countif(VLOOKUP($B9,'FEBRUARY 2022'!C:C,1,FALSE),$B9)&gt;=1,TRUE,countif(VLOOKUP($B9,'FEBRUARY 2022'!C:C,1,FALSE),$B9)=0,FALSE)</f>
        <v>1</v>
      </c>
      <c r="N9" s="115" t="b">
        <f>IFS($A9=FALSE,"", countif(VLOOKUP($A9,'FEBRUARY 2022'!A:A,1,FALSE),$A9)&gt;=1,TRUE,countif(VLOOKUP($A9,'FEBRUARY 2022'!A:A,1,FALSE),$A9)=0,FALSE)</f>
        <v>1</v>
      </c>
      <c r="O9" s="111" t="str">
        <f t="shared" si="2"/>
        <v> </v>
      </c>
    </row>
    <row r="10" ht="15.75" customHeight="1">
      <c r="A10" s="110" t="str">
        <f t="shared" si="1"/>
        <v>967644613</v>
      </c>
      <c r="B10" s="111">
        <v>9676.0</v>
      </c>
      <c r="C10" s="112">
        <v>0.3854166666666667</v>
      </c>
      <c r="D10" s="111" t="s">
        <v>251</v>
      </c>
      <c r="E10" s="113">
        <v>20831.0</v>
      </c>
      <c r="F10" s="114">
        <v>44613.0</v>
      </c>
      <c r="G10" s="111" t="s">
        <v>6519</v>
      </c>
      <c r="H10" s="111" t="s">
        <v>6520</v>
      </c>
      <c r="I10" s="111" t="s">
        <v>6521</v>
      </c>
      <c r="J10" s="111" t="s">
        <v>6489</v>
      </c>
      <c r="K10" s="115"/>
      <c r="L10" s="115" t="s">
        <v>6522</v>
      </c>
      <c r="M10" s="115" t="b">
        <f>IFS($A10=FALSE,"", countif(VLOOKUP($B10,'FEBRUARY 2022'!C:C,1,FALSE),$B10)&gt;=1,TRUE,countif(VLOOKUP($B10,'FEBRUARY 2022'!C:C,1,FALSE),$B10)=0,FALSE)</f>
        <v>1</v>
      </c>
      <c r="N10" s="115" t="b">
        <f>IFS($A10=FALSE,"", countif(VLOOKUP($A10,'FEBRUARY 2022'!A:A,1,FALSE),$A10)&gt;=1,TRUE,countif(VLOOKUP($A10,'FEBRUARY 2022'!A:A,1,FALSE),$A10)=0,FALSE)</f>
        <v>1</v>
      </c>
      <c r="O10" s="111" t="str">
        <f t="shared" si="2"/>
        <v> </v>
      </c>
    </row>
    <row r="11" ht="15.75" customHeight="1">
      <c r="A11" s="110" t="str">
        <f t="shared" si="1"/>
        <v>1813044613</v>
      </c>
      <c r="B11" s="111">
        <v>18130.0</v>
      </c>
      <c r="C11" s="112">
        <v>0.3958333333333333</v>
      </c>
      <c r="D11" s="111" t="s">
        <v>6170</v>
      </c>
      <c r="E11" s="113">
        <v>23798.0</v>
      </c>
      <c r="F11" s="114">
        <v>44613.0</v>
      </c>
      <c r="G11" s="111" t="s">
        <v>6525</v>
      </c>
      <c r="H11" s="111" t="s">
        <v>6526</v>
      </c>
      <c r="I11" s="111" t="s">
        <v>6527</v>
      </c>
      <c r="J11" s="111" t="s">
        <v>6444</v>
      </c>
      <c r="K11" s="115"/>
      <c r="L11" s="115" t="s">
        <v>6522</v>
      </c>
      <c r="M11" s="115" t="b">
        <f>IFS($A11=FALSE,"", countif(VLOOKUP($B11,'FEBRUARY 2022'!C:C,1,FALSE),$B11)&gt;=1,TRUE,countif(VLOOKUP($B11,'FEBRUARY 2022'!C:C,1,FALSE),$B11)=0,FALSE)</f>
        <v>1</v>
      </c>
      <c r="N11" s="115" t="b">
        <f>IFS($A11=FALSE,"", countif(VLOOKUP($A11,'FEBRUARY 2022'!A:A,1,FALSE),$A11)&gt;=1,TRUE,countif(VLOOKUP($A11,'FEBRUARY 2022'!A:A,1,FALSE),$A11)=0,FALSE)</f>
        <v>1</v>
      </c>
      <c r="O11" s="111" t="str">
        <f t="shared" si="2"/>
        <v> </v>
      </c>
    </row>
    <row r="12" ht="15.75" customHeight="1">
      <c r="A12" s="110" t="str">
        <f t="shared" si="1"/>
        <v>1076644613</v>
      </c>
      <c r="B12" s="111">
        <v>10766.0</v>
      </c>
      <c r="C12" s="112">
        <v>0.3958333333333333</v>
      </c>
      <c r="D12" s="111" t="s">
        <v>676</v>
      </c>
      <c r="E12" s="113">
        <v>27154.0</v>
      </c>
      <c r="F12" s="114">
        <v>44613.0</v>
      </c>
      <c r="G12" s="111" t="s">
        <v>6523</v>
      </c>
      <c r="H12" s="111" t="s">
        <v>6520</v>
      </c>
      <c r="I12" s="111" t="s">
        <v>6524</v>
      </c>
      <c r="J12" s="111" t="s">
        <v>6381</v>
      </c>
      <c r="K12" s="115"/>
      <c r="L12" s="115" t="s">
        <v>6522</v>
      </c>
      <c r="M12" s="115" t="b">
        <f>IFS($A12=FALSE,"", countif(VLOOKUP($B12,'FEBRUARY 2022'!C:C,1,FALSE),$B12)&gt;=1,TRUE,countif(VLOOKUP($B12,'FEBRUARY 2022'!C:C,1,FALSE),$B12)=0,FALSE)</f>
        <v>1</v>
      </c>
      <c r="N12" s="115" t="b">
        <f>IFS($A12=FALSE,"", countif(VLOOKUP($A12,'FEBRUARY 2022'!A:A,1,FALSE),$A12)&gt;=1,TRUE,countif(VLOOKUP($A12,'FEBRUARY 2022'!A:A,1,FALSE),$A12)=0,FALSE)</f>
        <v>1</v>
      </c>
      <c r="O12" s="111" t="str">
        <f t="shared" si="2"/>
        <v> </v>
      </c>
    </row>
    <row r="13" ht="15.75" customHeight="1">
      <c r="A13" s="110" t="str">
        <f t="shared" si="1"/>
        <v>1720944613</v>
      </c>
      <c r="B13" s="111">
        <v>17209.0</v>
      </c>
      <c r="C13" s="112">
        <v>0.3958333333333333</v>
      </c>
      <c r="D13" s="111" t="s">
        <v>5290</v>
      </c>
      <c r="E13" s="113">
        <v>31086.0</v>
      </c>
      <c r="F13" s="114">
        <v>44613.0</v>
      </c>
      <c r="G13" s="111" t="s">
        <v>6523</v>
      </c>
      <c r="H13" s="111" t="s">
        <v>6520</v>
      </c>
      <c r="I13" s="111" t="s">
        <v>6521</v>
      </c>
      <c r="J13" s="111" t="s">
        <v>6407</v>
      </c>
      <c r="K13" s="115"/>
      <c r="L13" s="115" t="s">
        <v>6522</v>
      </c>
      <c r="M13" s="115" t="b">
        <f>IFS($A13=FALSE,"", countif(VLOOKUP($B13,'FEBRUARY 2022'!C:C,1,FALSE),$B13)&gt;=1,TRUE,countif(VLOOKUP($B13,'FEBRUARY 2022'!C:C,1,FALSE),$B13)=0,FALSE)</f>
        <v>1</v>
      </c>
      <c r="N13" s="115" t="b">
        <f>IFS($A13=FALSE,"", countif(VLOOKUP($A13,'FEBRUARY 2022'!A:A,1,FALSE),$A13)&gt;=1,TRUE,countif(VLOOKUP($A13,'FEBRUARY 2022'!A:A,1,FALSE),$A13)=0,FALSE)</f>
        <v>1</v>
      </c>
      <c r="O13" s="111" t="str">
        <f t="shared" si="2"/>
        <v> </v>
      </c>
    </row>
    <row r="14" ht="15.75" customHeight="1">
      <c r="A14" s="110" t="str">
        <f t="shared" si="1"/>
        <v>1323544613</v>
      </c>
      <c r="B14" s="111">
        <v>13235.0</v>
      </c>
      <c r="C14" s="112">
        <v>0.40625</v>
      </c>
      <c r="D14" s="111" t="s">
        <v>2076</v>
      </c>
      <c r="E14" s="113">
        <v>25452.0</v>
      </c>
      <c r="F14" s="114">
        <v>44613.0</v>
      </c>
      <c r="G14" s="111" t="s">
        <v>6519</v>
      </c>
      <c r="H14" s="111" t="s">
        <v>6520</v>
      </c>
      <c r="I14" s="111" t="s">
        <v>6524</v>
      </c>
      <c r="J14" s="111" t="s">
        <v>6372</v>
      </c>
      <c r="K14" s="115"/>
      <c r="L14" s="115" t="s">
        <v>6522</v>
      </c>
      <c r="M14" s="115" t="b">
        <f>IFS($A14=FALSE,"", countif(VLOOKUP($B14,'FEBRUARY 2022'!C:C,1,FALSE),$B14)&gt;=1,TRUE,countif(VLOOKUP($B14,'FEBRUARY 2022'!C:C,1,FALSE),$B14)=0,FALSE)</f>
        <v>1</v>
      </c>
      <c r="N14" s="115" t="b">
        <f>IFS($A14=FALSE,"", countif(VLOOKUP($A14,'FEBRUARY 2022'!A:A,1,FALSE),$A14)&gt;=1,TRUE,countif(VLOOKUP($A14,'FEBRUARY 2022'!A:A,1,FALSE),$A14)=0,FALSE)</f>
        <v>1</v>
      </c>
      <c r="O14" s="111" t="str">
        <f t="shared" si="2"/>
        <v> </v>
      </c>
    </row>
    <row r="15" ht="15.75" customHeight="1">
      <c r="A15" s="110" t="str">
        <f t="shared" si="1"/>
        <v>1597244613</v>
      </c>
      <c r="B15" s="111">
        <v>15972.0</v>
      </c>
      <c r="C15" s="112">
        <v>0.4166666666666667</v>
      </c>
      <c r="D15" s="111" t="s">
        <v>4311</v>
      </c>
      <c r="E15" s="113">
        <v>22825.0</v>
      </c>
      <c r="F15" s="114">
        <v>44613.0</v>
      </c>
      <c r="G15" s="111" t="s">
        <v>6519</v>
      </c>
      <c r="H15" s="111" t="s">
        <v>6520</v>
      </c>
      <c r="I15" s="111" t="s">
        <v>6524</v>
      </c>
      <c r="J15" s="111" t="s">
        <v>6427</v>
      </c>
      <c r="K15" s="115"/>
      <c r="L15" s="115" t="s">
        <v>6522</v>
      </c>
      <c r="M15" s="115" t="b">
        <f>IFS($A15=FALSE,"", countif(VLOOKUP($B15,'FEBRUARY 2022'!C:C,1,FALSE),$B15)&gt;=1,TRUE,countif(VLOOKUP($B15,'FEBRUARY 2022'!C:C,1,FALSE),$B15)=0,FALSE)</f>
        <v>1</v>
      </c>
      <c r="N15" s="115" t="b">
        <f>IFS($A15=FALSE,"", countif(VLOOKUP($A15,'FEBRUARY 2022'!A:A,1,FALSE),$A15)&gt;=1,TRUE,countif(VLOOKUP($A15,'FEBRUARY 2022'!A:A,1,FALSE),$A15)=0,FALSE)</f>
        <v>1</v>
      </c>
      <c r="O15" s="111" t="str">
        <f t="shared" si="2"/>
        <v> </v>
      </c>
    </row>
    <row r="16" ht="15.75" customHeight="1">
      <c r="A16" s="110" t="str">
        <f t="shared" si="1"/>
        <v>1033744613</v>
      </c>
      <c r="B16" s="111">
        <v>10337.0</v>
      </c>
      <c r="C16" s="112">
        <v>0.4166666666666667</v>
      </c>
      <c r="D16" s="111" t="s">
        <v>501</v>
      </c>
      <c r="E16" s="113">
        <v>28137.0</v>
      </c>
      <c r="F16" s="114">
        <v>44613.0</v>
      </c>
      <c r="G16" s="111" t="s">
        <v>6523</v>
      </c>
      <c r="H16" s="111" t="s">
        <v>6520</v>
      </c>
      <c r="I16" s="111" t="s">
        <v>6521</v>
      </c>
      <c r="J16" s="111" t="s">
        <v>6385</v>
      </c>
      <c r="K16" s="115"/>
      <c r="L16" s="115" t="s">
        <v>6522</v>
      </c>
      <c r="M16" s="115" t="b">
        <f>IFS($A16=FALSE,"", countif(VLOOKUP($B16,'FEBRUARY 2022'!C:C,1,FALSE),$B16)&gt;=1,TRUE,countif(VLOOKUP($B16,'FEBRUARY 2022'!C:C,1,FALSE),$B16)=0,FALSE)</f>
        <v>1</v>
      </c>
      <c r="N16" s="115" t="b">
        <f>IFS($A16=FALSE,"", countif(VLOOKUP($A16,'FEBRUARY 2022'!A:A,1,FALSE),$A16)&gt;=1,TRUE,countif(VLOOKUP($A16,'FEBRUARY 2022'!A:A,1,FALSE),$A16)=0,FALSE)</f>
        <v>1</v>
      </c>
      <c r="O16" s="111" t="str">
        <f t="shared" si="2"/>
        <v> </v>
      </c>
    </row>
    <row r="17" ht="15.75" customHeight="1">
      <c r="A17" s="110" t="str">
        <f t="shared" si="1"/>
        <v>1812844613</v>
      </c>
      <c r="B17" s="111">
        <v>18128.0</v>
      </c>
      <c r="C17" s="112">
        <v>0.4166666666666667</v>
      </c>
      <c r="D17" s="111" t="s">
        <v>6166</v>
      </c>
      <c r="E17" s="113">
        <v>12964.0</v>
      </c>
      <c r="F17" s="114">
        <v>44613.0</v>
      </c>
      <c r="G17" s="111" t="s">
        <v>6525</v>
      </c>
      <c r="H17" s="111" t="s">
        <v>6526</v>
      </c>
      <c r="I17" s="111" t="s">
        <v>6527</v>
      </c>
      <c r="J17" s="111" t="s">
        <v>6476</v>
      </c>
      <c r="K17" s="115"/>
      <c r="L17" s="115" t="s">
        <v>6522</v>
      </c>
      <c r="M17" s="115" t="b">
        <f>IFS($A17=FALSE,"", countif(VLOOKUP($B17,'FEBRUARY 2022'!C:C,1,FALSE),$B17)&gt;=1,TRUE,countif(VLOOKUP($B17,'FEBRUARY 2022'!C:C,1,FALSE),$B17)=0,FALSE)</f>
        <v>1</v>
      </c>
      <c r="N17" s="115" t="b">
        <f>IFS($A17=FALSE,"", countif(VLOOKUP($A17,'FEBRUARY 2022'!A:A,1,FALSE),$A17)&gt;=1,TRUE,countif(VLOOKUP($A17,'FEBRUARY 2022'!A:A,1,FALSE),$A17)=0,FALSE)</f>
        <v>1</v>
      </c>
      <c r="O17" s="111" t="str">
        <f t="shared" si="2"/>
        <v> </v>
      </c>
    </row>
    <row r="18" ht="15.75" customHeight="1">
      <c r="A18" s="110" t="str">
        <f t="shared" si="1"/>
        <v>1638844613</v>
      </c>
      <c r="B18" s="111">
        <v>16388.0</v>
      </c>
      <c r="C18" s="112">
        <v>0.4270833333333333</v>
      </c>
      <c r="D18" s="111" t="s">
        <v>4655</v>
      </c>
      <c r="E18" s="113">
        <v>15830.0</v>
      </c>
      <c r="F18" s="114">
        <v>44613.0</v>
      </c>
      <c r="G18" s="111" t="s">
        <v>6519</v>
      </c>
      <c r="H18" s="111" t="s">
        <v>6520</v>
      </c>
      <c r="I18" s="111" t="s">
        <v>6521</v>
      </c>
      <c r="J18" s="111" t="s">
        <v>6451</v>
      </c>
      <c r="K18" s="115"/>
      <c r="L18" s="115" t="s">
        <v>6522</v>
      </c>
      <c r="M18" s="115" t="b">
        <f>IFS($A18=FALSE,"", countif(VLOOKUP($B18,'FEBRUARY 2022'!C:C,1,FALSE),$B18)&gt;=1,TRUE,countif(VLOOKUP($B18,'FEBRUARY 2022'!C:C,1,FALSE),$B18)=0,FALSE)</f>
        <v>1</v>
      </c>
      <c r="N18" s="115" t="b">
        <f>IFS($A18=FALSE,"", countif(VLOOKUP($A18,'FEBRUARY 2022'!A:A,1,FALSE),$A18)&gt;=1,TRUE,countif(VLOOKUP($A18,'FEBRUARY 2022'!A:A,1,FALSE),$A18)=0,FALSE)</f>
        <v>1</v>
      </c>
      <c r="O18" s="111" t="str">
        <f t="shared" si="2"/>
        <v> </v>
      </c>
    </row>
    <row r="19" ht="15.75" customHeight="1">
      <c r="A19" s="110" t="str">
        <f t="shared" si="1"/>
        <v>1673944613</v>
      </c>
      <c r="B19" s="111">
        <v>16739.0</v>
      </c>
      <c r="C19" s="112">
        <v>0.4375</v>
      </c>
      <c r="D19" s="111" t="s">
        <v>4915</v>
      </c>
      <c r="E19" s="113">
        <v>16716.0</v>
      </c>
      <c r="F19" s="114">
        <v>44613.0</v>
      </c>
      <c r="G19" s="111" t="s">
        <v>6523</v>
      </c>
      <c r="H19" s="111" t="s">
        <v>6520</v>
      </c>
      <c r="I19" s="111" t="s">
        <v>6524</v>
      </c>
      <c r="J19" s="111" t="s">
        <v>6375</v>
      </c>
      <c r="K19" s="115"/>
      <c r="L19" s="115" t="s">
        <v>6522</v>
      </c>
      <c r="M19" s="115" t="b">
        <f>IFS($A19=FALSE,"", countif(VLOOKUP($B19,'FEBRUARY 2022'!C:C,1,FALSE),$B19)&gt;=1,TRUE,countif(VLOOKUP($B19,'FEBRUARY 2022'!C:C,1,FALSE),$B19)=0,FALSE)</f>
        <v>1</v>
      </c>
      <c r="N19" s="115" t="b">
        <f>IFS($A19=FALSE,"", countif(VLOOKUP($A19,'FEBRUARY 2022'!A:A,1,FALSE),$A19)&gt;=1,TRUE,countif(VLOOKUP($A19,'FEBRUARY 2022'!A:A,1,FALSE),$A19)=0,FALSE)</f>
        <v>1</v>
      </c>
      <c r="O19" s="111" t="str">
        <f t="shared" si="2"/>
        <v> </v>
      </c>
    </row>
    <row r="20" ht="15.75" customHeight="1">
      <c r="A20" s="110" t="str">
        <f t="shared" si="1"/>
        <v>1227544613</v>
      </c>
      <c r="B20" s="111">
        <v>12275.0</v>
      </c>
      <c r="C20" s="112">
        <v>0.4375</v>
      </c>
      <c r="D20" s="111" t="s">
        <v>1354</v>
      </c>
      <c r="E20" s="113">
        <v>14237.0</v>
      </c>
      <c r="F20" s="114">
        <v>44613.0</v>
      </c>
      <c r="G20" s="111" t="s">
        <v>6523</v>
      </c>
      <c r="H20" s="111" t="s">
        <v>6520</v>
      </c>
      <c r="I20" s="111" t="s">
        <v>6521</v>
      </c>
      <c r="J20" s="111" t="s">
        <v>6477</v>
      </c>
      <c r="K20" s="115"/>
      <c r="L20" s="115" t="s">
        <v>6522</v>
      </c>
      <c r="M20" s="115" t="b">
        <f>IFS($A20=FALSE,"", countif(VLOOKUP($B20,'FEBRUARY 2022'!C:C,1,FALSE),$B20)&gt;=1,TRUE,countif(VLOOKUP($B20,'FEBRUARY 2022'!C:C,1,FALSE),$B20)=0,FALSE)</f>
        <v>1</v>
      </c>
      <c r="N20" s="115" t="b">
        <f>IFS($A20=FALSE,"", countif(VLOOKUP($A20,'FEBRUARY 2022'!A:A,1,FALSE),$A20)&gt;=1,TRUE,countif(VLOOKUP($A20,'FEBRUARY 2022'!A:A,1,FALSE),$A20)=0,FALSE)</f>
        <v>1</v>
      </c>
      <c r="O20" s="111" t="str">
        <f t="shared" si="2"/>
        <v> </v>
      </c>
    </row>
    <row r="21" ht="15.75" customHeight="1">
      <c r="A21" s="110" t="str">
        <f t="shared" si="1"/>
        <v>1812544613</v>
      </c>
      <c r="B21" s="111">
        <v>18125.0</v>
      </c>
      <c r="C21" s="112">
        <v>0.4479166666666667</v>
      </c>
      <c r="D21" s="111" t="s">
        <v>6173</v>
      </c>
      <c r="E21" s="113">
        <v>29910.0</v>
      </c>
      <c r="F21" s="114">
        <v>44613.0</v>
      </c>
      <c r="G21" s="111" t="s">
        <v>6525</v>
      </c>
      <c r="H21" s="111" t="s">
        <v>6526</v>
      </c>
      <c r="I21" s="111" t="s">
        <v>6527</v>
      </c>
      <c r="J21" s="111" t="s">
        <v>6488</v>
      </c>
      <c r="K21" s="115"/>
      <c r="L21" s="115" t="s">
        <v>6522</v>
      </c>
      <c r="M21" s="115" t="b">
        <f>IFS($A21=FALSE,"", countif(VLOOKUP($B21,'FEBRUARY 2022'!C:C,1,FALSE),$B21)&gt;=1,TRUE,countif(VLOOKUP($B21,'FEBRUARY 2022'!C:C,1,FALSE),$B21)=0,FALSE)</f>
        <v>1</v>
      </c>
      <c r="N21" s="115" t="b">
        <f>IFS($A21=FALSE,"", countif(VLOOKUP($A21,'FEBRUARY 2022'!A:A,1,FALSE),$A21)&gt;=1,TRUE,countif(VLOOKUP($A21,'FEBRUARY 2022'!A:A,1,FALSE),$A21)=0,FALSE)</f>
        <v>1</v>
      </c>
      <c r="O21" s="111" t="str">
        <f t="shared" si="2"/>
        <v> </v>
      </c>
    </row>
    <row r="22" ht="15.75" customHeight="1">
      <c r="A22" s="110" t="str">
        <f t="shared" si="1"/>
        <v>1758144613</v>
      </c>
      <c r="B22" s="111">
        <v>17581.0</v>
      </c>
      <c r="C22" s="112">
        <v>0.4479166666666667</v>
      </c>
      <c r="D22" s="111" t="s">
        <v>5571</v>
      </c>
      <c r="E22" s="113">
        <v>29340.0</v>
      </c>
      <c r="F22" s="114">
        <v>44613.0</v>
      </c>
      <c r="G22" s="111" t="s">
        <v>6525</v>
      </c>
      <c r="H22" s="111" t="s">
        <v>6526</v>
      </c>
      <c r="I22" s="111" t="s">
        <v>6527</v>
      </c>
      <c r="J22" s="111" t="s">
        <v>6492</v>
      </c>
      <c r="K22" s="115"/>
      <c r="L22" s="115" t="s">
        <v>6522</v>
      </c>
      <c r="M22" s="115" t="b">
        <f>IFS($A22=FALSE,"", countif(VLOOKUP($B22,'FEBRUARY 2022'!C:C,1,FALSE),$B22)&gt;=1,TRUE,countif(VLOOKUP($B22,'FEBRUARY 2022'!C:C,1,FALSE),$B22)=0,FALSE)</f>
        <v>1</v>
      </c>
      <c r="N22" s="115" t="b">
        <f>IFS($A22=FALSE,"", countif(VLOOKUP($A22,'FEBRUARY 2022'!A:A,1,FALSE),$A22)&gt;=1,TRUE,countif(VLOOKUP($A22,'FEBRUARY 2022'!A:A,1,FALSE),$A22)=0,FALSE)</f>
        <v>1</v>
      </c>
      <c r="O22" s="111" t="str">
        <f t="shared" si="2"/>
        <v> </v>
      </c>
    </row>
    <row r="23" ht="15.75" customHeight="1">
      <c r="A23" s="110" t="str">
        <f t="shared" si="1"/>
        <v>1603544613</v>
      </c>
      <c r="B23" s="111">
        <v>16035.0</v>
      </c>
      <c r="C23" s="112">
        <v>0.4583333333333333</v>
      </c>
      <c r="D23" s="111" t="s">
        <v>4366</v>
      </c>
      <c r="E23" s="113">
        <v>19873.0</v>
      </c>
      <c r="F23" s="114">
        <v>44613.0</v>
      </c>
      <c r="G23" s="111" t="s">
        <v>6523</v>
      </c>
      <c r="H23" s="111" t="s">
        <v>6526</v>
      </c>
      <c r="I23" s="111" t="s">
        <v>6527</v>
      </c>
      <c r="J23" s="111" t="s">
        <v>6551</v>
      </c>
      <c r="K23" s="115"/>
      <c r="L23" s="115" t="s">
        <v>6522</v>
      </c>
      <c r="M23" s="115" t="b">
        <f>IFS($A23=FALSE,"", countif(VLOOKUP($B23,'FEBRUARY 2022'!C:C,1,FALSE),$B23)&gt;=1,TRUE,countif(VLOOKUP($B23,'FEBRUARY 2022'!C:C,1,FALSE),$B23)=0,FALSE)</f>
        <v>1</v>
      </c>
      <c r="N23" s="115" t="b">
        <f>IFS($A23=FALSE,"", countif(VLOOKUP($A23,'FEBRUARY 2022'!A:A,1,FALSE),$A23)&gt;=1,TRUE,countif(VLOOKUP($A23,'FEBRUARY 2022'!A:A,1,FALSE),$A23)=0,FALSE)</f>
        <v>1</v>
      </c>
      <c r="O23" s="111" t="str">
        <f t="shared" si="2"/>
        <v> </v>
      </c>
    </row>
    <row r="24" ht="15.75" customHeight="1">
      <c r="A24" s="110" t="str">
        <f t="shared" si="1"/>
        <v>1138944613</v>
      </c>
      <c r="B24" s="111">
        <v>11389.0</v>
      </c>
      <c r="C24" s="112">
        <v>0.46875</v>
      </c>
      <c r="D24" s="111" t="s">
        <v>932</v>
      </c>
      <c r="E24" s="113">
        <v>26165.0</v>
      </c>
      <c r="F24" s="114">
        <v>44613.0</v>
      </c>
      <c r="G24" s="111" t="s">
        <v>6519</v>
      </c>
      <c r="H24" s="111" t="s">
        <v>6520</v>
      </c>
      <c r="I24" s="111" t="s">
        <v>6521</v>
      </c>
      <c r="J24" s="111" t="s">
        <v>6427</v>
      </c>
      <c r="K24" s="115"/>
      <c r="L24" s="115" t="s">
        <v>6522</v>
      </c>
      <c r="M24" s="115" t="b">
        <f>IFS($A24=FALSE,"", countif(VLOOKUP($B24,'FEBRUARY 2022'!C:C,1,FALSE),$B24)&gt;=1,TRUE,countif(VLOOKUP($B24,'FEBRUARY 2022'!C:C,1,FALSE),$B24)=0,FALSE)</f>
        <v>1</v>
      </c>
      <c r="N24" s="115" t="b">
        <f>IFS($A24=FALSE,"", countif(VLOOKUP($A24,'FEBRUARY 2022'!A:A,1,FALSE),$A24)&gt;=1,TRUE,countif(VLOOKUP($A24,'FEBRUARY 2022'!A:A,1,FALSE),$A24)=0,FALSE)</f>
        <v>1</v>
      </c>
      <c r="O24" s="111" t="str">
        <f t="shared" si="2"/>
        <v> </v>
      </c>
    </row>
    <row r="25" ht="15.75" customHeight="1">
      <c r="A25" s="110" t="str">
        <f t="shared" si="1"/>
        <v>1613544613</v>
      </c>
      <c r="B25" s="111">
        <v>16135.0</v>
      </c>
      <c r="C25" s="112">
        <v>0.4791666666666667</v>
      </c>
      <c r="D25" s="111" t="s">
        <v>4454</v>
      </c>
      <c r="E25" s="113">
        <v>26455.0</v>
      </c>
      <c r="F25" s="114">
        <v>44613.0</v>
      </c>
      <c r="G25" s="111" t="s">
        <v>6523</v>
      </c>
      <c r="H25" s="111" t="s">
        <v>6526</v>
      </c>
      <c r="I25" s="111" t="s">
        <v>6527</v>
      </c>
      <c r="J25" s="111" t="s">
        <v>6379</v>
      </c>
      <c r="K25" s="115"/>
      <c r="L25" s="115" t="s">
        <v>6522</v>
      </c>
      <c r="M25" s="115" t="b">
        <f>IFS($A25=FALSE,"", countif(VLOOKUP($B25,'FEBRUARY 2022'!C:C,1,FALSE),$B25)&gt;=1,TRUE,countif(VLOOKUP($B25,'FEBRUARY 2022'!C:C,1,FALSE),$B25)=0,FALSE)</f>
        <v>1</v>
      </c>
      <c r="N25" s="115" t="b">
        <f>IFS($A25=FALSE,"", countif(VLOOKUP($A25,'FEBRUARY 2022'!A:A,1,FALSE),$A25)&gt;=1,TRUE,countif(VLOOKUP($A25,'FEBRUARY 2022'!A:A,1,FALSE),$A25)=0,FALSE)</f>
        <v>1</v>
      </c>
      <c r="O25" s="111" t="str">
        <f t="shared" si="2"/>
        <v> </v>
      </c>
    </row>
    <row r="26" ht="15.75" customHeight="1">
      <c r="A26" s="110" t="str">
        <f t="shared" si="1"/>
        <v>1425644613</v>
      </c>
      <c r="B26" s="111">
        <v>14256.0</v>
      </c>
      <c r="C26" s="112">
        <v>0.5416666666666666</v>
      </c>
      <c r="D26" s="111" t="s">
        <v>2857</v>
      </c>
      <c r="E26" s="113">
        <v>46433.0</v>
      </c>
      <c r="F26" s="114">
        <v>44613.0</v>
      </c>
      <c r="G26" s="111" t="s">
        <v>6525</v>
      </c>
      <c r="H26" s="111" t="s">
        <v>6526</v>
      </c>
      <c r="I26" s="111" t="s">
        <v>6527</v>
      </c>
      <c r="J26" s="111" t="s">
        <v>6427</v>
      </c>
      <c r="K26" s="115"/>
      <c r="L26" s="115" t="s">
        <v>6522</v>
      </c>
      <c r="M26" s="115" t="b">
        <f>IFS($A26=FALSE,"", countif(VLOOKUP($B26,'FEBRUARY 2022'!C:C,1,FALSE),$B26)&gt;=1,TRUE,countif(VLOOKUP($B26,'FEBRUARY 2022'!C:C,1,FALSE),$B26)=0,FALSE)</f>
        <v>1</v>
      </c>
      <c r="N26" s="115" t="b">
        <f>IFS($A26=FALSE,"", countif(VLOOKUP($A26,'FEBRUARY 2022'!A:A,1,FALSE),$A26)&gt;=1,TRUE,countif(VLOOKUP($A26,'FEBRUARY 2022'!A:A,1,FALSE),$A26)=0,FALSE)</f>
        <v>1</v>
      </c>
      <c r="O26" s="111" t="str">
        <f t="shared" si="2"/>
        <v> </v>
      </c>
    </row>
    <row r="27" ht="15.75" customHeight="1">
      <c r="A27" s="110" t="str">
        <f t="shared" si="1"/>
        <v>1815944613</v>
      </c>
      <c r="B27" s="111">
        <v>18159.0</v>
      </c>
      <c r="C27" s="112">
        <v>0.5416666666666666</v>
      </c>
      <c r="D27" s="111" t="s">
        <v>6190</v>
      </c>
      <c r="E27" s="113">
        <v>32054.0</v>
      </c>
      <c r="F27" s="114">
        <v>44613.0</v>
      </c>
      <c r="G27" s="111" t="s">
        <v>6525</v>
      </c>
      <c r="H27" s="111" t="s">
        <v>6526</v>
      </c>
      <c r="I27" s="111" t="s">
        <v>6527</v>
      </c>
      <c r="J27" s="111" t="s">
        <v>6379</v>
      </c>
      <c r="K27" s="115"/>
      <c r="L27" s="115" t="s">
        <v>6522</v>
      </c>
      <c r="M27" s="115" t="b">
        <f>IFS($A27=FALSE,"", countif(VLOOKUP($B27,'FEBRUARY 2022'!C:C,1,FALSE),$B27)&gt;=1,TRUE,countif(VLOOKUP($B27,'FEBRUARY 2022'!C:C,1,FALSE),$B27)=0,FALSE)</f>
        <v>1</v>
      </c>
      <c r="N27" s="115" t="b">
        <f>IFS($A27=FALSE,"", countif(VLOOKUP($A27,'FEBRUARY 2022'!A:A,1,FALSE),$A27)&gt;=1,TRUE,countif(VLOOKUP($A27,'FEBRUARY 2022'!A:A,1,FALSE),$A27)=0,FALSE)</f>
        <v>1</v>
      </c>
      <c r="O27" s="111" t="str">
        <f t="shared" si="2"/>
        <v> </v>
      </c>
    </row>
    <row r="28" ht="15.75" customHeight="1">
      <c r="A28" s="110" t="str">
        <f t="shared" si="1"/>
        <v>1388544613</v>
      </c>
      <c r="B28" s="111">
        <v>13885.0</v>
      </c>
      <c r="C28" s="112">
        <v>0.5416666666666666</v>
      </c>
      <c r="D28" s="111" t="s">
        <v>2579</v>
      </c>
      <c r="E28" s="113">
        <v>22542.0</v>
      </c>
      <c r="F28" s="114">
        <v>44613.0</v>
      </c>
      <c r="G28" s="111" t="s">
        <v>6519</v>
      </c>
      <c r="H28" s="111" t="s">
        <v>6520</v>
      </c>
      <c r="I28" s="111" t="s">
        <v>6521</v>
      </c>
      <c r="J28" s="111" t="s">
        <v>6379</v>
      </c>
      <c r="K28" s="115"/>
      <c r="L28" s="115" t="s">
        <v>6522</v>
      </c>
      <c r="M28" s="115" t="b">
        <f>IFS($A28=FALSE,"", countif(VLOOKUP($B28,'FEBRUARY 2022'!C:C,1,FALSE),$B28)&gt;=1,TRUE,countif(VLOOKUP($B28,'FEBRUARY 2022'!C:C,1,FALSE),$B28)=0,FALSE)</f>
        <v>1</v>
      </c>
      <c r="N28" s="115" t="b">
        <f>IFS($A28=FALSE,"", countif(VLOOKUP($A28,'FEBRUARY 2022'!A:A,1,FALSE),$A28)&gt;=1,TRUE,countif(VLOOKUP($A28,'FEBRUARY 2022'!A:A,1,FALSE),$A28)=0,FALSE)</f>
        <v>1</v>
      </c>
      <c r="O28" s="111" t="str">
        <f t="shared" si="2"/>
        <v> </v>
      </c>
    </row>
    <row r="29" ht="15.75" customHeight="1">
      <c r="A29" s="110" t="str">
        <f t="shared" si="1"/>
        <v>926544613</v>
      </c>
      <c r="B29" s="111">
        <v>9265.0</v>
      </c>
      <c r="C29" s="112">
        <v>0.5416666666666666</v>
      </c>
      <c r="D29" s="111" t="s">
        <v>118</v>
      </c>
      <c r="E29" s="113">
        <v>22971.0</v>
      </c>
      <c r="F29" s="114">
        <v>44613.0</v>
      </c>
      <c r="G29" s="111" t="s">
        <v>6523</v>
      </c>
      <c r="H29" s="111" t="s">
        <v>6520</v>
      </c>
      <c r="I29" s="111" t="s">
        <v>6521</v>
      </c>
      <c r="J29" s="111" t="s">
        <v>6476</v>
      </c>
      <c r="K29" s="115"/>
      <c r="L29" s="115" t="s">
        <v>6522</v>
      </c>
      <c r="M29" s="115" t="b">
        <f>IFS($A29=FALSE,"", countif(VLOOKUP($B29,'FEBRUARY 2022'!C:C,1,FALSE),$B29)&gt;=1,TRUE,countif(VLOOKUP($B29,'FEBRUARY 2022'!C:C,1,FALSE),$B29)=0,FALSE)</f>
        <v>1</v>
      </c>
      <c r="N29" s="115" t="b">
        <f>IFS($A29=FALSE,"", countif(VLOOKUP($A29,'FEBRUARY 2022'!A:A,1,FALSE),$A29)&gt;=1,TRUE,countif(VLOOKUP($A29,'FEBRUARY 2022'!A:A,1,FALSE),$A29)=0,FALSE)</f>
        <v>1</v>
      </c>
      <c r="O29" s="111" t="str">
        <f t="shared" si="2"/>
        <v> </v>
      </c>
    </row>
    <row r="30" ht="15.75" customHeight="1">
      <c r="A30" s="110" t="str">
        <f t="shared" si="1"/>
        <v>1763744613</v>
      </c>
      <c r="B30" s="111">
        <v>17637.0</v>
      </c>
      <c r="C30" s="112">
        <v>0.5625</v>
      </c>
      <c r="D30" s="111" t="s">
        <v>5775</v>
      </c>
      <c r="E30" s="113">
        <v>21661.0</v>
      </c>
      <c r="F30" s="114">
        <v>44613.0</v>
      </c>
      <c r="G30" s="111" t="s">
        <v>6519</v>
      </c>
      <c r="H30" s="111" t="s">
        <v>6520</v>
      </c>
      <c r="I30" s="111" t="s">
        <v>6524</v>
      </c>
      <c r="J30" s="111" t="s">
        <v>6408</v>
      </c>
      <c r="K30" s="115"/>
      <c r="L30" s="115" t="s">
        <v>6522</v>
      </c>
      <c r="M30" s="115" t="b">
        <f>IFS($A30=FALSE,"", countif(VLOOKUP($B30,'FEBRUARY 2022'!C:C,1,FALSE),$B30)&gt;=1,TRUE,countif(VLOOKUP($B30,'FEBRUARY 2022'!C:C,1,FALSE),$B30)=0,FALSE)</f>
        <v>1</v>
      </c>
      <c r="N30" s="115" t="b">
        <f>IFS($A30=FALSE,"", countif(VLOOKUP($A30,'FEBRUARY 2022'!A:A,1,FALSE),$A30)&gt;=1,TRUE,countif(VLOOKUP($A30,'FEBRUARY 2022'!A:A,1,FALSE),$A30)=0,FALSE)</f>
        <v>1</v>
      </c>
      <c r="O30" s="111" t="str">
        <f t="shared" si="2"/>
        <v> </v>
      </c>
    </row>
    <row r="31" ht="15.75" customHeight="1">
      <c r="A31" s="110" t="str">
        <f t="shared" si="1"/>
        <v>1490044613</v>
      </c>
      <c r="B31" s="111">
        <v>14900.0</v>
      </c>
      <c r="C31" s="112">
        <v>0.5729166666666666</v>
      </c>
      <c r="D31" s="111" t="s">
        <v>3391</v>
      </c>
      <c r="E31" s="113">
        <v>23223.0</v>
      </c>
      <c r="F31" s="114">
        <v>44613.0</v>
      </c>
      <c r="G31" s="111" t="s">
        <v>6519</v>
      </c>
      <c r="H31" s="111" t="s">
        <v>6526</v>
      </c>
      <c r="I31" s="111" t="s">
        <v>6527</v>
      </c>
      <c r="J31" s="111" t="s">
        <v>6406</v>
      </c>
      <c r="K31" s="115"/>
      <c r="L31" s="115" t="s">
        <v>6522</v>
      </c>
      <c r="M31" s="115" t="b">
        <f>IFS($A31=FALSE,"", countif(VLOOKUP($B31,'FEBRUARY 2022'!C:C,1,FALSE),$B31)&gt;=1,TRUE,countif(VLOOKUP($B31,'FEBRUARY 2022'!C:C,1,FALSE),$B31)=0,FALSE)</f>
        <v>1</v>
      </c>
      <c r="N31" s="115" t="b">
        <f>IFS($A31=FALSE,"", countif(VLOOKUP($A31,'FEBRUARY 2022'!A:A,1,FALSE),$A31)&gt;=1,TRUE,countif(VLOOKUP($A31,'FEBRUARY 2022'!A:A,1,FALSE),$A31)=0,FALSE)</f>
        <v>1</v>
      </c>
      <c r="O31" s="111" t="str">
        <f t="shared" si="2"/>
        <v> </v>
      </c>
    </row>
    <row r="32" ht="15.75" customHeight="1">
      <c r="A32" s="110" t="str">
        <f t="shared" si="1"/>
        <v>1255644613</v>
      </c>
      <c r="B32" s="111">
        <v>12556.0</v>
      </c>
      <c r="C32" s="112">
        <v>0.5729166666666666</v>
      </c>
      <c r="D32" s="111" t="s">
        <v>1533</v>
      </c>
      <c r="E32" s="113">
        <v>17986.0</v>
      </c>
      <c r="F32" s="114">
        <v>44613.0</v>
      </c>
      <c r="G32" s="111" t="s">
        <v>6523</v>
      </c>
      <c r="H32" s="111" t="s">
        <v>6520</v>
      </c>
      <c r="I32" s="111" t="s">
        <v>6521</v>
      </c>
      <c r="J32" s="111" t="s">
        <v>6385</v>
      </c>
      <c r="K32" s="115"/>
      <c r="L32" s="115" t="s">
        <v>6522</v>
      </c>
      <c r="M32" s="115" t="b">
        <f>IFS($A32=FALSE,"", countif(VLOOKUP($B32,'FEBRUARY 2022'!C:C,1,FALSE),$B32)&gt;=1,TRUE,countif(VLOOKUP($B32,'FEBRUARY 2022'!C:C,1,FALSE),$B32)=0,FALSE)</f>
        <v>1</v>
      </c>
      <c r="N32" s="115" t="b">
        <f>IFS($A32=FALSE,"", countif(VLOOKUP($A32,'FEBRUARY 2022'!A:A,1,FALSE),$A32)&gt;=1,TRUE,countif(VLOOKUP($A32,'FEBRUARY 2022'!A:A,1,FALSE),$A32)=0,FALSE)</f>
        <v>1</v>
      </c>
      <c r="O32" s="111" t="str">
        <f t="shared" si="2"/>
        <v> </v>
      </c>
    </row>
    <row r="33" ht="15.75" customHeight="1">
      <c r="A33" s="110" t="str">
        <f t="shared" si="1"/>
        <v>1062344613</v>
      </c>
      <c r="B33" s="111">
        <v>10623.0</v>
      </c>
      <c r="C33" s="112">
        <v>0.5833333333333334</v>
      </c>
      <c r="D33" s="111" t="s">
        <v>591</v>
      </c>
      <c r="E33" s="113">
        <v>21882.0</v>
      </c>
      <c r="F33" s="114">
        <v>44613.0</v>
      </c>
      <c r="G33" s="111" t="s">
        <v>6519</v>
      </c>
      <c r="H33" s="111" t="s">
        <v>6520</v>
      </c>
      <c r="I33" s="111" t="s">
        <v>6524</v>
      </c>
      <c r="J33" s="111" t="s">
        <v>6420</v>
      </c>
      <c r="K33" s="115"/>
      <c r="L33" s="115" t="s">
        <v>6522</v>
      </c>
      <c r="M33" s="115" t="b">
        <f>IFS($A33=FALSE,"", countif(VLOOKUP($B33,'FEBRUARY 2022'!C:C,1,FALSE),$B33)&gt;=1,TRUE,countif(VLOOKUP($B33,'FEBRUARY 2022'!C:C,1,FALSE),$B33)=0,FALSE)</f>
        <v>1</v>
      </c>
      <c r="N33" s="115" t="b">
        <f>IFS($A33=FALSE,"", countif(VLOOKUP($A33,'FEBRUARY 2022'!A:A,1,FALSE),$A33)&gt;=1,TRUE,countif(VLOOKUP($A33,'FEBRUARY 2022'!A:A,1,FALSE),$A33)=0,FALSE)</f>
        <v>1</v>
      </c>
      <c r="O33" s="111" t="str">
        <f t="shared" si="2"/>
        <v> </v>
      </c>
    </row>
    <row r="34" ht="15.75" customHeight="1">
      <c r="A34" s="110" t="str">
        <f t="shared" si="1"/>
        <v>1812744613</v>
      </c>
      <c r="B34" s="111">
        <v>18127.0</v>
      </c>
      <c r="C34" s="112">
        <v>0.59375</v>
      </c>
      <c r="D34" s="111" t="s">
        <v>6552</v>
      </c>
      <c r="E34" s="113">
        <v>31549.0</v>
      </c>
      <c r="F34" s="114">
        <v>44613.0</v>
      </c>
      <c r="G34" s="111" t="s">
        <v>6525</v>
      </c>
      <c r="H34" s="111" t="s">
        <v>6526</v>
      </c>
      <c r="I34" s="111" t="s">
        <v>6527</v>
      </c>
      <c r="J34" s="111" t="s">
        <v>6444</v>
      </c>
      <c r="K34" s="115"/>
      <c r="L34" s="115" t="s">
        <v>6522</v>
      </c>
      <c r="M34" s="115" t="b">
        <f>IFS($A34=FALSE,"", countif(VLOOKUP($B34,'FEBRUARY 2022'!C:C,1,FALSE),$B34)&gt;=1,TRUE,countif(VLOOKUP($B34,'FEBRUARY 2022'!C:C,1,FALSE),$B34)=0,FALSE)</f>
        <v>1</v>
      </c>
      <c r="N34" s="115" t="b">
        <f>IFS($A34=FALSE,"", countif(VLOOKUP($A34,'FEBRUARY 2022'!A:A,1,FALSE),$A34)&gt;=1,TRUE,countif(VLOOKUP($A34,'FEBRUARY 2022'!A:A,1,FALSE),$A34)=0,FALSE)</f>
        <v>1</v>
      </c>
      <c r="O34" s="111" t="str">
        <f t="shared" si="2"/>
        <v> </v>
      </c>
    </row>
    <row r="35" ht="15.75" customHeight="1">
      <c r="A35" s="110" t="str">
        <f t="shared" si="1"/>
        <v>1004744613</v>
      </c>
      <c r="B35" s="111">
        <v>10047.0</v>
      </c>
      <c r="C35" s="112">
        <v>0.59375</v>
      </c>
      <c r="D35" s="111" t="s">
        <v>387</v>
      </c>
      <c r="E35" s="113">
        <v>24501.0</v>
      </c>
      <c r="F35" s="114">
        <v>44613.0</v>
      </c>
      <c r="G35" s="111" t="s">
        <v>6519</v>
      </c>
      <c r="H35" s="111" t="s">
        <v>6520</v>
      </c>
      <c r="I35" s="111" t="s">
        <v>6524</v>
      </c>
      <c r="J35" s="111" t="s">
        <v>6427</v>
      </c>
      <c r="K35" s="115"/>
      <c r="L35" s="115" t="s">
        <v>6522</v>
      </c>
      <c r="M35" s="115" t="b">
        <f>IFS($A35=FALSE,"", countif(VLOOKUP($B35,'FEBRUARY 2022'!C:C,1,FALSE),$B35)&gt;=1,TRUE,countif(VLOOKUP($B35,'FEBRUARY 2022'!C:C,1,FALSE),$B35)=0,FALSE)</f>
        <v>1</v>
      </c>
      <c r="N35" s="115" t="b">
        <f>IFS($A35=FALSE,"", countif(VLOOKUP($A35,'FEBRUARY 2022'!A:A,1,FALSE),$A35)&gt;=1,TRUE,countif(VLOOKUP($A35,'FEBRUARY 2022'!A:A,1,FALSE),$A35)=0,FALSE)</f>
        <v>1</v>
      </c>
      <c r="O35" s="111" t="str">
        <f t="shared" si="2"/>
        <v> </v>
      </c>
    </row>
    <row r="36" ht="15.75" customHeight="1">
      <c r="A36" s="110" t="str">
        <f t="shared" si="1"/>
        <v>1418544613</v>
      </c>
      <c r="B36" s="111">
        <v>14185.0</v>
      </c>
      <c r="C36" s="112">
        <v>0.59375</v>
      </c>
      <c r="D36" s="111" t="s">
        <v>2804</v>
      </c>
      <c r="E36" s="113">
        <v>46261.0</v>
      </c>
      <c r="F36" s="114">
        <v>44613.0</v>
      </c>
      <c r="G36" s="111" t="s">
        <v>6523</v>
      </c>
      <c r="H36" s="111" t="s">
        <v>6526</v>
      </c>
      <c r="I36" s="111" t="s">
        <v>6550</v>
      </c>
      <c r="J36" s="111" t="s">
        <v>6427</v>
      </c>
      <c r="K36" s="115"/>
      <c r="L36" s="115" t="s">
        <v>6522</v>
      </c>
      <c r="M36" s="115" t="b">
        <f>IFS($A36=FALSE,"", countif(VLOOKUP($B36,'FEBRUARY 2022'!C:C,1,FALSE),$B36)&gt;=1,TRUE,countif(VLOOKUP($B36,'FEBRUARY 2022'!C:C,1,FALSE),$B36)=0,FALSE)</f>
        <v>1</v>
      </c>
      <c r="N36" s="115" t="b">
        <f>IFS($A36=FALSE,"", countif(VLOOKUP($A36,'FEBRUARY 2022'!A:A,1,FALSE),$A36)&gt;=1,TRUE,countif(VLOOKUP($A36,'FEBRUARY 2022'!A:A,1,FALSE),$A36)=0,FALSE)</f>
        <v>1</v>
      </c>
      <c r="O36" s="111" t="str">
        <f t="shared" si="2"/>
        <v> </v>
      </c>
    </row>
    <row r="37" ht="15.75" customHeight="1">
      <c r="A37" s="110" t="str">
        <f t="shared" si="1"/>
        <v>1817844613</v>
      </c>
      <c r="B37" s="111">
        <v>18178.0</v>
      </c>
      <c r="C37" s="112">
        <v>0.59375</v>
      </c>
      <c r="D37" s="111" t="s">
        <v>6175</v>
      </c>
      <c r="E37" s="113">
        <v>30404.0</v>
      </c>
      <c r="F37" s="114">
        <v>44613.0</v>
      </c>
      <c r="G37" s="111" t="s">
        <v>6525</v>
      </c>
      <c r="H37" s="111" t="s">
        <v>6526</v>
      </c>
      <c r="I37" s="111" t="s">
        <v>6527</v>
      </c>
      <c r="J37" s="111" t="s">
        <v>6407</v>
      </c>
      <c r="K37" s="115"/>
      <c r="L37" s="115" t="s">
        <v>6522</v>
      </c>
      <c r="M37" s="115" t="b">
        <f>IFS($A37=FALSE,"", countif(VLOOKUP($B37,'FEBRUARY 2022'!C:C,1,FALSE),$B37)&gt;=1,TRUE,countif(VLOOKUP($B37,'FEBRUARY 2022'!C:C,1,FALSE),$B37)=0,FALSE)</f>
        <v>1</v>
      </c>
      <c r="N37" s="115" t="b">
        <f>IFS($A37=FALSE,"", countif(VLOOKUP($A37,'FEBRUARY 2022'!A:A,1,FALSE),$A37)&gt;=1,TRUE,countif(VLOOKUP($A37,'FEBRUARY 2022'!A:A,1,FALSE),$A37)=0,FALSE)</f>
        <v>1</v>
      </c>
      <c r="O37" s="111" t="str">
        <f t="shared" si="2"/>
        <v> </v>
      </c>
    </row>
    <row r="38" ht="15.75" customHeight="1">
      <c r="A38" s="110" t="str">
        <f t="shared" si="1"/>
        <v>936144613</v>
      </c>
      <c r="B38" s="111">
        <v>9361.0</v>
      </c>
      <c r="C38" s="112">
        <v>0.6041666666666666</v>
      </c>
      <c r="D38" s="111" t="s">
        <v>142</v>
      </c>
      <c r="E38" s="113">
        <v>28389.0</v>
      </c>
      <c r="F38" s="114">
        <v>44613.0</v>
      </c>
      <c r="G38" s="111" t="s">
        <v>6519</v>
      </c>
      <c r="H38" s="111" t="s">
        <v>6520</v>
      </c>
      <c r="I38" s="111" t="s">
        <v>6521</v>
      </c>
      <c r="J38" s="111" t="s">
        <v>6381</v>
      </c>
      <c r="K38" s="115"/>
      <c r="L38" s="115" t="s">
        <v>6522</v>
      </c>
      <c r="M38" s="115" t="b">
        <f>IFS($A38=FALSE,"", countif(VLOOKUP($B38,'FEBRUARY 2022'!C:C,1,FALSE),$B38)&gt;=1,TRUE,countif(VLOOKUP($B38,'FEBRUARY 2022'!C:C,1,FALSE),$B38)=0,FALSE)</f>
        <v>1</v>
      </c>
      <c r="N38" s="115" t="b">
        <f>IFS($A38=FALSE,"", countif(VLOOKUP($A38,'FEBRUARY 2022'!A:A,1,FALSE),$A38)&gt;=1,TRUE,countif(VLOOKUP($A38,'FEBRUARY 2022'!A:A,1,FALSE),$A38)=0,FALSE)</f>
        <v>1</v>
      </c>
      <c r="O38" s="111" t="str">
        <f t="shared" si="2"/>
        <v> </v>
      </c>
    </row>
    <row r="39" ht="15.75" customHeight="1">
      <c r="A39" s="110" t="str">
        <f t="shared" si="1"/>
        <v>1591044613</v>
      </c>
      <c r="B39" s="111">
        <v>15910.0</v>
      </c>
      <c r="C39" s="112">
        <v>0.625</v>
      </c>
      <c r="D39" s="111" t="s">
        <v>4258</v>
      </c>
      <c r="E39" s="113">
        <v>23715.0</v>
      </c>
      <c r="F39" s="114">
        <v>44613.0</v>
      </c>
      <c r="G39" s="111" t="s">
        <v>6523</v>
      </c>
      <c r="H39" s="111" t="s">
        <v>6520</v>
      </c>
      <c r="I39" s="111" t="s">
        <v>6521</v>
      </c>
      <c r="J39" s="111" t="s">
        <v>6489</v>
      </c>
      <c r="K39" s="115"/>
      <c r="L39" s="115" t="s">
        <v>6522</v>
      </c>
      <c r="M39" s="115" t="b">
        <f>IFS($A39=FALSE,"", countif(VLOOKUP($B39,'FEBRUARY 2022'!C:C,1,FALSE),$B39)&gt;=1,TRUE,countif(VLOOKUP($B39,'FEBRUARY 2022'!C:C,1,FALSE),$B39)=0,FALSE)</f>
        <v>1</v>
      </c>
      <c r="N39" s="115" t="b">
        <f>IFS($A39=FALSE,"", countif(VLOOKUP($A39,'FEBRUARY 2022'!A:A,1,FALSE),$A39)&gt;=1,TRUE,countif(VLOOKUP($A39,'FEBRUARY 2022'!A:A,1,FALSE),$A39)=0,FALSE)</f>
        <v>1</v>
      </c>
      <c r="O39" s="111" t="str">
        <f t="shared" si="2"/>
        <v> </v>
      </c>
    </row>
    <row r="40" ht="15.75" customHeight="1">
      <c r="A40" s="110" t="str">
        <f t="shared" si="1"/>
        <v>924244613</v>
      </c>
      <c r="B40" s="111">
        <v>9242.0</v>
      </c>
      <c r="C40" s="112">
        <v>0.6458333333333334</v>
      </c>
      <c r="D40" s="111" t="s">
        <v>99</v>
      </c>
      <c r="E40" s="113">
        <v>20485.0</v>
      </c>
      <c r="F40" s="114">
        <v>44613.0</v>
      </c>
      <c r="G40" s="111" t="s">
        <v>6523</v>
      </c>
      <c r="H40" s="111" t="s">
        <v>6526</v>
      </c>
      <c r="I40" s="111" t="s">
        <v>6527</v>
      </c>
      <c r="J40" s="111" t="s">
        <v>6464</v>
      </c>
      <c r="K40" s="115"/>
      <c r="L40" s="115" t="s">
        <v>6522</v>
      </c>
      <c r="M40" s="115" t="b">
        <f>IFS($A40=FALSE,"", countif(VLOOKUP($B40,'FEBRUARY 2022'!C:C,1,FALSE),$B40)&gt;=1,TRUE,countif(VLOOKUP($B40,'FEBRUARY 2022'!C:C,1,FALSE),$B40)=0,FALSE)</f>
        <v>1</v>
      </c>
      <c r="N40" s="115" t="b">
        <f>IFS($A40=FALSE,"", countif(VLOOKUP($A40,'FEBRUARY 2022'!A:A,1,FALSE),$A40)&gt;=1,TRUE,countif(VLOOKUP($A40,'FEBRUARY 2022'!A:A,1,FALSE),$A40)=0,FALSE)</f>
        <v>1</v>
      </c>
      <c r="O40" s="111" t="str">
        <f t="shared" si="2"/>
        <v> </v>
      </c>
    </row>
    <row r="41" ht="15.75" customHeight="1">
      <c r="A41" s="110" t="str">
        <f t="shared" si="1"/>
        <v>1418444613</v>
      </c>
      <c r="B41" s="111">
        <v>14184.0</v>
      </c>
      <c r="C41" s="112">
        <v>0.6458333333333334</v>
      </c>
      <c r="D41" s="111" t="s">
        <v>2803</v>
      </c>
      <c r="E41" s="113">
        <v>21084.0</v>
      </c>
      <c r="F41" s="114">
        <v>44613.0</v>
      </c>
      <c r="G41" s="111" t="s">
        <v>6519</v>
      </c>
      <c r="H41" s="111" t="s">
        <v>6520</v>
      </c>
      <c r="I41" s="111" t="s">
        <v>6524</v>
      </c>
      <c r="J41" s="111" t="s">
        <v>6476</v>
      </c>
      <c r="K41" s="115"/>
      <c r="L41" s="115" t="s">
        <v>6522</v>
      </c>
      <c r="M41" s="115" t="b">
        <f>IFS($A41=FALSE,"", countif(VLOOKUP($B41,'FEBRUARY 2022'!C:C,1,FALSE),$B41)&gt;=1,TRUE,countif(VLOOKUP($B41,'FEBRUARY 2022'!C:C,1,FALSE),$B41)=0,FALSE)</f>
        <v>1</v>
      </c>
      <c r="N41" s="115" t="b">
        <f>IFS($A41=FALSE,"", countif(VLOOKUP($A41,'FEBRUARY 2022'!A:A,1,FALSE),$A41)&gt;=1,TRUE,countif(VLOOKUP($A41,'FEBRUARY 2022'!A:A,1,FALSE),$A41)=0,FALSE)</f>
        <v>1</v>
      </c>
      <c r="O41" s="111" t="str">
        <f t="shared" si="2"/>
        <v> </v>
      </c>
    </row>
    <row r="42" ht="15.75" customHeight="1">
      <c r="A42" s="110" t="str">
        <f t="shared" si="1"/>
        <v>1169044613</v>
      </c>
      <c r="B42" s="111">
        <v>11690.0</v>
      </c>
      <c r="C42" s="112">
        <v>0.6458333333333334</v>
      </c>
      <c r="D42" s="111" t="s">
        <v>1060</v>
      </c>
      <c r="E42" s="113">
        <v>16779.0</v>
      </c>
      <c r="F42" s="114">
        <v>44613.0</v>
      </c>
      <c r="G42" s="111" t="s">
        <v>6523</v>
      </c>
      <c r="H42" s="111" t="s">
        <v>6526</v>
      </c>
      <c r="I42" s="111" t="s">
        <v>6550</v>
      </c>
      <c r="J42" s="111" t="s">
        <v>6427</v>
      </c>
      <c r="K42" s="115"/>
      <c r="L42" s="115" t="s">
        <v>6522</v>
      </c>
      <c r="M42" s="115" t="b">
        <f>IFS($A42=FALSE,"", countif(VLOOKUP($B42,'FEBRUARY 2022'!C:C,1,FALSE),$B42)&gt;=1,TRUE,countif(VLOOKUP($B42,'FEBRUARY 2022'!C:C,1,FALSE),$B42)=0,FALSE)</f>
        <v>1</v>
      </c>
      <c r="N42" s="115" t="b">
        <f>IFS($A42=FALSE,"", countif(VLOOKUP($A42,'FEBRUARY 2022'!A:A,1,FALSE),$A42)&gt;=1,TRUE,countif(VLOOKUP($A42,'FEBRUARY 2022'!A:A,1,FALSE),$A42)=0,FALSE)</f>
        <v>1</v>
      </c>
      <c r="O42" s="111" t="str">
        <f t="shared" si="2"/>
        <v> </v>
      </c>
    </row>
    <row r="43" ht="15.75" hidden="1" customHeight="1">
      <c r="A43" s="110" t="str">
        <f t="shared" si="1"/>
        <v>1557044614</v>
      </c>
      <c r="B43" s="111">
        <v>15570.0</v>
      </c>
      <c r="C43" s="112">
        <v>0.3333333333333333</v>
      </c>
      <c r="D43" s="111" t="s">
        <v>3948</v>
      </c>
      <c r="E43" s="113">
        <v>19023.0</v>
      </c>
      <c r="F43" s="114">
        <v>44614.0</v>
      </c>
      <c r="G43" s="111" t="s">
        <v>6523</v>
      </c>
      <c r="H43" s="111" t="s">
        <v>6526</v>
      </c>
      <c r="I43" s="111" t="s">
        <v>6550</v>
      </c>
      <c r="J43" s="111" t="s">
        <v>6427</v>
      </c>
      <c r="K43" s="115"/>
      <c r="L43" s="115" t="s">
        <v>6522</v>
      </c>
      <c r="M43" s="115" t="b">
        <f>IFS($A43=FALSE,"", countif(VLOOKUP($B43,'FEBRUARY 2022'!C:C,1,FALSE),$B43)&gt;=1,TRUE,countif(VLOOKUP($B43,'FEBRUARY 2022'!C:C,1,FALSE),$B43)=0,FALSE)</f>
        <v>1</v>
      </c>
      <c r="N43" s="115" t="b">
        <f>IFS($A43=FALSE,"", countif(VLOOKUP($A43,'FEBRUARY 2022'!A:A,1,FALSE),$A43)&gt;=1,TRUE,countif(VLOOKUP($A43,'FEBRUARY 2022'!A:A,1,FALSE),$A43)=0,FALSE)</f>
        <v>1</v>
      </c>
      <c r="O43" s="111" t="str">
        <f t="shared" si="2"/>
        <v> </v>
      </c>
    </row>
    <row r="44" ht="15.75" hidden="1" customHeight="1">
      <c r="A44" s="110" t="str">
        <f t="shared" si="1"/>
        <v>1135744614</v>
      </c>
      <c r="B44" s="111">
        <v>11357.0</v>
      </c>
      <c r="C44" s="112">
        <v>0.3333333333333333</v>
      </c>
      <c r="D44" s="111" t="s">
        <v>916</v>
      </c>
      <c r="E44" s="113">
        <v>14592.0</v>
      </c>
      <c r="F44" s="114">
        <v>44614.0</v>
      </c>
      <c r="G44" s="111" t="s">
        <v>6519</v>
      </c>
      <c r="H44" s="111" t="s">
        <v>6520</v>
      </c>
      <c r="I44" s="111" t="s">
        <v>6521</v>
      </c>
      <c r="J44" s="111" t="s">
        <v>6427</v>
      </c>
      <c r="K44" s="115"/>
      <c r="L44" s="115" t="s">
        <v>6522</v>
      </c>
      <c r="M44" s="115" t="b">
        <f>IFS($A44=FALSE,"", countif(VLOOKUP($B44,'FEBRUARY 2022'!C:C,1,FALSE),$B44)&gt;=1,TRUE,countif(VLOOKUP($B44,'FEBRUARY 2022'!C:C,1,FALSE),$B44)=0,FALSE)</f>
        <v>1</v>
      </c>
      <c r="N44" s="115" t="b">
        <f>IFS($A44=FALSE,"", countif(VLOOKUP($A44,'FEBRUARY 2022'!A:A,1,FALSE),$A44)&gt;=1,TRUE,countif(VLOOKUP($A44,'FEBRUARY 2022'!A:A,1,FALSE),$A44)=0,FALSE)</f>
        <v>1</v>
      </c>
      <c r="O44" s="111" t="str">
        <f t="shared" si="2"/>
        <v> </v>
      </c>
    </row>
    <row r="45" ht="15.75" hidden="1" customHeight="1">
      <c r="A45" s="110" t="str">
        <f t="shared" si="1"/>
        <v>1816744614</v>
      </c>
      <c r="B45" s="111">
        <v>18167.0</v>
      </c>
      <c r="C45" s="112">
        <v>0.34375</v>
      </c>
      <c r="D45" s="111" t="s">
        <v>6213</v>
      </c>
      <c r="E45" s="113">
        <v>24539.0</v>
      </c>
      <c r="F45" s="114">
        <v>44614.0</v>
      </c>
      <c r="G45" s="111" t="s">
        <v>6525</v>
      </c>
      <c r="H45" s="111" t="s">
        <v>6526</v>
      </c>
      <c r="I45" s="111" t="s">
        <v>6527</v>
      </c>
      <c r="J45" s="111" t="s">
        <v>6407</v>
      </c>
      <c r="K45" s="115"/>
      <c r="L45" s="115" t="s">
        <v>6522</v>
      </c>
      <c r="M45" s="115" t="b">
        <f>IFS($A45=FALSE,"", countif(VLOOKUP($B45,'FEBRUARY 2022'!C:C,1,FALSE),$B45)&gt;=1,TRUE,countif(VLOOKUP($B45,'FEBRUARY 2022'!C:C,1,FALSE),$B45)=0,FALSE)</f>
        <v>1</v>
      </c>
      <c r="N45" s="115" t="b">
        <f>IFS($A45=FALSE,"", countif(VLOOKUP($A45,'FEBRUARY 2022'!A:A,1,FALSE),$A45)&gt;=1,TRUE,countif(VLOOKUP($A45,'FEBRUARY 2022'!A:A,1,FALSE),$A45)=0,FALSE)</f>
        <v>1</v>
      </c>
      <c r="O45" s="111" t="str">
        <f t="shared" si="2"/>
        <v> </v>
      </c>
    </row>
    <row r="46" ht="15.75" hidden="1" customHeight="1">
      <c r="A46" s="110" t="str">
        <f t="shared" si="1"/>
        <v>1561144614</v>
      </c>
      <c r="B46" s="111">
        <v>15611.0</v>
      </c>
      <c r="C46" s="112">
        <v>0.3541666666666667</v>
      </c>
      <c r="D46" s="111" t="s">
        <v>3985</v>
      </c>
      <c r="E46" s="113">
        <v>21765.0</v>
      </c>
      <c r="F46" s="114">
        <v>44614.0</v>
      </c>
      <c r="G46" s="111" t="s">
        <v>6523</v>
      </c>
      <c r="H46" s="111" t="s">
        <v>6520</v>
      </c>
      <c r="I46" s="111" t="s">
        <v>6524</v>
      </c>
      <c r="J46" s="111" t="s">
        <v>6477</v>
      </c>
      <c r="K46" s="115"/>
      <c r="L46" s="115" t="s">
        <v>6522</v>
      </c>
      <c r="M46" s="115" t="b">
        <f>IFS($A46=FALSE,"", countif(VLOOKUP($B46,'FEBRUARY 2022'!C:C,1,FALSE),$B46)&gt;=1,TRUE,countif(VLOOKUP($B46,'FEBRUARY 2022'!C:C,1,FALSE),$B46)=0,FALSE)</f>
        <v>1</v>
      </c>
      <c r="N46" s="115" t="b">
        <f>IFS($A46=FALSE,"", countif(VLOOKUP($A46,'FEBRUARY 2022'!A:A,1,FALSE),$A46)&gt;=1,TRUE,countif(VLOOKUP($A46,'FEBRUARY 2022'!A:A,1,FALSE),$A46)=0,FALSE)</f>
        <v>1</v>
      </c>
      <c r="O46" s="111" t="str">
        <f t="shared" si="2"/>
        <v> </v>
      </c>
    </row>
    <row r="47" ht="15.75" hidden="1" customHeight="1">
      <c r="A47" s="110" t="str">
        <f t="shared" si="1"/>
        <v>1383044614</v>
      </c>
      <c r="B47" s="111">
        <v>13830.0</v>
      </c>
      <c r="C47" s="112">
        <v>0.3541666666666667</v>
      </c>
      <c r="D47" s="111" t="s">
        <v>2538</v>
      </c>
      <c r="E47" s="113">
        <v>29294.0</v>
      </c>
      <c r="F47" s="114">
        <v>44614.0</v>
      </c>
      <c r="G47" s="111" t="s">
        <v>6519</v>
      </c>
      <c r="H47" s="111" t="s">
        <v>6520</v>
      </c>
      <c r="I47" s="111" t="s">
        <v>6521</v>
      </c>
      <c r="J47" s="111" t="s">
        <v>6427</v>
      </c>
      <c r="K47" s="115"/>
      <c r="L47" s="115" t="s">
        <v>6522</v>
      </c>
      <c r="M47" s="115" t="b">
        <f>IFS($A47=FALSE,"", countif(VLOOKUP($B47,'FEBRUARY 2022'!C:C,1,FALSE),$B47)&gt;=1,TRUE,countif(VLOOKUP($B47,'FEBRUARY 2022'!C:C,1,FALSE),$B47)=0,FALSE)</f>
        <v>1</v>
      </c>
      <c r="N47" s="115" t="b">
        <f>IFS($A47=FALSE,"", countif(VLOOKUP($A47,'FEBRUARY 2022'!A:A,1,FALSE),$A47)&gt;=1,TRUE,countif(VLOOKUP($A47,'FEBRUARY 2022'!A:A,1,FALSE),$A47)=0,FALSE)</f>
        <v>1</v>
      </c>
      <c r="O47" s="111" t="str">
        <f t="shared" si="2"/>
        <v> </v>
      </c>
    </row>
    <row r="48" ht="15.75" hidden="1" customHeight="1">
      <c r="A48" s="110" t="str">
        <f t="shared" si="1"/>
        <v>1120744614</v>
      </c>
      <c r="B48" s="111">
        <v>11207.0</v>
      </c>
      <c r="C48" s="112">
        <v>0.3854166666666667</v>
      </c>
      <c r="D48" s="111" t="s">
        <v>5830</v>
      </c>
      <c r="E48" s="113">
        <v>46264.0</v>
      </c>
      <c r="F48" s="114">
        <v>44614.0</v>
      </c>
      <c r="G48" s="111" t="s">
        <v>6523</v>
      </c>
      <c r="H48" s="111" t="s">
        <v>6520</v>
      </c>
      <c r="I48" s="111" t="s">
        <v>6524</v>
      </c>
      <c r="J48" s="111" t="s">
        <v>6427</v>
      </c>
      <c r="K48" s="115"/>
      <c r="L48" s="115" t="s">
        <v>6522</v>
      </c>
      <c r="M48" s="115" t="b">
        <f>IFS($A48=FALSE,"", countif(VLOOKUP($B48,'FEBRUARY 2022'!C:C,1,FALSE),$B48)&gt;=1,TRUE,countif(VLOOKUP($B48,'FEBRUARY 2022'!C:C,1,FALSE),$B48)=0,FALSE)</f>
        <v>1</v>
      </c>
      <c r="N48" s="115" t="b">
        <f>IFS($A48=FALSE,"", countif(VLOOKUP($A48,'FEBRUARY 2022'!A:A,1,FALSE),$A48)&gt;=1,TRUE,countif(VLOOKUP($A48,'FEBRUARY 2022'!A:A,1,FALSE),$A48)=0,FALSE)</f>
        <v>1</v>
      </c>
      <c r="O48" s="111" t="str">
        <f t="shared" si="2"/>
        <v> </v>
      </c>
    </row>
    <row r="49" ht="15.75" hidden="1" customHeight="1">
      <c r="A49" s="110" t="str">
        <f t="shared" si="1"/>
        <v>1816044614</v>
      </c>
      <c r="B49" s="111">
        <v>18160.0</v>
      </c>
      <c r="C49" s="112">
        <v>0.3958333333333333</v>
      </c>
      <c r="D49" s="111" t="s">
        <v>6203</v>
      </c>
      <c r="E49" s="113">
        <v>24722.0</v>
      </c>
      <c r="F49" s="114">
        <v>44614.0</v>
      </c>
      <c r="G49" s="111" t="s">
        <v>6525</v>
      </c>
      <c r="H49" s="111" t="s">
        <v>6526</v>
      </c>
      <c r="I49" s="111" t="s">
        <v>6527</v>
      </c>
      <c r="J49" s="111" t="s">
        <v>6420</v>
      </c>
      <c r="K49" s="115"/>
      <c r="L49" s="115" t="s">
        <v>6522</v>
      </c>
      <c r="M49" s="115" t="b">
        <f>IFS($A49=FALSE,"", countif(VLOOKUP($B49,'FEBRUARY 2022'!C:C,1,FALSE),$B49)&gt;=1,TRUE,countif(VLOOKUP($B49,'FEBRUARY 2022'!C:C,1,FALSE),$B49)=0,FALSE)</f>
        <v>1</v>
      </c>
      <c r="N49" s="115" t="b">
        <f>IFS($A49=FALSE,"", countif(VLOOKUP($A49,'FEBRUARY 2022'!A:A,1,FALSE),$A49)&gt;=1,TRUE,countif(VLOOKUP($A49,'FEBRUARY 2022'!A:A,1,FALSE),$A49)=0,FALSE)</f>
        <v>1</v>
      </c>
      <c r="O49" s="111" t="str">
        <f t="shared" si="2"/>
        <v> </v>
      </c>
    </row>
    <row r="50" ht="15.75" hidden="1" customHeight="1">
      <c r="A50" s="110" t="str">
        <f t="shared" si="1"/>
        <v>1437344614</v>
      </c>
      <c r="B50" s="111">
        <v>14373.0</v>
      </c>
      <c r="C50" s="112">
        <v>0.3958333333333333</v>
      </c>
      <c r="D50" s="111" t="s">
        <v>2958</v>
      </c>
      <c r="E50" s="113">
        <v>28183.0</v>
      </c>
      <c r="F50" s="114">
        <v>44614.0</v>
      </c>
      <c r="G50" s="111" t="s">
        <v>6519</v>
      </c>
      <c r="H50" s="111" t="s">
        <v>6520</v>
      </c>
      <c r="I50" s="111" t="s">
        <v>6524</v>
      </c>
      <c r="J50" s="111" t="s">
        <v>6407</v>
      </c>
      <c r="K50" s="115"/>
      <c r="L50" s="115" t="s">
        <v>6522</v>
      </c>
      <c r="M50" s="115" t="b">
        <f>IFS($A50=FALSE,"", countif(VLOOKUP($B50,'FEBRUARY 2022'!C:C,1,FALSE),$B50)&gt;=1,TRUE,countif(VLOOKUP($B50,'FEBRUARY 2022'!C:C,1,FALSE),$B50)=0,FALSE)</f>
        <v>1</v>
      </c>
      <c r="N50" s="115" t="b">
        <f>IFS($A50=FALSE,"", countif(VLOOKUP($A50,'FEBRUARY 2022'!A:A,1,FALSE),$A50)&gt;=1,TRUE,countif(VLOOKUP($A50,'FEBRUARY 2022'!A:A,1,FALSE),$A50)=0,FALSE)</f>
        <v>1</v>
      </c>
      <c r="O50" s="111" t="str">
        <f t="shared" si="2"/>
        <v> </v>
      </c>
    </row>
    <row r="51" ht="15.75" hidden="1" customHeight="1">
      <c r="A51" s="110" t="str">
        <f t="shared" si="1"/>
        <v>1624544614</v>
      </c>
      <c r="B51" s="111">
        <v>16245.0</v>
      </c>
      <c r="C51" s="112">
        <v>0.3958333333333333</v>
      </c>
      <c r="D51" s="111" t="s">
        <v>4541</v>
      </c>
      <c r="E51" s="113">
        <v>22836.0</v>
      </c>
      <c r="F51" s="114">
        <v>44614.0</v>
      </c>
      <c r="G51" s="111" t="s">
        <v>6519</v>
      </c>
      <c r="H51" s="111" t="s">
        <v>6520</v>
      </c>
      <c r="I51" s="111" t="s">
        <v>6521</v>
      </c>
      <c r="J51" s="111" t="s">
        <v>6374</v>
      </c>
      <c r="K51" s="115"/>
      <c r="L51" s="115" t="s">
        <v>6522</v>
      </c>
      <c r="M51" s="115" t="b">
        <f>IFS($A51=FALSE,"", countif(VLOOKUP($B51,'FEBRUARY 2022'!C:C,1,FALSE),$B51)&gt;=1,TRUE,countif(VLOOKUP($B51,'FEBRUARY 2022'!C:C,1,FALSE),$B51)=0,FALSE)</f>
        <v>1</v>
      </c>
      <c r="N51" s="115" t="b">
        <f>IFS($A51=FALSE,"", countif(VLOOKUP($A51,'FEBRUARY 2022'!A:A,1,FALSE),$A51)&gt;=1,TRUE,countif(VLOOKUP($A51,'FEBRUARY 2022'!A:A,1,FALSE),$A51)=0,FALSE)</f>
        <v>1</v>
      </c>
      <c r="O51" s="111" t="str">
        <f t="shared" si="2"/>
        <v> </v>
      </c>
    </row>
    <row r="52" ht="15.75" hidden="1" customHeight="1">
      <c r="A52" s="110" t="str">
        <f t="shared" si="1"/>
        <v>1818544614</v>
      </c>
      <c r="B52" s="111">
        <v>18185.0</v>
      </c>
      <c r="C52" s="112">
        <v>0.3958333333333333</v>
      </c>
      <c r="D52" s="111" t="s">
        <v>6201</v>
      </c>
      <c r="E52" s="113">
        <v>29783.0</v>
      </c>
      <c r="F52" s="114">
        <v>44614.0</v>
      </c>
      <c r="G52" s="111" t="s">
        <v>6525</v>
      </c>
      <c r="H52" s="111" t="s">
        <v>6526</v>
      </c>
      <c r="I52" s="111" t="s">
        <v>6527</v>
      </c>
      <c r="J52" s="111" t="s">
        <v>6416</v>
      </c>
      <c r="K52" s="115"/>
      <c r="L52" s="115" t="s">
        <v>6522</v>
      </c>
      <c r="M52" s="115" t="b">
        <f>IFS($A52=FALSE,"", countif(VLOOKUP($B52,'FEBRUARY 2022'!C:C,1,FALSE),$B52)&gt;=1,TRUE,countif(VLOOKUP($B52,'FEBRUARY 2022'!C:C,1,FALSE),$B52)=0,FALSE)</f>
        <v>1</v>
      </c>
      <c r="N52" s="115" t="b">
        <f>IFS($A52=FALSE,"", countif(VLOOKUP($A52,'FEBRUARY 2022'!A:A,1,FALSE),$A52)&gt;=1,TRUE,countif(VLOOKUP($A52,'FEBRUARY 2022'!A:A,1,FALSE),$A52)=0,FALSE)</f>
        <v>1</v>
      </c>
      <c r="O52" s="111" t="str">
        <f t="shared" si="2"/>
        <v> </v>
      </c>
    </row>
    <row r="53" ht="15.75" hidden="1" customHeight="1">
      <c r="A53" s="110" t="str">
        <f t="shared" si="1"/>
        <v>949244614</v>
      </c>
      <c r="B53" s="111">
        <v>9492.0</v>
      </c>
      <c r="C53" s="112">
        <v>0.40625</v>
      </c>
      <c r="D53" s="111" t="s">
        <v>183</v>
      </c>
      <c r="E53" s="113">
        <v>16812.0</v>
      </c>
      <c r="F53" s="114">
        <v>44614.0</v>
      </c>
      <c r="G53" s="111" t="s">
        <v>6523</v>
      </c>
      <c r="H53" s="111" t="s">
        <v>6520</v>
      </c>
      <c r="I53" s="111" t="s">
        <v>6521</v>
      </c>
      <c r="J53" s="111" t="s">
        <v>6489</v>
      </c>
      <c r="K53" s="115"/>
      <c r="L53" s="115" t="s">
        <v>6522</v>
      </c>
      <c r="M53" s="115" t="b">
        <f>IFS($A53=FALSE,"", countif(VLOOKUP($B53,'FEBRUARY 2022'!C:C,1,FALSE),$B53)&gt;=1,TRUE,countif(VLOOKUP($B53,'FEBRUARY 2022'!C:C,1,FALSE),$B53)=0,FALSE)</f>
        <v>1</v>
      </c>
      <c r="N53" s="115" t="b">
        <f>IFS($A53=FALSE,"", countif(VLOOKUP($A53,'FEBRUARY 2022'!A:A,1,FALSE),$A53)&gt;=1,TRUE,countif(VLOOKUP($A53,'FEBRUARY 2022'!A:A,1,FALSE),$A53)=0,FALSE)</f>
        <v>1</v>
      </c>
      <c r="O53" s="111" t="str">
        <f t="shared" si="2"/>
        <v> </v>
      </c>
    </row>
    <row r="54" ht="15.75" hidden="1" customHeight="1">
      <c r="A54" s="110" t="str">
        <f t="shared" si="1"/>
        <v>1817344614</v>
      </c>
      <c r="B54" s="111">
        <v>18173.0</v>
      </c>
      <c r="C54" s="112">
        <v>0.4166666666666667</v>
      </c>
      <c r="D54" s="111" t="s">
        <v>6197</v>
      </c>
      <c r="E54" s="113">
        <v>15794.0</v>
      </c>
      <c r="F54" s="114">
        <v>44614.0</v>
      </c>
      <c r="G54" s="111" t="s">
        <v>6525</v>
      </c>
      <c r="H54" s="111" t="s">
        <v>6526</v>
      </c>
      <c r="I54" s="111" t="s">
        <v>6527</v>
      </c>
      <c r="J54" s="111" t="s">
        <v>6381</v>
      </c>
      <c r="K54" s="115"/>
      <c r="L54" s="115" t="s">
        <v>6522</v>
      </c>
      <c r="M54" s="115" t="b">
        <f>IFS($A54=FALSE,"", countif(VLOOKUP($B54,'FEBRUARY 2022'!C:C,1,FALSE),$B54)&gt;=1,TRUE,countif(VLOOKUP($B54,'FEBRUARY 2022'!C:C,1,FALSE),$B54)=0,FALSE)</f>
        <v>1</v>
      </c>
      <c r="N54" s="115" t="b">
        <f>IFS($A54=FALSE,"", countif(VLOOKUP($A54,'FEBRUARY 2022'!A:A,1,FALSE),$A54)&gt;=1,TRUE,countif(VLOOKUP($A54,'FEBRUARY 2022'!A:A,1,FALSE),$A54)=0,FALSE)</f>
        <v>1</v>
      </c>
      <c r="O54" s="111" t="str">
        <f t="shared" si="2"/>
        <v> </v>
      </c>
    </row>
    <row r="55" ht="15.75" hidden="1" customHeight="1">
      <c r="A55" s="110" t="str">
        <f t="shared" si="1"/>
        <v>1367344614</v>
      </c>
      <c r="B55" s="111">
        <v>13673.0</v>
      </c>
      <c r="C55" s="112">
        <v>0.4166666666666667</v>
      </c>
      <c r="D55" s="111" t="s">
        <v>2415</v>
      </c>
      <c r="E55" s="113">
        <v>25366.0</v>
      </c>
      <c r="F55" s="114">
        <v>44614.0</v>
      </c>
      <c r="G55" s="111" t="s">
        <v>6523</v>
      </c>
      <c r="H55" s="111" t="s">
        <v>6520</v>
      </c>
      <c r="I55" s="111" t="s">
        <v>6521</v>
      </c>
      <c r="J55" s="111" t="s">
        <v>6420</v>
      </c>
      <c r="K55" s="115"/>
      <c r="L55" s="115" t="s">
        <v>6522</v>
      </c>
      <c r="M55" s="115" t="b">
        <f>IFS($A55=FALSE,"", countif(VLOOKUP($B55,'FEBRUARY 2022'!C:C,1,FALSE),$B55)&gt;=1,TRUE,countif(VLOOKUP($B55,'FEBRUARY 2022'!C:C,1,FALSE),$B55)=0,FALSE)</f>
        <v>1</v>
      </c>
      <c r="N55" s="115" t="b">
        <f>IFS($A55=FALSE,"", countif(VLOOKUP($A55,'FEBRUARY 2022'!A:A,1,FALSE),$A55)&gt;=1,TRUE,countif(VLOOKUP($A55,'FEBRUARY 2022'!A:A,1,FALSE),$A55)=0,FALSE)</f>
        <v>1</v>
      </c>
      <c r="O55" s="111" t="str">
        <f t="shared" si="2"/>
        <v> </v>
      </c>
    </row>
    <row r="56" ht="15.75" hidden="1" customHeight="1">
      <c r="A56" s="110" t="str">
        <f t="shared" si="1"/>
        <v>1817944614</v>
      </c>
      <c r="B56" s="111">
        <v>18179.0</v>
      </c>
      <c r="C56" s="112">
        <v>0.4479166666666667</v>
      </c>
      <c r="D56" s="111" t="s">
        <v>6202</v>
      </c>
      <c r="E56" s="113">
        <v>20924.0</v>
      </c>
      <c r="F56" s="114">
        <v>44614.0</v>
      </c>
      <c r="G56" s="111" t="s">
        <v>6525</v>
      </c>
      <c r="H56" s="111" t="s">
        <v>6526</v>
      </c>
      <c r="I56" s="111" t="s">
        <v>6527</v>
      </c>
      <c r="J56" s="111" t="s">
        <v>6379</v>
      </c>
      <c r="K56" s="115"/>
      <c r="L56" s="115" t="s">
        <v>6522</v>
      </c>
      <c r="M56" s="115" t="b">
        <f>IFS($A56=FALSE,"", countif(VLOOKUP($B56,'FEBRUARY 2022'!C:C,1,FALSE),$B56)&gt;=1,TRUE,countif(VLOOKUP($B56,'FEBRUARY 2022'!C:C,1,FALSE),$B56)=0,FALSE)</f>
        <v>1</v>
      </c>
      <c r="N56" s="115" t="b">
        <f>IFS($A56=FALSE,"", countif(VLOOKUP($A56,'FEBRUARY 2022'!A:A,1,FALSE),$A56)&gt;=1,TRUE,countif(VLOOKUP($A56,'FEBRUARY 2022'!A:A,1,FALSE),$A56)=0,FALSE)</f>
        <v>1</v>
      </c>
      <c r="O56" s="111" t="str">
        <f t="shared" si="2"/>
        <v> </v>
      </c>
    </row>
    <row r="57" ht="15.75" hidden="1" customHeight="1">
      <c r="A57" s="110" t="str">
        <f t="shared" si="1"/>
        <v>1425744614</v>
      </c>
      <c r="B57" s="111">
        <v>14257.0</v>
      </c>
      <c r="C57" s="112">
        <v>0.4479166666666667</v>
      </c>
      <c r="D57" s="111" t="s">
        <v>2858</v>
      </c>
      <c r="E57" s="113">
        <v>15843.0</v>
      </c>
      <c r="F57" s="114">
        <v>44614.0</v>
      </c>
      <c r="G57" s="111" t="s">
        <v>6519</v>
      </c>
      <c r="H57" s="111" t="s">
        <v>6526</v>
      </c>
      <c r="I57" s="111" t="s">
        <v>6527</v>
      </c>
      <c r="J57" s="111" t="s">
        <v>6489</v>
      </c>
      <c r="K57" s="115"/>
      <c r="L57" s="115" t="s">
        <v>6522</v>
      </c>
      <c r="M57" s="115" t="b">
        <f>IFS($A57=FALSE,"", countif(VLOOKUP($B57,'FEBRUARY 2022'!C:C,1,FALSE),$B57)&gt;=1,TRUE,countif(VLOOKUP($B57,'FEBRUARY 2022'!C:C,1,FALSE),$B57)=0,FALSE)</f>
        <v>1</v>
      </c>
      <c r="N57" s="115" t="b">
        <f>IFS($A57=FALSE,"", countif(VLOOKUP($A57,'FEBRUARY 2022'!A:A,1,FALSE),$A57)&gt;=1,TRUE,countif(VLOOKUP($A57,'FEBRUARY 2022'!A:A,1,FALSE),$A57)=0,FALSE)</f>
        <v>1</v>
      </c>
      <c r="O57" s="111" t="str">
        <f t="shared" si="2"/>
        <v> </v>
      </c>
    </row>
    <row r="58" ht="15.75" hidden="1" customHeight="1">
      <c r="A58" s="110" t="str">
        <f t="shared" si="1"/>
        <v>1768344614</v>
      </c>
      <c r="B58" s="111">
        <v>17683.0</v>
      </c>
      <c r="C58" s="112">
        <v>0.4791666666666667</v>
      </c>
      <c r="D58" s="111" t="s">
        <v>5840</v>
      </c>
      <c r="E58" s="113">
        <v>36630.0</v>
      </c>
      <c r="F58" s="114">
        <v>44614.0</v>
      </c>
      <c r="G58" s="111" t="s">
        <v>6519</v>
      </c>
      <c r="H58" s="111" t="s">
        <v>6526</v>
      </c>
      <c r="I58" s="111" t="s">
        <v>6527</v>
      </c>
      <c r="J58" s="111" t="s">
        <v>6407</v>
      </c>
      <c r="K58" s="115"/>
      <c r="L58" s="115" t="s">
        <v>6522</v>
      </c>
      <c r="M58" s="115" t="b">
        <f>IFS($A58=FALSE,"", countif(VLOOKUP($B58,'FEBRUARY 2022'!C:C,1,FALSE),$B58)&gt;=1,TRUE,countif(VLOOKUP($B58,'FEBRUARY 2022'!C:C,1,FALSE),$B58)=0,FALSE)</f>
        <v>1</v>
      </c>
      <c r="N58" s="115" t="b">
        <f>IFS($A58=FALSE,"", countif(VLOOKUP($A58,'FEBRUARY 2022'!A:A,1,FALSE),$A58)&gt;=1,TRUE,countif(VLOOKUP($A58,'FEBRUARY 2022'!A:A,1,FALSE),$A58)=0,FALSE)</f>
        <v>1</v>
      </c>
      <c r="O58" s="111" t="str">
        <f t="shared" si="2"/>
        <v> </v>
      </c>
    </row>
    <row r="59" ht="15.75" hidden="1" customHeight="1">
      <c r="A59" s="110" t="str">
        <f t="shared" si="1"/>
        <v>1815444614</v>
      </c>
      <c r="B59" s="111">
        <v>18154.0</v>
      </c>
      <c r="C59" s="112">
        <v>0.5625</v>
      </c>
      <c r="D59" s="111" t="s">
        <v>6222</v>
      </c>
      <c r="E59" s="113">
        <v>16024.0</v>
      </c>
      <c r="F59" s="114">
        <v>44614.0</v>
      </c>
      <c r="G59" s="111" t="s">
        <v>6525</v>
      </c>
      <c r="H59" s="111" t="s">
        <v>6526</v>
      </c>
      <c r="I59" s="111" t="s">
        <v>6527</v>
      </c>
      <c r="J59" s="111" t="s">
        <v>6476</v>
      </c>
      <c r="K59" s="115"/>
      <c r="L59" s="115" t="s">
        <v>6522</v>
      </c>
      <c r="M59" s="115" t="b">
        <f>IFS($A59=FALSE,"", countif(VLOOKUP($B59,'FEBRUARY 2022'!C:C,1,FALSE),$B59)&gt;=1,TRUE,countif(VLOOKUP($B59,'FEBRUARY 2022'!C:C,1,FALSE),$B59)=0,FALSE)</f>
        <v>1</v>
      </c>
      <c r="N59" s="115" t="b">
        <f>IFS($A59=FALSE,"", countif(VLOOKUP($A59,'FEBRUARY 2022'!A:A,1,FALSE),$A59)&gt;=1,TRUE,countif(VLOOKUP($A59,'FEBRUARY 2022'!A:A,1,FALSE),$A59)=0,FALSE)</f>
        <v>1</v>
      </c>
      <c r="O59" s="111" t="str">
        <f t="shared" si="2"/>
        <v> </v>
      </c>
    </row>
    <row r="60" ht="15.75" hidden="1" customHeight="1">
      <c r="A60" s="110" t="str">
        <f t="shared" si="1"/>
        <v>1814944614</v>
      </c>
      <c r="B60" s="111">
        <v>18149.0</v>
      </c>
      <c r="C60" s="112">
        <v>0.5625</v>
      </c>
      <c r="D60" s="111" t="s">
        <v>6221</v>
      </c>
      <c r="E60" s="113">
        <v>34389.0</v>
      </c>
      <c r="F60" s="114">
        <v>44614.0</v>
      </c>
      <c r="G60" s="111" t="s">
        <v>6525</v>
      </c>
      <c r="H60" s="111" t="s">
        <v>6526</v>
      </c>
      <c r="I60" s="111" t="s">
        <v>6527</v>
      </c>
      <c r="J60" s="111" t="s">
        <v>6451</v>
      </c>
      <c r="K60" s="115"/>
      <c r="L60" s="115" t="s">
        <v>6522</v>
      </c>
      <c r="M60" s="115" t="b">
        <f>IFS($A60=FALSE,"", countif(VLOOKUP($B60,'FEBRUARY 2022'!C:C,1,FALSE),$B60)&gt;=1,TRUE,countif(VLOOKUP($B60,'FEBRUARY 2022'!C:C,1,FALSE),$B60)=0,FALSE)</f>
        <v>1</v>
      </c>
      <c r="N60" s="115" t="b">
        <f>IFS($A60=FALSE,"", countif(VLOOKUP($A60,'FEBRUARY 2022'!A:A,1,FALSE),$A60)&gt;=1,TRUE,countif(VLOOKUP($A60,'FEBRUARY 2022'!A:A,1,FALSE),$A60)=0,FALSE)</f>
        <v>1</v>
      </c>
      <c r="O60" s="111" t="str">
        <f t="shared" si="2"/>
        <v> </v>
      </c>
    </row>
    <row r="61" ht="15.75" hidden="1" customHeight="1">
      <c r="A61" s="110" t="str">
        <f t="shared" si="1"/>
        <v>1071844614</v>
      </c>
      <c r="B61" s="111">
        <v>10718.0</v>
      </c>
      <c r="C61" s="112">
        <v>0.5625</v>
      </c>
      <c r="D61" s="111" t="s">
        <v>651</v>
      </c>
      <c r="E61" s="113">
        <v>25173.0</v>
      </c>
      <c r="F61" s="114">
        <v>44614.0</v>
      </c>
      <c r="G61" s="111" t="s">
        <v>6523</v>
      </c>
      <c r="H61" s="111" t="s">
        <v>6520</v>
      </c>
      <c r="I61" s="111" t="s">
        <v>6524</v>
      </c>
      <c r="J61" s="111" t="s">
        <v>6381</v>
      </c>
      <c r="K61" s="115"/>
      <c r="L61" s="115" t="s">
        <v>6522</v>
      </c>
      <c r="M61" s="115" t="b">
        <f>IFS($A61=FALSE,"", countif(VLOOKUP($B61,'FEBRUARY 2022'!C:C,1,FALSE),$B61)&gt;=1,TRUE,countif(VLOOKUP($B61,'FEBRUARY 2022'!C:C,1,FALSE),$B61)=0,FALSE)</f>
        <v>1</v>
      </c>
      <c r="N61" s="115" t="b">
        <f>IFS($A61=FALSE,"", countif(VLOOKUP($A61,'FEBRUARY 2022'!A:A,1,FALSE),$A61)&gt;=1,TRUE,countif(VLOOKUP($A61,'FEBRUARY 2022'!A:A,1,FALSE),$A61)=0,FALSE)</f>
        <v>1</v>
      </c>
      <c r="O61" s="111" t="str">
        <f t="shared" si="2"/>
        <v> </v>
      </c>
    </row>
    <row r="62" ht="15.75" hidden="1" customHeight="1">
      <c r="A62" s="110" t="str">
        <f t="shared" si="1"/>
        <v>1698344614</v>
      </c>
      <c r="B62" s="111">
        <v>16983.0</v>
      </c>
      <c r="C62" s="112">
        <v>0.5625</v>
      </c>
      <c r="D62" s="111" t="s">
        <v>5109</v>
      </c>
      <c r="E62" s="113">
        <v>33550.0</v>
      </c>
      <c r="F62" s="114">
        <v>44614.0</v>
      </c>
      <c r="G62" s="111" t="s">
        <v>6519</v>
      </c>
      <c r="H62" s="111" t="s">
        <v>6520</v>
      </c>
      <c r="I62" s="111" t="s">
        <v>6524</v>
      </c>
      <c r="J62" s="111" t="s">
        <v>6444</v>
      </c>
      <c r="K62" s="115"/>
      <c r="L62" s="115" t="s">
        <v>6522</v>
      </c>
      <c r="M62" s="115" t="b">
        <f>IFS($A62=FALSE,"", countif(VLOOKUP($B62,'FEBRUARY 2022'!C:C,1,FALSE),$B62)&gt;=1,TRUE,countif(VLOOKUP($B62,'FEBRUARY 2022'!C:C,1,FALSE),$B62)=0,FALSE)</f>
        <v>1</v>
      </c>
      <c r="N62" s="115" t="b">
        <f>IFS($A62=FALSE,"", countif(VLOOKUP($A62,'FEBRUARY 2022'!A:A,1,FALSE),$A62)&gt;=1,TRUE,countif(VLOOKUP($A62,'FEBRUARY 2022'!A:A,1,FALSE),$A62)=0,FALSE)</f>
        <v>1</v>
      </c>
      <c r="O62" s="111" t="str">
        <f t="shared" si="2"/>
        <v> </v>
      </c>
    </row>
    <row r="63" ht="15.75" hidden="1" customHeight="1">
      <c r="A63" s="110" t="str">
        <f t="shared" si="1"/>
        <v>1632044614</v>
      </c>
      <c r="B63" s="111">
        <v>16320.0</v>
      </c>
      <c r="C63" s="112">
        <v>0.5729166666666666</v>
      </c>
      <c r="D63" s="111" t="s">
        <v>4595</v>
      </c>
      <c r="E63" s="113">
        <v>12609.0</v>
      </c>
      <c r="F63" s="114">
        <v>44614.0</v>
      </c>
      <c r="G63" s="111" t="s">
        <v>6519</v>
      </c>
      <c r="H63" s="111" t="s">
        <v>6520</v>
      </c>
      <c r="I63" s="111" t="s">
        <v>6524</v>
      </c>
      <c r="J63" s="111" t="s">
        <v>6457</v>
      </c>
      <c r="K63" s="115"/>
      <c r="L63" s="115" t="s">
        <v>6522</v>
      </c>
      <c r="M63" s="115" t="b">
        <f>IFS($A63=FALSE,"", countif(VLOOKUP($B63,'FEBRUARY 2022'!C:C,1,FALSE),$B63)&gt;=1,TRUE,countif(VLOOKUP($B63,'FEBRUARY 2022'!C:C,1,FALSE),$B63)=0,FALSE)</f>
        <v>1</v>
      </c>
      <c r="N63" s="115" t="b">
        <f>IFS($A63=FALSE,"", countif(VLOOKUP($A63,'FEBRUARY 2022'!A:A,1,FALSE),$A63)&gt;=1,TRUE,countif(VLOOKUP($A63,'FEBRUARY 2022'!A:A,1,FALSE),$A63)=0,FALSE)</f>
        <v>1</v>
      </c>
      <c r="O63" s="111" t="str">
        <f t="shared" si="2"/>
        <v> </v>
      </c>
    </row>
    <row r="64" ht="15.75" hidden="1" customHeight="1">
      <c r="A64" s="110" t="str">
        <f t="shared" si="1"/>
        <v>1743244614</v>
      </c>
      <c r="B64" s="111">
        <v>17432.0</v>
      </c>
      <c r="C64" s="112">
        <v>0.5833333333333334</v>
      </c>
      <c r="D64" s="111" t="s">
        <v>5464</v>
      </c>
      <c r="E64" s="113">
        <v>28960.0</v>
      </c>
      <c r="F64" s="114">
        <v>44614.0</v>
      </c>
      <c r="G64" s="111" t="s">
        <v>6523</v>
      </c>
      <c r="H64" s="111" t="s">
        <v>6520</v>
      </c>
      <c r="I64" s="111" t="s">
        <v>6524</v>
      </c>
      <c r="J64" s="111" t="s">
        <v>6436</v>
      </c>
      <c r="K64" s="115"/>
      <c r="L64" s="115" t="s">
        <v>6522</v>
      </c>
      <c r="M64" s="115" t="b">
        <f>IFS($A64=FALSE,"", countif(VLOOKUP($B64,'FEBRUARY 2022'!C:C,1,FALSE),$B64)&gt;=1,TRUE,countif(VLOOKUP($B64,'FEBRUARY 2022'!C:C,1,FALSE),$B64)=0,FALSE)</f>
        <v>1</v>
      </c>
      <c r="N64" s="115" t="b">
        <f>IFS($A64=FALSE,"", countif(VLOOKUP($A64,'FEBRUARY 2022'!A:A,1,FALSE),$A64)&gt;=1,TRUE,countif(VLOOKUP($A64,'FEBRUARY 2022'!A:A,1,FALSE),$A64)=0,FALSE)</f>
        <v>1</v>
      </c>
      <c r="O64" s="111" t="str">
        <f t="shared" si="2"/>
        <v> </v>
      </c>
    </row>
    <row r="65" ht="15.75" hidden="1" customHeight="1">
      <c r="A65" s="110" t="str">
        <f t="shared" si="1"/>
        <v>1814244614</v>
      </c>
      <c r="B65" s="111">
        <v>18142.0</v>
      </c>
      <c r="C65" s="112">
        <v>0.59375</v>
      </c>
      <c r="D65" s="111" t="s">
        <v>6205</v>
      </c>
      <c r="E65" s="113">
        <v>23091.0</v>
      </c>
      <c r="F65" s="114">
        <v>44614.0</v>
      </c>
      <c r="G65" s="111" t="s">
        <v>6525</v>
      </c>
      <c r="H65" s="111" t="s">
        <v>6526</v>
      </c>
      <c r="I65" s="111" t="s">
        <v>6527</v>
      </c>
      <c r="J65" s="111" t="s">
        <v>6381</v>
      </c>
      <c r="K65" s="115"/>
      <c r="L65" s="115" t="s">
        <v>6522</v>
      </c>
      <c r="M65" s="115" t="b">
        <f>IFS($A65=FALSE,"", countif(VLOOKUP($B65,'FEBRUARY 2022'!C:C,1,FALSE),$B65)&gt;=1,TRUE,countif(VLOOKUP($B65,'FEBRUARY 2022'!C:C,1,FALSE),$B65)=0,FALSE)</f>
        <v>1</v>
      </c>
      <c r="N65" s="115" t="b">
        <f>IFS($A65=FALSE,"", countif(VLOOKUP($A65,'FEBRUARY 2022'!A:A,1,FALSE),$A65)&gt;=1,TRUE,countif(VLOOKUP($A65,'FEBRUARY 2022'!A:A,1,FALSE),$A65)=0,FALSE)</f>
        <v>1</v>
      </c>
      <c r="O65" s="111" t="str">
        <f t="shared" si="2"/>
        <v> </v>
      </c>
    </row>
    <row r="66" ht="15.75" hidden="1" customHeight="1">
      <c r="A66" s="110" t="str">
        <f t="shared" si="1"/>
        <v>1687344614</v>
      </c>
      <c r="B66" s="111">
        <v>16873.0</v>
      </c>
      <c r="C66" s="112">
        <v>0.59375</v>
      </c>
      <c r="D66" s="111" t="s">
        <v>5020</v>
      </c>
      <c r="E66" s="113">
        <v>25643.0</v>
      </c>
      <c r="F66" s="114">
        <v>44614.0</v>
      </c>
      <c r="G66" s="111" t="s">
        <v>6525</v>
      </c>
      <c r="H66" s="111" t="s">
        <v>6526</v>
      </c>
      <c r="I66" s="111" t="s">
        <v>6527</v>
      </c>
      <c r="J66" s="111" t="s">
        <v>6381</v>
      </c>
      <c r="K66" s="115"/>
      <c r="L66" s="115" t="s">
        <v>6522</v>
      </c>
      <c r="M66" s="115" t="b">
        <f>IFS($A66=FALSE,"", countif(VLOOKUP($B66,'FEBRUARY 2022'!C:C,1,FALSE),$B66)&gt;=1,TRUE,countif(VLOOKUP($B66,'FEBRUARY 2022'!C:C,1,FALSE),$B66)=0,FALSE)</f>
        <v>1</v>
      </c>
      <c r="N66" s="115" t="b">
        <f>IFS($A66=FALSE,"", countif(VLOOKUP($A66,'FEBRUARY 2022'!A:A,1,FALSE),$A66)&gt;=1,TRUE,countif(VLOOKUP($A66,'FEBRUARY 2022'!A:A,1,FALSE),$A66)=0,FALSE)</f>
        <v>1</v>
      </c>
      <c r="O66" s="111" t="str">
        <f t="shared" si="2"/>
        <v> </v>
      </c>
    </row>
    <row r="67" ht="15.75" hidden="1" customHeight="1">
      <c r="A67" s="110" t="str">
        <f t="shared" si="1"/>
        <v>1794544614</v>
      </c>
      <c r="B67" s="111">
        <v>17945.0</v>
      </c>
      <c r="C67" s="112">
        <v>0.6145833333333334</v>
      </c>
      <c r="D67" s="111" t="s">
        <v>5994</v>
      </c>
      <c r="E67" s="113">
        <v>33072.0</v>
      </c>
      <c r="F67" s="114">
        <v>44614.0</v>
      </c>
      <c r="G67" s="111" t="s">
        <v>6525</v>
      </c>
      <c r="H67" s="111" t="s">
        <v>6526</v>
      </c>
      <c r="I67" s="111" t="s">
        <v>6527</v>
      </c>
      <c r="J67" s="111" t="s">
        <v>6407</v>
      </c>
      <c r="K67" s="115"/>
      <c r="L67" s="115" t="s">
        <v>6522</v>
      </c>
      <c r="M67" s="115" t="b">
        <f>IFS($A67=FALSE,"", countif(VLOOKUP($B67,'FEBRUARY 2022'!C:C,1,FALSE),$B67)&gt;=1,TRUE,countif(VLOOKUP($B67,'FEBRUARY 2022'!C:C,1,FALSE),$B67)=0,FALSE)</f>
        <v>1</v>
      </c>
      <c r="N67" s="115" t="b">
        <f>IFS($A67=FALSE,"", countif(VLOOKUP($A67,'FEBRUARY 2022'!A:A,1,FALSE),$A67)&gt;=1,TRUE,countif(VLOOKUP($A67,'FEBRUARY 2022'!A:A,1,FALSE),$A67)=0,FALSE)</f>
        <v>1</v>
      </c>
      <c r="O67" s="111" t="str">
        <f t="shared" si="2"/>
        <v> </v>
      </c>
    </row>
    <row r="68" ht="15.75" hidden="1" customHeight="1">
      <c r="A68" s="110" t="str">
        <f t="shared" si="1"/>
        <v>1780444614</v>
      </c>
      <c r="B68" s="111">
        <v>17804.0</v>
      </c>
      <c r="C68" s="112">
        <v>0.6145833333333334</v>
      </c>
      <c r="D68" s="111" t="s">
        <v>6199</v>
      </c>
      <c r="E68" s="113">
        <v>26496.0</v>
      </c>
      <c r="F68" s="114">
        <v>44614.0</v>
      </c>
      <c r="G68" s="111" t="s">
        <v>6525</v>
      </c>
      <c r="H68" s="111" t="s">
        <v>6526</v>
      </c>
      <c r="I68" s="111" t="s">
        <v>6527</v>
      </c>
      <c r="J68" s="111" t="s">
        <v>6407</v>
      </c>
      <c r="K68" s="115"/>
      <c r="L68" s="115" t="s">
        <v>6522</v>
      </c>
      <c r="M68" s="115" t="b">
        <f>IFS($A68=FALSE,"", countif(VLOOKUP($B68,'FEBRUARY 2022'!C:C,1,FALSE),$B68)&gt;=1,TRUE,countif(VLOOKUP($B68,'FEBRUARY 2022'!C:C,1,FALSE),$B68)=0,FALSE)</f>
        <v>1</v>
      </c>
      <c r="N68" s="115" t="b">
        <f>IFS($A68=FALSE,"", countif(VLOOKUP($A68,'FEBRUARY 2022'!A:A,1,FALSE),$A68)&gt;=1,TRUE,countif(VLOOKUP($A68,'FEBRUARY 2022'!A:A,1,FALSE),$A68)=0,FALSE)</f>
        <v>1</v>
      </c>
      <c r="O68" s="111" t="str">
        <f t="shared" si="2"/>
        <v> </v>
      </c>
    </row>
    <row r="69" ht="15.75" hidden="1" customHeight="1">
      <c r="A69" s="110" t="str">
        <f t="shared" si="1"/>
        <v>1081744614</v>
      </c>
      <c r="B69" s="111">
        <v>10817.0</v>
      </c>
      <c r="C69" s="112">
        <v>0.6458333333333334</v>
      </c>
      <c r="D69" s="111" t="s">
        <v>695</v>
      </c>
      <c r="E69" s="113">
        <v>22099.0</v>
      </c>
      <c r="F69" s="114">
        <v>44614.0</v>
      </c>
      <c r="G69" s="111" t="s">
        <v>6523</v>
      </c>
      <c r="H69" s="111" t="s">
        <v>6526</v>
      </c>
      <c r="I69" s="111" t="s">
        <v>6527</v>
      </c>
      <c r="J69" s="111" t="s">
        <v>6462</v>
      </c>
      <c r="K69" s="115"/>
      <c r="L69" s="115" t="s">
        <v>6522</v>
      </c>
      <c r="M69" s="115" t="b">
        <f>IFS($A69=FALSE,"", countif(VLOOKUP($B69,'FEBRUARY 2022'!C:C,1,FALSE),$B69)&gt;=1,TRUE,countif(VLOOKUP($B69,'FEBRUARY 2022'!C:C,1,FALSE),$B69)=0,FALSE)</f>
        <v>1</v>
      </c>
      <c r="N69" s="115" t="b">
        <f>IFS($A69=FALSE,"", countif(VLOOKUP($A69,'FEBRUARY 2022'!A:A,1,FALSE),$A69)&gt;=1,TRUE,countif(VLOOKUP($A69,'FEBRUARY 2022'!A:A,1,FALSE),$A69)=0,FALSE)</f>
        <v>1</v>
      </c>
      <c r="O69" s="111" t="str">
        <f t="shared" si="2"/>
        <v> </v>
      </c>
    </row>
    <row r="70" ht="15.75" hidden="1" customHeight="1">
      <c r="A70" s="110" t="str">
        <f t="shared" si="1"/>
        <v>1452044614</v>
      </c>
      <c r="B70" s="111">
        <v>14520.0</v>
      </c>
      <c r="C70" s="112">
        <v>0.6458333333333334</v>
      </c>
      <c r="D70" s="111" t="s">
        <v>3069</v>
      </c>
      <c r="E70" s="113">
        <v>28140.0</v>
      </c>
      <c r="F70" s="114">
        <v>44614.0</v>
      </c>
      <c r="G70" s="111" t="s">
        <v>6519</v>
      </c>
      <c r="H70" s="111" t="s">
        <v>6520</v>
      </c>
      <c r="I70" s="111" t="s">
        <v>6521</v>
      </c>
      <c r="J70" s="111" t="s">
        <v>6372</v>
      </c>
      <c r="K70" s="115"/>
      <c r="L70" s="115" t="s">
        <v>6522</v>
      </c>
      <c r="M70" s="115" t="b">
        <f>IFS($A70=FALSE,"", countif(VLOOKUP($B70,'FEBRUARY 2022'!C:C,1,FALSE),$B70)&gt;=1,TRUE,countif(VLOOKUP($B70,'FEBRUARY 2022'!C:C,1,FALSE),$B70)=0,FALSE)</f>
        <v>1</v>
      </c>
      <c r="N70" s="115" t="b">
        <f>IFS($A70=FALSE,"", countif(VLOOKUP($A70,'FEBRUARY 2022'!A:A,1,FALSE),$A70)&gt;=1,TRUE,countif(VLOOKUP($A70,'FEBRUARY 2022'!A:A,1,FALSE),$A70)=0,FALSE)</f>
        <v>1</v>
      </c>
      <c r="O70" s="111" t="str">
        <f t="shared" si="2"/>
        <v> </v>
      </c>
    </row>
    <row r="71" ht="15.75" hidden="1" customHeight="1">
      <c r="A71" s="110" t="str">
        <f t="shared" si="1"/>
        <v>1475744615</v>
      </c>
      <c r="B71" s="111">
        <v>14757.0</v>
      </c>
      <c r="C71" s="112">
        <v>0.3541666666666667</v>
      </c>
      <c r="D71" s="111" t="s">
        <v>3272</v>
      </c>
      <c r="E71" s="113">
        <v>14870.0</v>
      </c>
      <c r="F71" s="114">
        <v>44615.0</v>
      </c>
      <c r="G71" s="111" t="s">
        <v>6523</v>
      </c>
      <c r="H71" s="111" t="s">
        <v>6520</v>
      </c>
      <c r="I71" s="111" t="s">
        <v>6521</v>
      </c>
      <c r="J71" s="111" t="s">
        <v>6385</v>
      </c>
      <c r="K71" s="115"/>
      <c r="L71" s="115" t="s">
        <v>6522</v>
      </c>
      <c r="M71" s="115" t="b">
        <f>IFS($A71=FALSE,"", countif(VLOOKUP($B71,'FEBRUARY 2022'!C:C,1,FALSE),$B71)&gt;=1,TRUE,countif(VLOOKUP($B71,'FEBRUARY 2022'!C:C,1,FALSE),$B71)=0,FALSE)</f>
        <v>1</v>
      </c>
      <c r="N71" s="115" t="b">
        <f>IFS($A71=FALSE,"", countif(VLOOKUP($A71,'FEBRUARY 2022'!A:A,1,FALSE),$A71)&gt;=1,TRUE,countif(VLOOKUP($A71,'FEBRUARY 2022'!A:A,1,FALSE),$A71)=0,FALSE)</f>
        <v>1</v>
      </c>
      <c r="O71" s="111" t="str">
        <f t="shared" si="2"/>
        <v> </v>
      </c>
    </row>
    <row r="72" ht="15.75" hidden="1" customHeight="1">
      <c r="A72" s="110" t="str">
        <f t="shared" si="1"/>
        <v>1498544615</v>
      </c>
      <c r="B72" s="111">
        <v>14985.0</v>
      </c>
      <c r="C72" s="112">
        <v>0.375</v>
      </c>
      <c r="D72" s="111" t="s">
        <v>3459</v>
      </c>
      <c r="E72" s="113">
        <v>25658.0</v>
      </c>
      <c r="F72" s="114">
        <v>44615.0</v>
      </c>
      <c r="G72" s="111" t="s">
        <v>6523</v>
      </c>
      <c r="H72" s="111" t="s">
        <v>6520</v>
      </c>
      <c r="I72" s="111" t="s">
        <v>6524</v>
      </c>
      <c r="J72" s="111" t="s">
        <v>6379</v>
      </c>
      <c r="K72" s="115"/>
      <c r="L72" s="115" t="s">
        <v>6522</v>
      </c>
      <c r="M72" s="115" t="b">
        <f>IFS($A72=FALSE,"", countif(VLOOKUP($B72,'FEBRUARY 2022'!C:C,1,FALSE),$B72)&gt;=1,TRUE,countif(VLOOKUP($B72,'FEBRUARY 2022'!C:C,1,FALSE),$B72)=0,FALSE)</f>
        <v>1</v>
      </c>
      <c r="N72" s="115" t="b">
        <f>IFS($A72=FALSE,"", countif(VLOOKUP($A72,'FEBRUARY 2022'!A:A,1,FALSE),$A72)&gt;=1,TRUE,countif(VLOOKUP($A72,'FEBRUARY 2022'!A:A,1,FALSE),$A72)=0,FALSE)</f>
        <v>1</v>
      </c>
      <c r="O72" s="111" t="str">
        <f t="shared" si="2"/>
        <v> </v>
      </c>
    </row>
    <row r="73" ht="15.75" hidden="1" customHeight="1">
      <c r="A73" s="110" t="str">
        <f t="shared" si="1"/>
        <v>1237544615</v>
      </c>
      <c r="B73" s="111">
        <v>12375.0</v>
      </c>
      <c r="C73" s="112">
        <v>0.375</v>
      </c>
      <c r="D73" s="111" t="s">
        <v>1419</v>
      </c>
      <c r="E73" s="113">
        <v>25838.0</v>
      </c>
      <c r="F73" s="114">
        <v>44615.0</v>
      </c>
      <c r="G73" s="111" t="s">
        <v>6519</v>
      </c>
      <c r="H73" s="111" t="s">
        <v>6520</v>
      </c>
      <c r="I73" s="111" t="s">
        <v>6521</v>
      </c>
      <c r="J73" s="111" t="s">
        <v>6489</v>
      </c>
      <c r="K73" s="115"/>
      <c r="L73" s="115" t="s">
        <v>6522</v>
      </c>
      <c r="M73" s="115" t="b">
        <f>IFS($A73=FALSE,"", countif(VLOOKUP($B73,'FEBRUARY 2022'!C:C,1,FALSE),$B73)&gt;=1,TRUE,countif(VLOOKUP($B73,'FEBRUARY 2022'!C:C,1,FALSE),$B73)=0,FALSE)</f>
        <v>1</v>
      </c>
      <c r="N73" s="115" t="b">
        <f>IFS($A73=FALSE,"", countif(VLOOKUP($A73,'FEBRUARY 2022'!A:A,1,FALSE),$A73)&gt;=1,TRUE,countif(VLOOKUP($A73,'FEBRUARY 2022'!A:A,1,FALSE),$A73)=0,FALSE)</f>
        <v>1</v>
      </c>
      <c r="O73" s="111" t="str">
        <f t="shared" si="2"/>
        <v> </v>
      </c>
    </row>
    <row r="74" ht="15.75" hidden="1" customHeight="1">
      <c r="A74" s="110" t="str">
        <f t="shared" si="1"/>
        <v>1629444615</v>
      </c>
      <c r="B74" s="111">
        <v>16294.0</v>
      </c>
      <c r="C74" s="112">
        <v>0.375</v>
      </c>
      <c r="D74" s="111" t="s">
        <v>4575</v>
      </c>
      <c r="E74" s="113">
        <v>24388.0</v>
      </c>
      <c r="F74" s="114">
        <v>44615.0</v>
      </c>
      <c r="G74" s="111" t="s">
        <v>6519</v>
      </c>
      <c r="H74" s="111" t="s">
        <v>6520</v>
      </c>
      <c r="I74" s="111" t="s">
        <v>6521</v>
      </c>
      <c r="J74" s="111" t="s">
        <v>6451</v>
      </c>
      <c r="K74" s="115"/>
      <c r="L74" s="115" t="s">
        <v>6522</v>
      </c>
      <c r="M74" s="115" t="b">
        <f>IFS($A74=FALSE,"", countif(VLOOKUP($B74,'FEBRUARY 2022'!C:C,1,FALSE),$B74)&gt;=1,TRUE,countif(VLOOKUP($B74,'FEBRUARY 2022'!C:C,1,FALSE),$B74)=0,FALSE)</f>
        <v>1</v>
      </c>
      <c r="N74" s="115" t="b">
        <f>IFS($A74=FALSE,"", countif(VLOOKUP($A74,'FEBRUARY 2022'!A:A,1,FALSE),$A74)&gt;=1,TRUE,countif(VLOOKUP($A74,'FEBRUARY 2022'!A:A,1,FALSE),$A74)=0,FALSE)</f>
        <v>1</v>
      </c>
      <c r="O74" s="111" t="str">
        <f t="shared" si="2"/>
        <v> </v>
      </c>
    </row>
    <row r="75" ht="15.75" hidden="1" customHeight="1">
      <c r="A75" s="110" t="str">
        <f t="shared" si="1"/>
        <v>1522344615</v>
      </c>
      <c r="B75" s="111">
        <v>15223.0</v>
      </c>
      <c r="C75" s="112">
        <v>0.3854166666666667</v>
      </c>
      <c r="D75" s="111" t="s">
        <v>3656</v>
      </c>
      <c r="E75" s="113">
        <v>13792.0</v>
      </c>
      <c r="F75" s="114">
        <v>44615.0</v>
      </c>
      <c r="G75" s="111" t="s">
        <v>6523</v>
      </c>
      <c r="H75" s="111" t="s">
        <v>6520</v>
      </c>
      <c r="I75" s="111" t="s">
        <v>6524</v>
      </c>
      <c r="J75" s="111" t="s">
        <v>6384</v>
      </c>
      <c r="K75" s="115"/>
      <c r="L75" s="115" t="s">
        <v>6522</v>
      </c>
      <c r="M75" s="115" t="b">
        <f>IFS($A75=FALSE,"", countif(VLOOKUP($B75,'FEBRUARY 2022'!C:C,1,FALSE),$B75)&gt;=1,TRUE,countif(VLOOKUP($B75,'FEBRUARY 2022'!C:C,1,FALSE),$B75)=0,FALSE)</f>
        <v>1</v>
      </c>
      <c r="N75" s="115" t="b">
        <f>IFS($A75=FALSE,"", countif(VLOOKUP($A75,'FEBRUARY 2022'!A:A,1,FALSE),$A75)&gt;=1,TRUE,countif(VLOOKUP($A75,'FEBRUARY 2022'!A:A,1,FALSE),$A75)=0,FALSE)</f>
        <v>1</v>
      </c>
      <c r="O75" s="111" t="str">
        <f t="shared" si="2"/>
        <v> </v>
      </c>
    </row>
    <row r="76" ht="15.75" hidden="1" customHeight="1">
      <c r="A76" s="110" t="str">
        <f t="shared" si="1"/>
        <v>1172844615</v>
      </c>
      <c r="B76" s="111">
        <v>11728.0</v>
      </c>
      <c r="C76" s="112">
        <v>0.40625</v>
      </c>
      <c r="D76" s="111" t="s">
        <v>1078</v>
      </c>
      <c r="E76" s="113">
        <v>28621.0</v>
      </c>
      <c r="F76" s="114">
        <v>44615.0</v>
      </c>
      <c r="G76" s="111" t="s">
        <v>6523</v>
      </c>
      <c r="H76" s="111" t="s">
        <v>6526</v>
      </c>
      <c r="I76" s="111" t="s">
        <v>6527</v>
      </c>
      <c r="J76" s="111" t="s">
        <v>6391</v>
      </c>
      <c r="K76" s="115"/>
      <c r="L76" s="115" t="s">
        <v>6522</v>
      </c>
      <c r="M76" s="115" t="b">
        <f>IFS($A76=FALSE,"", countif(VLOOKUP($B76,'FEBRUARY 2022'!C:C,1,FALSE),$B76)&gt;=1,TRUE,countif(VLOOKUP($B76,'FEBRUARY 2022'!C:C,1,FALSE),$B76)=0,FALSE)</f>
        <v>1</v>
      </c>
      <c r="N76" s="115" t="b">
        <f>IFS($A76=FALSE,"", countif(VLOOKUP($A76,'FEBRUARY 2022'!A:A,1,FALSE),$A76)&gt;=1,TRUE,countif(VLOOKUP($A76,'FEBRUARY 2022'!A:A,1,FALSE),$A76)=0,FALSE)</f>
        <v>1</v>
      </c>
      <c r="O76" s="111" t="str">
        <f t="shared" si="2"/>
        <v> </v>
      </c>
    </row>
    <row r="77" ht="15.75" hidden="1" customHeight="1">
      <c r="A77" s="110" t="str">
        <f t="shared" si="1"/>
        <v>928344615</v>
      </c>
      <c r="B77" s="111">
        <v>9283.0</v>
      </c>
      <c r="C77" s="112">
        <v>0.40625</v>
      </c>
      <c r="D77" s="111" t="s">
        <v>128</v>
      </c>
      <c r="E77" s="113">
        <v>20483.0</v>
      </c>
      <c r="F77" s="114">
        <v>44615.0</v>
      </c>
      <c r="G77" s="111" t="s">
        <v>6523</v>
      </c>
      <c r="H77" s="111" t="s">
        <v>6526</v>
      </c>
      <c r="I77" s="111" t="s">
        <v>6527</v>
      </c>
      <c r="J77" s="111" t="s">
        <v>6427</v>
      </c>
      <c r="K77" s="115"/>
      <c r="L77" s="115" t="s">
        <v>6522</v>
      </c>
      <c r="M77" s="115" t="b">
        <f>IFS($A77=FALSE,"", countif(VLOOKUP($B77,'FEBRUARY 2022'!C:C,1,FALSE),$B77)&gt;=1,TRUE,countif(VLOOKUP($B77,'FEBRUARY 2022'!C:C,1,FALSE),$B77)=0,FALSE)</f>
        <v>1</v>
      </c>
      <c r="N77" s="115" t="b">
        <f>IFS($A77=FALSE,"", countif(VLOOKUP($A77,'FEBRUARY 2022'!A:A,1,FALSE),$A77)&gt;=1,TRUE,countif(VLOOKUP($A77,'FEBRUARY 2022'!A:A,1,FALSE),$A77)=0,FALSE)</f>
        <v>1</v>
      </c>
      <c r="O77" s="111" t="str">
        <f t="shared" si="2"/>
        <v> </v>
      </c>
    </row>
    <row r="78" ht="15.75" hidden="1" customHeight="1">
      <c r="A78" s="110" t="str">
        <f t="shared" si="1"/>
        <v>1817444615</v>
      </c>
      <c r="B78" s="111">
        <v>18174.0</v>
      </c>
      <c r="C78" s="112">
        <v>0.4166666666666667</v>
      </c>
      <c r="D78" s="111" t="s">
        <v>6225</v>
      </c>
      <c r="E78" s="113">
        <v>18472.0</v>
      </c>
      <c r="F78" s="114">
        <v>44615.0</v>
      </c>
      <c r="G78" s="111" t="s">
        <v>6525</v>
      </c>
      <c r="H78" s="111" t="s">
        <v>6526</v>
      </c>
      <c r="I78" s="111" t="s">
        <v>6550</v>
      </c>
      <c r="J78" s="111" t="s">
        <v>6427</v>
      </c>
      <c r="K78" s="115"/>
      <c r="L78" s="115" t="s">
        <v>6522</v>
      </c>
      <c r="M78" s="115" t="b">
        <f>IFS($A78=FALSE,"", countif(VLOOKUP($B78,'FEBRUARY 2022'!C:C,1,FALSE),$B78)&gt;=1,TRUE,countif(VLOOKUP($B78,'FEBRUARY 2022'!C:C,1,FALSE),$B78)=0,FALSE)</f>
        <v>1</v>
      </c>
      <c r="N78" s="115" t="b">
        <f>IFS($A78=FALSE,"", countif(VLOOKUP($A78,'FEBRUARY 2022'!A:A,1,FALSE),$A78)&gt;=1,TRUE,countif(VLOOKUP($A78,'FEBRUARY 2022'!A:A,1,FALSE),$A78)=0,FALSE)</f>
        <v>1</v>
      </c>
      <c r="O78" s="111" t="str">
        <f t="shared" si="2"/>
        <v> </v>
      </c>
    </row>
    <row r="79" ht="15.75" hidden="1" customHeight="1">
      <c r="A79" s="110" t="str">
        <f t="shared" si="1"/>
        <v>1785444615</v>
      </c>
      <c r="B79" s="111">
        <v>17854.0</v>
      </c>
      <c r="C79" s="112">
        <v>0.4479166666666667</v>
      </c>
      <c r="D79" s="111" t="s">
        <v>6002</v>
      </c>
      <c r="E79" s="113">
        <v>22029.0</v>
      </c>
      <c r="F79" s="114">
        <v>44615.0</v>
      </c>
      <c r="G79" s="111" t="s">
        <v>6519</v>
      </c>
      <c r="H79" s="111" t="s">
        <v>6520</v>
      </c>
      <c r="I79" s="111" t="s">
        <v>6521</v>
      </c>
      <c r="J79" s="111" t="s">
        <v>6381</v>
      </c>
      <c r="K79" s="115"/>
      <c r="L79" s="115" t="s">
        <v>6522</v>
      </c>
      <c r="M79" s="115" t="b">
        <f>IFS($A79=FALSE,"", countif(VLOOKUP($B79,'FEBRUARY 2022'!C:C,1,FALSE),$B79)&gt;=1,TRUE,countif(VLOOKUP($B79,'FEBRUARY 2022'!C:C,1,FALSE),$B79)=0,FALSE)</f>
        <v>1</v>
      </c>
      <c r="N79" s="115" t="b">
        <f>IFS($A79=FALSE,"", countif(VLOOKUP($A79,'FEBRUARY 2022'!A:A,1,FALSE),$A79)&gt;=1,TRUE,countif(VLOOKUP($A79,'FEBRUARY 2022'!A:A,1,FALSE),$A79)=0,FALSE)</f>
        <v>1</v>
      </c>
      <c r="O79" s="111" t="str">
        <f t="shared" si="2"/>
        <v> </v>
      </c>
    </row>
    <row r="80" ht="15.75" hidden="1" customHeight="1">
      <c r="A80" s="110" t="str">
        <f t="shared" si="1"/>
        <v>1751244615</v>
      </c>
      <c r="B80" s="111">
        <v>17512.0</v>
      </c>
      <c r="C80" s="112">
        <v>0.46875</v>
      </c>
      <c r="D80" s="111" t="s">
        <v>5740</v>
      </c>
      <c r="E80" s="113">
        <v>16813.0</v>
      </c>
      <c r="F80" s="114">
        <v>44615.0</v>
      </c>
      <c r="G80" s="111" t="s">
        <v>6523</v>
      </c>
      <c r="H80" s="111" t="s">
        <v>6526</v>
      </c>
      <c r="I80" s="111" t="s">
        <v>6527</v>
      </c>
      <c r="J80" s="111" t="s">
        <v>6489</v>
      </c>
      <c r="K80" s="115"/>
      <c r="L80" s="115" t="s">
        <v>6522</v>
      </c>
      <c r="M80" s="115" t="b">
        <f>IFS($A80=FALSE,"", countif(VLOOKUP($B80,'FEBRUARY 2022'!C:C,1,FALSE),$B80)&gt;=1,TRUE,countif(VLOOKUP($B80,'FEBRUARY 2022'!C:C,1,FALSE),$B80)=0,FALSE)</f>
        <v>1</v>
      </c>
      <c r="N80" s="115" t="b">
        <f>IFS($A80=FALSE,"", countif(VLOOKUP($A80,'FEBRUARY 2022'!A:A,1,FALSE),$A80)&gt;=1,TRUE,countif(VLOOKUP($A80,'FEBRUARY 2022'!A:A,1,FALSE),$A80)=0,FALSE)</f>
        <v>1</v>
      </c>
      <c r="O80" s="111" t="str">
        <f t="shared" si="2"/>
        <v> </v>
      </c>
    </row>
    <row r="81" ht="15.75" hidden="1" customHeight="1">
      <c r="A81" s="110" t="str">
        <f t="shared" si="1"/>
        <v>1626244615</v>
      </c>
      <c r="B81" s="111">
        <v>16262.0</v>
      </c>
      <c r="C81" s="112">
        <v>0.5416666666666666</v>
      </c>
      <c r="D81" s="111" t="s">
        <v>4558</v>
      </c>
      <c r="E81" s="113">
        <v>23868.0</v>
      </c>
      <c r="F81" s="114">
        <v>44615.0</v>
      </c>
      <c r="G81" s="111" t="s">
        <v>6519</v>
      </c>
      <c r="H81" s="111" t="s">
        <v>6520</v>
      </c>
      <c r="I81" s="111" t="s">
        <v>6524</v>
      </c>
      <c r="J81" s="111" t="s">
        <v>6489</v>
      </c>
      <c r="K81" s="115"/>
      <c r="L81" s="115" t="s">
        <v>6522</v>
      </c>
      <c r="M81" s="115" t="b">
        <f>IFS($A81=FALSE,"", countif(VLOOKUP($B81,'FEBRUARY 2022'!C:C,1,FALSE),$B81)&gt;=1,TRUE,countif(VLOOKUP($B81,'FEBRUARY 2022'!C:C,1,FALSE),$B81)=0,FALSE)</f>
        <v>1</v>
      </c>
      <c r="N81" s="115" t="b">
        <f>IFS($A81=FALSE,"", countif(VLOOKUP($A81,'FEBRUARY 2022'!A:A,1,FALSE),$A81)&gt;=1,TRUE,countif(VLOOKUP($A81,'FEBRUARY 2022'!A:A,1,FALSE),$A81)=0,FALSE)</f>
        <v>1</v>
      </c>
      <c r="O81" s="111" t="str">
        <f t="shared" si="2"/>
        <v> </v>
      </c>
    </row>
    <row r="82" ht="15.75" hidden="1" customHeight="1">
      <c r="A82" s="110" t="str">
        <f t="shared" si="1"/>
        <v>1342944615</v>
      </c>
      <c r="B82" s="111">
        <v>13429.0</v>
      </c>
      <c r="C82" s="112">
        <v>0.5416666666666666</v>
      </c>
      <c r="D82" s="111" t="s">
        <v>2217</v>
      </c>
      <c r="E82" s="113">
        <v>18323.0</v>
      </c>
      <c r="F82" s="114">
        <v>44615.0</v>
      </c>
      <c r="G82" s="111" t="s">
        <v>6523</v>
      </c>
      <c r="H82" s="111" t="s">
        <v>6520</v>
      </c>
      <c r="I82" s="111" t="s">
        <v>6550</v>
      </c>
      <c r="J82" s="111" t="s">
        <v>6427</v>
      </c>
      <c r="K82" s="115"/>
      <c r="L82" s="115" t="s">
        <v>6522</v>
      </c>
      <c r="M82" s="115" t="b">
        <f>IFS($A82=FALSE,"", countif(VLOOKUP($B82,'FEBRUARY 2022'!C:C,1,FALSE),$B82)&gt;=1,TRUE,countif(VLOOKUP($B82,'FEBRUARY 2022'!C:C,1,FALSE),$B82)=0,FALSE)</f>
        <v>1</v>
      </c>
      <c r="N82" s="115" t="b">
        <f>IFS($A82=FALSE,"", countif(VLOOKUP($A82,'FEBRUARY 2022'!A:A,1,FALSE),$A82)&gt;=1,TRUE,countif(VLOOKUP($A82,'FEBRUARY 2022'!A:A,1,FALSE),$A82)=0,FALSE)</f>
        <v>1</v>
      </c>
      <c r="O82" s="111" t="str">
        <f t="shared" si="2"/>
        <v> </v>
      </c>
    </row>
    <row r="83" ht="15.75" hidden="1" customHeight="1">
      <c r="A83" s="110" t="str">
        <f t="shared" si="1"/>
        <v>1565944615</v>
      </c>
      <c r="B83" s="111">
        <v>15659.0</v>
      </c>
      <c r="C83" s="112">
        <v>0.5416666666666666</v>
      </c>
      <c r="D83" s="111" t="s">
        <v>4028</v>
      </c>
      <c r="E83" s="113">
        <v>32631.0</v>
      </c>
      <c r="F83" s="114">
        <v>44615.0</v>
      </c>
      <c r="G83" s="111" t="s">
        <v>6523</v>
      </c>
      <c r="H83" s="111" t="s">
        <v>6520</v>
      </c>
      <c r="I83" s="111" t="s">
        <v>6521</v>
      </c>
      <c r="J83" s="111" t="s">
        <v>6416</v>
      </c>
      <c r="K83" s="115"/>
      <c r="L83" s="115" t="s">
        <v>6522</v>
      </c>
      <c r="M83" s="115" t="b">
        <f>IFS($A83=FALSE,"", countif(VLOOKUP($B83,'FEBRUARY 2022'!C:C,1,FALSE),$B83)&gt;=1,TRUE,countif(VLOOKUP($B83,'FEBRUARY 2022'!C:C,1,FALSE),$B83)=0,FALSE)</f>
        <v>1</v>
      </c>
      <c r="N83" s="115" t="b">
        <f>IFS($A83=FALSE,"", countif(VLOOKUP($A83,'FEBRUARY 2022'!A:A,1,FALSE),$A83)&gt;=1,TRUE,countif(VLOOKUP($A83,'FEBRUARY 2022'!A:A,1,FALSE),$A83)=0,FALSE)</f>
        <v>1</v>
      </c>
      <c r="O83" s="111" t="str">
        <f t="shared" si="2"/>
        <v> </v>
      </c>
    </row>
    <row r="84" ht="15.75" hidden="1" customHeight="1">
      <c r="A84" s="110" t="str">
        <f t="shared" si="1"/>
        <v>1778944615</v>
      </c>
      <c r="B84" s="111">
        <v>17789.0</v>
      </c>
      <c r="C84" s="112">
        <v>0.5520833333333334</v>
      </c>
      <c r="D84" s="111" t="s">
        <v>5889</v>
      </c>
      <c r="E84" s="113">
        <v>22877.0</v>
      </c>
      <c r="F84" s="114">
        <v>44615.0</v>
      </c>
      <c r="G84" s="111" t="s">
        <v>6525</v>
      </c>
      <c r="H84" s="111" t="s">
        <v>6526</v>
      </c>
      <c r="I84" s="111" t="s">
        <v>6527</v>
      </c>
      <c r="J84" s="111" t="s">
        <v>6384</v>
      </c>
      <c r="K84" s="115"/>
      <c r="L84" s="115" t="s">
        <v>6522</v>
      </c>
      <c r="M84" s="115" t="b">
        <f>IFS($A84=FALSE,"", countif(VLOOKUP($B84,'FEBRUARY 2022'!C:C,1,FALSE),$B84)&gt;=1,TRUE,countif(VLOOKUP($B84,'FEBRUARY 2022'!C:C,1,FALSE),$B84)=0,FALSE)</f>
        <v>1</v>
      </c>
      <c r="N84" s="115" t="b">
        <f>IFS($A84=FALSE,"", countif(VLOOKUP($A84,'FEBRUARY 2022'!A:A,1,FALSE),$A84)&gt;=1,TRUE,countif(VLOOKUP($A84,'FEBRUARY 2022'!A:A,1,FALSE),$A84)=0,FALSE)</f>
        <v>1</v>
      </c>
      <c r="O84" s="111" t="str">
        <f t="shared" si="2"/>
        <v> </v>
      </c>
    </row>
    <row r="85" ht="15.75" hidden="1" customHeight="1">
      <c r="A85" s="110" t="str">
        <f t="shared" si="1"/>
        <v>1105944615</v>
      </c>
      <c r="B85" s="111">
        <v>11059.0</v>
      </c>
      <c r="C85" s="112">
        <v>0.5520833333333334</v>
      </c>
      <c r="D85" s="111" t="s">
        <v>786</v>
      </c>
      <c r="E85" s="113">
        <v>17955.0</v>
      </c>
      <c r="F85" s="114">
        <v>44615.0</v>
      </c>
      <c r="G85" s="111" t="s">
        <v>6523</v>
      </c>
      <c r="H85" s="111" t="s">
        <v>6520</v>
      </c>
      <c r="I85" s="111" t="s">
        <v>6524</v>
      </c>
      <c r="J85" s="111" t="s">
        <v>6489</v>
      </c>
      <c r="K85" s="115"/>
      <c r="L85" s="115" t="s">
        <v>6522</v>
      </c>
      <c r="M85" s="115" t="b">
        <f>IFS($A85=FALSE,"", countif(VLOOKUP($B85,'FEBRUARY 2022'!C:C,1,FALSE),$B85)&gt;=1,TRUE,countif(VLOOKUP($B85,'FEBRUARY 2022'!C:C,1,FALSE),$B85)=0,FALSE)</f>
        <v>1</v>
      </c>
      <c r="N85" s="115" t="b">
        <f>IFS($A85=FALSE,"", countif(VLOOKUP($A85,'FEBRUARY 2022'!A:A,1,FALSE),$A85)&gt;=1,TRUE,countif(VLOOKUP($A85,'FEBRUARY 2022'!A:A,1,FALSE),$A85)=0,FALSE)</f>
        <v>1</v>
      </c>
      <c r="O85" s="111" t="str">
        <f t="shared" si="2"/>
        <v> </v>
      </c>
    </row>
    <row r="86" ht="15.75" hidden="1" customHeight="1">
      <c r="A86" s="110" t="str">
        <f t="shared" si="1"/>
        <v>1817644615</v>
      </c>
      <c r="B86" s="111">
        <v>18176.0</v>
      </c>
      <c r="C86" s="112">
        <v>0.5729166666666666</v>
      </c>
      <c r="D86" s="111" t="s">
        <v>562</v>
      </c>
      <c r="E86" s="113">
        <v>23907.0</v>
      </c>
      <c r="F86" s="114">
        <v>44615.0</v>
      </c>
      <c r="G86" s="111" t="s">
        <v>6525</v>
      </c>
      <c r="H86" s="111" t="s">
        <v>6526</v>
      </c>
      <c r="I86" s="111" t="s">
        <v>6527</v>
      </c>
      <c r="J86" s="111" t="s">
        <v>6420</v>
      </c>
      <c r="K86" s="115"/>
      <c r="L86" s="115" t="s">
        <v>6522</v>
      </c>
      <c r="M86" s="115" t="b">
        <f>IFS($A86=FALSE,"", countif(VLOOKUP($B86,'FEBRUARY 2022'!C:C,1,FALSE),$B86)&gt;=1,TRUE,countif(VLOOKUP($B86,'FEBRUARY 2022'!C:C,1,FALSE),$B86)=0,FALSE)</f>
        <v>1</v>
      </c>
      <c r="N86" s="115" t="b">
        <f>IFS($A86=FALSE,"", countif(VLOOKUP($A86,'FEBRUARY 2022'!A:A,1,FALSE),$A86)&gt;=1,TRUE,countif(VLOOKUP($A86,'FEBRUARY 2022'!A:A,1,FALSE),$A86)=0,FALSE)</f>
        <v>1</v>
      </c>
      <c r="O86" s="111" t="str">
        <f t="shared" si="2"/>
        <v> </v>
      </c>
    </row>
    <row r="87" ht="15.75" hidden="1" customHeight="1">
      <c r="A87" s="110" t="str">
        <f t="shared" si="1"/>
        <v>1107244615</v>
      </c>
      <c r="B87" s="111">
        <v>11072.0</v>
      </c>
      <c r="C87" s="112">
        <v>0.5729166666666666</v>
      </c>
      <c r="D87" s="111" t="s">
        <v>794</v>
      </c>
      <c r="E87" s="113">
        <v>27956.0</v>
      </c>
      <c r="F87" s="114">
        <v>44615.0</v>
      </c>
      <c r="G87" s="111" t="s">
        <v>6519</v>
      </c>
      <c r="H87" s="111" t="s">
        <v>6526</v>
      </c>
      <c r="I87" s="111" t="s">
        <v>6527</v>
      </c>
      <c r="J87" s="111" t="s">
        <v>6391</v>
      </c>
      <c r="K87" s="115"/>
      <c r="L87" s="115" t="s">
        <v>6522</v>
      </c>
      <c r="M87" s="115" t="b">
        <f>IFS($A87=FALSE,"", countif(VLOOKUP($B87,'FEBRUARY 2022'!C:C,1,FALSE),$B87)&gt;=1,TRUE,countif(VLOOKUP($B87,'FEBRUARY 2022'!C:C,1,FALSE),$B87)=0,FALSE)</f>
        <v>1</v>
      </c>
      <c r="N87" s="115" t="b">
        <f>IFS($A87=FALSE,"", countif(VLOOKUP($A87,'FEBRUARY 2022'!A:A,1,FALSE),$A87)&gt;=1,TRUE,countif(VLOOKUP($A87,'FEBRUARY 2022'!A:A,1,FALSE),$A87)=0,FALSE)</f>
        <v>1</v>
      </c>
      <c r="O87" s="111" t="str">
        <f t="shared" si="2"/>
        <v> </v>
      </c>
    </row>
    <row r="88" ht="15.75" hidden="1" customHeight="1">
      <c r="A88" s="110" t="str">
        <f t="shared" si="1"/>
        <v>1820744615</v>
      </c>
      <c r="B88" s="111">
        <v>18207.0</v>
      </c>
      <c r="C88" s="112">
        <v>0.5729166666666666</v>
      </c>
      <c r="D88" s="111" t="s">
        <v>6229</v>
      </c>
      <c r="E88" s="113">
        <v>37315.0</v>
      </c>
      <c r="F88" s="114">
        <v>44615.0</v>
      </c>
      <c r="G88" s="111" t="s">
        <v>6525</v>
      </c>
      <c r="H88" s="111" t="s">
        <v>6526</v>
      </c>
      <c r="I88" s="111" t="s">
        <v>6527</v>
      </c>
      <c r="J88" s="111" t="s">
        <v>6444</v>
      </c>
      <c r="K88" s="115"/>
      <c r="L88" s="115" t="s">
        <v>6522</v>
      </c>
      <c r="M88" s="115" t="b">
        <f>IFS($A88=FALSE,"", countif(VLOOKUP($B88,'FEBRUARY 2022'!C:C,1,FALSE),$B88)&gt;=1,TRUE,countif(VLOOKUP($B88,'FEBRUARY 2022'!C:C,1,FALSE),$B88)=0,FALSE)</f>
        <v>1</v>
      </c>
      <c r="N88" s="115" t="b">
        <f>IFS($A88=FALSE,"", countif(VLOOKUP($A88,'FEBRUARY 2022'!A:A,1,FALSE),$A88)&gt;=1,TRUE,countif(VLOOKUP($A88,'FEBRUARY 2022'!A:A,1,FALSE),$A88)=0,FALSE)</f>
        <v>1</v>
      </c>
      <c r="O88" s="111" t="str">
        <f t="shared" si="2"/>
        <v> </v>
      </c>
    </row>
    <row r="89" ht="15.75" hidden="1" customHeight="1">
      <c r="A89" s="110" t="str">
        <f t="shared" si="1"/>
        <v>1046644615</v>
      </c>
      <c r="B89" s="111">
        <v>10466.0</v>
      </c>
      <c r="C89" s="112">
        <v>0.59375</v>
      </c>
      <c r="D89" s="111" t="s">
        <v>556</v>
      </c>
      <c r="E89" s="113">
        <v>20330.0</v>
      </c>
      <c r="F89" s="114">
        <v>44615.0</v>
      </c>
      <c r="G89" s="111" t="s">
        <v>6519</v>
      </c>
      <c r="H89" s="111" t="s">
        <v>6520</v>
      </c>
      <c r="I89" s="111" t="s">
        <v>6524</v>
      </c>
      <c r="J89" s="111" t="s">
        <v>6489</v>
      </c>
      <c r="K89" s="115"/>
      <c r="L89" s="115" t="s">
        <v>6522</v>
      </c>
      <c r="M89" s="115" t="b">
        <f>IFS($A89=FALSE,"", countif(VLOOKUP($B89,'FEBRUARY 2022'!C:C,1,FALSE),$B89)&gt;=1,TRUE,countif(VLOOKUP($B89,'FEBRUARY 2022'!C:C,1,FALSE),$B89)=0,FALSE)</f>
        <v>1</v>
      </c>
      <c r="N89" s="115" t="b">
        <f>IFS($A89=FALSE,"", countif(VLOOKUP($A89,'FEBRUARY 2022'!A:A,1,FALSE),$A89)&gt;=1,TRUE,countif(VLOOKUP($A89,'FEBRUARY 2022'!A:A,1,FALSE),$A89)=0,FALSE)</f>
        <v>1</v>
      </c>
      <c r="O89" s="111" t="str">
        <f t="shared" si="2"/>
        <v> </v>
      </c>
    </row>
    <row r="90" ht="15.75" hidden="1" customHeight="1">
      <c r="A90" s="110" t="str">
        <f t="shared" si="1"/>
        <v>1639244615</v>
      </c>
      <c r="B90" s="111">
        <v>16392.0</v>
      </c>
      <c r="C90" s="112">
        <v>0.59375</v>
      </c>
      <c r="D90" s="111" t="s">
        <v>4658</v>
      </c>
      <c r="E90" s="113">
        <v>29159.0</v>
      </c>
      <c r="F90" s="114">
        <v>44615.0</v>
      </c>
      <c r="G90" s="111" t="s">
        <v>6519</v>
      </c>
      <c r="H90" s="111" t="s">
        <v>6520</v>
      </c>
      <c r="I90" s="111" t="s">
        <v>6521</v>
      </c>
      <c r="J90" s="111" t="s">
        <v>6444</v>
      </c>
      <c r="K90" s="115"/>
      <c r="L90" s="115" t="s">
        <v>6522</v>
      </c>
      <c r="M90" s="115" t="b">
        <f>IFS($A90=FALSE,"", countif(VLOOKUP($B90,'FEBRUARY 2022'!C:C,1,FALSE),$B90)&gt;=1,TRUE,countif(VLOOKUP($B90,'FEBRUARY 2022'!C:C,1,FALSE),$B90)=0,FALSE)</f>
        <v>1</v>
      </c>
      <c r="N90" s="115" t="b">
        <f>IFS($A90=FALSE,"", countif(VLOOKUP($A90,'FEBRUARY 2022'!A:A,1,FALSE),$A90)&gt;=1,TRUE,countif(VLOOKUP($A90,'FEBRUARY 2022'!A:A,1,FALSE),$A90)=0,FALSE)</f>
        <v>1</v>
      </c>
      <c r="O90" s="111" t="str">
        <f t="shared" si="2"/>
        <v> </v>
      </c>
    </row>
    <row r="91" ht="15.75" hidden="1" customHeight="1">
      <c r="A91" s="110" t="str">
        <f t="shared" si="1"/>
        <v>1819244615</v>
      </c>
      <c r="B91" s="111">
        <v>18192.0</v>
      </c>
      <c r="C91" s="112">
        <v>0.6041666666666666</v>
      </c>
      <c r="D91" s="111" t="s">
        <v>6232</v>
      </c>
      <c r="E91" s="113">
        <v>22602.0</v>
      </c>
      <c r="F91" s="114">
        <v>44615.0</v>
      </c>
      <c r="G91" s="111" t="s">
        <v>6525</v>
      </c>
      <c r="H91" s="111" t="s">
        <v>6526</v>
      </c>
      <c r="I91" s="111" t="s">
        <v>6527</v>
      </c>
      <c r="J91" s="111" t="s">
        <v>6445</v>
      </c>
      <c r="K91" s="115"/>
      <c r="L91" s="115" t="s">
        <v>6522</v>
      </c>
      <c r="M91" s="115" t="b">
        <f>IFS($A91=FALSE,"", countif(VLOOKUP($B91,'FEBRUARY 2022'!C:C,1,FALSE),$B91)&gt;=1,TRUE,countif(VLOOKUP($B91,'FEBRUARY 2022'!C:C,1,FALSE),$B91)=0,FALSE)</f>
        <v>1</v>
      </c>
      <c r="N91" s="115" t="b">
        <f>IFS($A91=FALSE,"", countif(VLOOKUP($A91,'FEBRUARY 2022'!A:A,1,FALSE),$A91)&gt;=1,TRUE,countif(VLOOKUP($A91,'FEBRUARY 2022'!A:A,1,FALSE),$A91)=0,FALSE)</f>
        <v>1</v>
      </c>
      <c r="O91" s="111" t="str">
        <f t="shared" si="2"/>
        <v> </v>
      </c>
    </row>
    <row r="92" ht="15.75" hidden="1" customHeight="1">
      <c r="A92" s="110" t="str">
        <f t="shared" si="1"/>
        <v>1628644615</v>
      </c>
      <c r="B92" s="111">
        <v>16286.0</v>
      </c>
      <c r="C92" s="112">
        <v>0.6041666666666666</v>
      </c>
      <c r="D92" s="111" t="s">
        <v>4569</v>
      </c>
      <c r="E92" s="113">
        <v>16305.0</v>
      </c>
      <c r="F92" s="114">
        <v>44615.0</v>
      </c>
      <c r="G92" s="111" t="s">
        <v>6523</v>
      </c>
      <c r="H92" s="111" t="s">
        <v>6520</v>
      </c>
      <c r="I92" s="111" t="s">
        <v>6524</v>
      </c>
      <c r="J92" s="111" t="s">
        <v>6489</v>
      </c>
      <c r="K92" s="115"/>
      <c r="L92" s="115" t="s">
        <v>6522</v>
      </c>
      <c r="M92" s="115" t="b">
        <f>IFS($A92=FALSE,"", countif(VLOOKUP($B92,'FEBRUARY 2022'!C:C,1,FALSE),$B92)&gt;=1,TRUE,countif(VLOOKUP($B92,'FEBRUARY 2022'!C:C,1,FALSE),$B92)=0,FALSE)</f>
        <v>1</v>
      </c>
      <c r="N92" s="115" t="b">
        <f>IFS($A92=FALSE,"", countif(VLOOKUP($A92,'FEBRUARY 2022'!A:A,1,FALSE),$A92)&gt;=1,TRUE,countif(VLOOKUP($A92,'FEBRUARY 2022'!A:A,1,FALSE),$A92)=0,FALSE)</f>
        <v>1</v>
      </c>
      <c r="O92" s="111" t="str">
        <f t="shared" si="2"/>
        <v> </v>
      </c>
    </row>
    <row r="93" ht="15.75" hidden="1" customHeight="1">
      <c r="A93" s="110" t="str">
        <f t="shared" si="1"/>
        <v>1521944615</v>
      </c>
      <c r="B93" s="111">
        <v>15219.0</v>
      </c>
      <c r="C93" s="112">
        <v>0.6041666666666666</v>
      </c>
      <c r="D93" s="111" t="s">
        <v>3652</v>
      </c>
      <c r="E93" s="113">
        <v>20125.0</v>
      </c>
      <c r="F93" s="114">
        <v>44615.0</v>
      </c>
      <c r="G93" s="111" t="s">
        <v>6519</v>
      </c>
      <c r="H93" s="111" t="s">
        <v>6520</v>
      </c>
      <c r="I93" s="111" t="s">
        <v>6521</v>
      </c>
      <c r="J93" s="111" t="s">
        <v>6489</v>
      </c>
      <c r="K93" s="115"/>
      <c r="L93" s="115" t="s">
        <v>6522</v>
      </c>
      <c r="M93" s="115" t="b">
        <f>IFS($A93=FALSE,"", countif(VLOOKUP($B93,'FEBRUARY 2022'!C:C,1,FALSE),$B93)&gt;=1,TRUE,countif(VLOOKUP($B93,'FEBRUARY 2022'!C:C,1,FALSE),$B93)=0,FALSE)</f>
        <v>1</v>
      </c>
      <c r="N93" s="115" t="b">
        <f>IFS($A93=FALSE,"", countif(VLOOKUP($A93,'FEBRUARY 2022'!A:A,1,FALSE),$A93)&gt;=1,TRUE,countif(VLOOKUP($A93,'FEBRUARY 2022'!A:A,1,FALSE),$A93)=0,FALSE)</f>
        <v>1</v>
      </c>
      <c r="O93" s="111" t="str">
        <f t="shared" si="2"/>
        <v> </v>
      </c>
    </row>
    <row r="94" ht="15.75" hidden="1" customHeight="1">
      <c r="A94" s="110" t="str">
        <f t="shared" si="1"/>
        <v>1532844615</v>
      </c>
      <c r="B94" s="111">
        <v>15328.0</v>
      </c>
      <c r="C94" s="112">
        <v>0.6041666666666666</v>
      </c>
      <c r="D94" s="111" t="s">
        <v>3740</v>
      </c>
      <c r="E94" s="113">
        <v>26212.0</v>
      </c>
      <c r="F94" s="114">
        <v>44615.0</v>
      </c>
      <c r="G94" s="111" t="s">
        <v>6523</v>
      </c>
      <c r="H94" s="111" t="s">
        <v>6520</v>
      </c>
      <c r="I94" s="111" t="s">
        <v>6524</v>
      </c>
      <c r="J94" s="111" t="s">
        <v>6381</v>
      </c>
      <c r="K94" s="115"/>
      <c r="L94" s="115" t="s">
        <v>6522</v>
      </c>
      <c r="M94" s="115" t="b">
        <f>IFS($A94=FALSE,"", countif(VLOOKUP($B94,'FEBRUARY 2022'!C:C,1,FALSE),$B94)&gt;=1,TRUE,countif(VLOOKUP($B94,'FEBRUARY 2022'!C:C,1,FALSE),$B94)=0,FALSE)</f>
        <v>1</v>
      </c>
      <c r="N94" s="115" t="b">
        <f>IFS($A94=FALSE,"", countif(VLOOKUP($A94,'FEBRUARY 2022'!A:A,1,FALSE),$A94)&gt;=1,TRUE,countif(VLOOKUP($A94,'FEBRUARY 2022'!A:A,1,FALSE),$A94)=0,FALSE)</f>
        <v>1</v>
      </c>
      <c r="O94" s="111" t="str">
        <f t="shared" si="2"/>
        <v> </v>
      </c>
    </row>
    <row r="95" ht="15.75" hidden="1" customHeight="1">
      <c r="A95" s="110" t="str">
        <f t="shared" si="1"/>
        <v>1818944615</v>
      </c>
      <c r="B95" s="111">
        <v>18189.0</v>
      </c>
      <c r="C95" s="112">
        <v>0.6145833333333334</v>
      </c>
      <c r="D95" s="111" t="s">
        <v>6233</v>
      </c>
      <c r="E95" s="113">
        <v>29148.0</v>
      </c>
      <c r="F95" s="114">
        <v>44615.0</v>
      </c>
      <c r="G95" s="111" t="s">
        <v>6525</v>
      </c>
      <c r="H95" s="111" t="s">
        <v>6526</v>
      </c>
      <c r="I95" s="111" t="s">
        <v>6550</v>
      </c>
      <c r="J95" s="111" t="s">
        <v>6407</v>
      </c>
      <c r="K95" s="115"/>
      <c r="L95" s="115" t="s">
        <v>6522</v>
      </c>
      <c r="M95" s="115" t="b">
        <f>IFS($A95=FALSE,"", countif(VLOOKUP($B95,'FEBRUARY 2022'!C:C,1,FALSE),$B95)&gt;=1,TRUE,countif(VLOOKUP($B95,'FEBRUARY 2022'!C:C,1,FALSE),$B95)=0,FALSE)</f>
        <v>1</v>
      </c>
      <c r="N95" s="115" t="b">
        <f>IFS($A95=FALSE,"", countif(VLOOKUP($A95,'FEBRUARY 2022'!A:A,1,FALSE),$A95)&gt;=1,TRUE,countif(VLOOKUP($A95,'FEBRUARY 2022'!A:A,1,FALSE),$A95)=0,FALSE)</f>
        <v>1</v>
      </c>
      <c r="O95" s="111" t="str">
        <f t="shared" si="2"/>
        <v> </v>
      </c>
    </row>
    <row r="96" ht="15.75" hidden="1" customHeight="1">
      <c r="A96" s="110" t="str">
        <f t="shared" si="1"/>
        <v>916444615</v>
      </c>
      <c r="B96" s="111">
        <v>9164.0</v>
      </c>
      <c r="C96" s="112">
        <v>0.6145833333333334</v>
      </c>
      <c r="D96" s="111" t="s">
        <v>47</v>
      </c>
      <c r="E96" s="113">
        <v>12175.0</v>
      </c>
      <c r="F96" s="114">
        <v>44615.0</v>
      </c>
      <c r="G96" s="111" t="s">
        <v>6519</v>
      </c>
      <c r="H96" s="111" t="s">
        <v>6526</v>
      </c>
      <c r="I96" s="111" t="s">
        <v>6550</v>
      </c>
      <c r="J96" s="111" t="s">
        <v>6427</v>
      </c>
      <c r="K96" s="115"/>
      <c r="L96" s="115" t="s">
        <v>6522</v>
      </c>
      <c r="M96" s="115" t="b">
        <f>IFS($A96=FALSE,"", countif(VLOOKUP($B96,'FEBRUARY 2022'!C:C,1,FALSE),$B96)&gt;=1,TRUE,countif(VLOOKUP($B96,'FEBRUARY 2022'!C:C,1,FALSE),$B96)=0,FALSE)</f>
        <v>1</v>
      </c>
      <c r="N96" s="115" t="b">
        <f>IFS($A96=FALSE,"", countif(VLOOKUP($A96,'FEBRUARY 2022'!A:A,1,FALSE),$A96)&gt;=1,TRUE,countif(VLOOKUP($A96,'FEBRUARY 2022'!A:A,1,FALSE),$A96)=0,FALSE)</f>
        <v>1</v>
      </c>
      <c r="O96" s="111" t="str">
        <f t="shared" si="2"/>
        <v> </v>
      </c>
    </row>
    <row r="97" ht="15.75" hidden="1" customHeight="1">
      <c r="A97" s="110" t="str">
        <f t="shared" si="1"/>
        <v>957444615</v>
      </c>
      <c r="B97" s="111">
        <v>9574.0</v>
      </c>
      <c r="C97" s="112">
        <v>0.6145833333333334</v>
      </c>
      <c r="D97" s="111" t="s">
        <v>216</v>
      </c>
      <c r="E97" s="113">
        <v>22789.0</v>
      </c>
      <c r="F97" s="114">
        <v>44615.0</v>
      </c>
      <c r="G97" s="111" t="s">
        <v>6523</v>
      </c>
      <c r="H97" s="111" t="s">
        <v>6520</v>
      </c>
      <c r="I97" s="111" t="s">
        <v>6521</v>
      </c>
      <c r="J97" s="111" t="s">
        <v>6445</v>
      </c>
      <c r="K97" s="115"/>
      <c r="L97" s="115" t="s">
        <v>6522</v>
      </c>
      <c r="M97" s="115" t="b">
        <f>IFS($A97=FALSE,"", countif(VLOOKUP($B97,'FEBRUARY 2022'!C:C,1,FALSE),$B97)&gt;=1,TRUE,countif(VLOOKUP($B97,'FEBRUARY 2022'!C:C,1,FALSE),$B97)=0,FALSE)</f>
        <v>1</v>
      </c>
      <c r="N97" s="115" t="b">
        <f>IFS($A97=FALSE,"", countif(VLOOKUP($A97,'FEBRUARY 2022'!A:A,1,FALSE),$A97)&gt;=1,TRUE,countif(VLOOKUP($A97,'FEBRUARY 2022'!A:A,1,FALSE),$A97)=0,FALSE)</f>
        <v>1</v>
      </c>
      <c r="O97" s="111" t="str">
        <f t="shared" si="2"/>
        <v> </v>
      </c>
    </row>
    <row r="98" ht="15.75" hidden="1" customHeight="1">
      <c r="A98" s="110" t="str">
        <f t="shared" si="1"/>
        <v>1003144615</v>
      </c>
      <c r="B98" s="111">
        <v>10031.0</v>
      </c>
      <c r="C98" s="112">
        <v>0.625</v>
      </c>
      <c r="D98" s="111" t="s">
        <v>379</v>
      </c>
      <c r="E98" s="113">
        <v>17004.0</v>
      </c>
      <c r="F98" s="114">
        <v>44615.0</v>
      </c>
      <c r="G98" s="111" t="s">
        <v>6523</v>
      </c>
      <c r="H98" s="111" t="s">
        <v>6526</v>
      </c>
      <c r="I98" s="111" t="s">
        <v>6550</v>
      </c>
      <c r="J98" s="111" t="s">
        <v>6427</v>
      </c>
      <c r="K98" s="115"/>
      <c r="L98" s="115" t="s">
        <v>6522</v>
      </c>
      <c r="M98" s="115" t="b">
        <f>IFS($A98=FALSE,"", countif(VLOOKUP($B98,'FEBRUARY 2022'!C:C,1,FALSE),$B98)&gt;=1,TRUE,countif(VLOOKUP($B98,'FEBRUARY 2022'!C:C,1,FALSE),$B98)=0,FALSE)</f>
        <v>1</v>
      </c>
      <c r="N98" s="115" t="b">
        <f>IFS($A98=FALSE,"", countif(VLOOKUP($A98,'FEBRUARY 2022'!A:A,1,FALSE),$A98)&gt;=1,TRUE,countif(VLOOKUP($A98,'FEBRUARY 2022'!A:A,1,FALSE),$A98)=0,FALSE)</f>
        <v>1</v>
      </c>
      <c r="O98" s="111" t="str">
        <f t="shared" si="2"/>
        <v> </v>
      </c>
    </row>
    <row r="99" ht="15.75" hidden="1" customHeight="1">
      <c r="A99" s="110" t="str">
        <f t="shared" si="1"/>
        <v>1044544615</v>
      </c>
      <c r="B99" s="111">
        <v>10445.0</v>
      </c>
      <c r="C99" s="112">
        <v>0.6354166666666666</v>
      </c>
      <c r="D99" s="111" t="s">
        <v>548</v>
      </c>
      <c r="E99" s="113">
        <v>16254.0</v>
      </c>
      <c r="F99" s="114">
        <v>44615.0</v>
      </c>
      <c r="G99" s="111" t="s">
        <v>6519</v>
      </c>
      <c r="H99" s="111" t="s">
        <v>6526</v>
      </c>
      <c r="I99" s="111" t="s">
        <v>6527</v>
      </c>
      <c r="J99" s="111" t="s">
        <v>6427</v>
      </c>
      <c r="K99" s="115"/>
      <c r="L99" s="115" t="s">
        <v>6522</v>
      </c>
      <c r="M99" s="115" t="b">
        <f>IFS($A99=FALSE,"", countif(VLOOKUP($B99,'FEBRUARY 2022'!C:C,1,FALSE),$B99)&gt;=1,TRUE,countif(VLOOKUP($B99,'FEBRUARY 2022'!C:C,1,FALSE),$B99)=0,FALSE)</f>
        <v>1</v>
      </c>
      <c r="N99" s="115" t="b">
        <f>IFS($A99=FALSE,"", countif(VLOOKUP($A99,'FEBRUARY 2022'!A:A,1,FALSE),$A99)&gt;=1,TRUE,countif(VLOOKUP($A99,'FEBRUARY 2022'!A:A,1,FALSE),$A99)=0,FALSE)</f>
        <v>1</v>
      </c>
      <c r="O99" s="111" t="str">
        <f t="shared" si="2"/>
        <v> </v>
      </c>
    </row>
    <row r="100" ht="15.75" hidden="1" customHeight="1">
      <c r="A100" s="110" t="str">
        <f t="shared" si="1"/>
        <v>1141144615</v>
      </c>
      <c r="B100" s="111">
        <v>11411.0</v>
      </c>
      <c r="C100" s="112">
        <v>0.6354166666666666</v>
      </c>
      <c r="D100" s="111" t="s">
        <v>940</v>
      </c>
      <c r="E100" s="113">
        <v>26573.0</v>
      </c>
      <c r="F100" s="114">
        <v>44615.0</v>
      </c>
      <c r="G100" s="111" t="s">
        <v>6519</v>
      </c>
      <c r="H100" s="111" t="s">
        <v>6526</v>
      </c>
      <c r="I100" s="111" t="s">
        <v>6527</v>
      </c>
      <c r="J100" s="111" t="s">
        <v>6379</v>
      </c>
      <c r="K100" s="115"/>
      <c r="L100" s="115" t="s">
        <v>6522</v>
      </c>
      <c r="M100" s="115" t="b">
        <f>IFS($A100=FALSE,"", countif(VLOOKUP($B100,'FEBRUARY 2022'!C:C,1,FALSE),$B100)&gt;=1,TRUE,countif(VLOOKUP($B100,'FEBRUARY 2022'!C:C,1,FALSE),$B100)=0,FALSE)</f>
        <v>1</v>
      </c>
      <c r="N100" s="115" t="b">
        <f>IFS($A100=FALSE,"", countif(VLOOKUP($A100,'FEBRUARY 2022'!A:A,1,FALSE),$A100)&gt;=1,TRUE,countif(VLOOKUP($A100,'FEBRUARY 2022'!A:A,1,FALSE),$A100)=0,FALSE)</f>
        <v>1</v>
      </c>
      <c r="O100" s="111" t="str">
        <f t="shared" si="2"/>
        <v> </v>
      </c>
    </row>
    <row r="101" ht="15.75" hidden="1" customHeight="1">
      <c r="A101" s="110" t="str">
        <f t="shared" si="1"/>
        <v>1173844615</v>
      </c>
      <c r="B101" s="111">
        <v>11738.0</v>
      </c>
      <c r="C101" s="112">
        <v>0.6354166666666666</v>
      </c>
      <c r="D101" s="111" t="s">
        <v>1082</v>
      </c>
      <c r="E101" s="113">
        <v>19881.0</v>
      </c>
      <c r="F101" s="114">
        <v>44615.0</v>
      </c>
      <c r="G101" s="111" t="s">
        <v>6523</v>
      </c>
      <c r="H101" s="111" t="s">
        <v>6526</v>
      </c>
      <c r="I101" s="111" t="s">
        <v>6550</v>
      </c>
      <c r="J101" s="111" t="s">
        <v>6427</v>
      </c>
      <c r="K101" s="115"/>
      <c r="L101" s="115" t="s">
        <v>6522</v>
      </c>
      <c r="M101" s="115" t="b">
        <f>IFS($A101=FALSE,"", countif(VLOOKUP($B101,'FEBRUARY 2022'!C:C,1,FALSE),$B101)&gt;=1,TRUE,countif(VLOOKUP($B101,'FEBRUARY 2022'!C:C,1,FALSE),$B101)=0,FALSE)</f>
        <v>1</v>
      </c>
      <c r="N101" s="115" t="b">
        <f>IFS($A101=FALSE,"", countif(VLOOKUP($A101,'FEBRUARY 2022'!A:A,1,FALSE),$A101)&gt;=1,TRUE,countif(VLOOKUP($A101,'FEBRUARY 2022'!A:A,1,FALSE),$A101)=0,FALSE)</f>
        <v>1</v>
      </c>
      <c r="O101" s="111" t="str">
        <f t="shared" si="2"/>
        <v> </v>
      </c>
    </row>
    <row r="102" ht="15.75" hidden="1" customHeight="1">
      <c r="A102" s="110" t="str">
        <f t="shared" si="1"/>
        <v>1553044615</v>
      </c>
      <c r="B102" s="111">
        <v>15530.0</v>
      </c>
      <c r="C102" s="112">
        <v>0.6458333333333334</v>
      </c>
      <c r="D102" s="111" t="s">
        <v>3912</v>
      </c>
      <c r="E102" s="113">
        <v>16683.0</v>
      </c>
      <c r="F102" s="114">
        <v>44615.0</v>
      </c>
      <c r="G102" s="111" t="s">
        <v>6519</v>
      </c>
      <c r="H102" s="111" t="s">
        <v>6526</v>
      </c>
      <c r="I102" s="111" t="s">
        <v>6550</v>
      </c>
      <c r="J102" s="111" t="s">
        <v>6427</v>
      </c>
      <c r="K102" s="115"/>
      <c r="L102" s="115" t="s">
        <v>6522</v>
      </c>
      <c r="M102" s="115" t="b">
        <f>IFS($A102=FALSE,"", countif(VLOOKUP($B102,'FEBRUARY 2022'!C:C,1,FALSE),$B102)&gt;=1,TRUE,countif(VLOOKUP($B102,'FEBRUARY 2022'!C:C,1,FALSE),$B102)=0,FALSE)</f>
        <v>1</v>
      </c>
      <c r="N102" s="115" t="b">
        <f>IFS($A102=FALSE,"", countif(VLOOKUP($A102,'FEBRUARY 2022'!A:A,1,FALSE),$A102)&gt;=1,TRUE,countif(VLOOKUP($A102,'FEBRUARY 2022'!A:A,1,FALSE),$A102)=0,FALSE)</f>
        <v>1</v>
      </c>
      <c r="O102" s="111" t="str">
        <f t="shared" si="2"/>
        <v> </v>
      </c>
    </row>
    <row r="103" ht="15.75" hidden="1" customHeight="1">
      <c r="A103" s="110" t="str">
        <f t="shared" si="1"/>
        <v>1504444615</v>
      </c>
      <c r="B103" s="111">
        <v>15044.0</v>
      </c>
      <c r="C103" s="112">
        <v>0.6458333333333334</v>
      </c>
      <c r="D103" s="111" t="s">
        <v>3504</v>
      </c>
      <c r="E103" s="113">
        <v>21018.0</v>
      </c>
      <c r="F103" s="114">
        <v>44615.0</v>
      </c>
      <c r="G103" s="111" t="s">
        <v>6519</v>
      </c>
      <c r="H103" s="111" t="s">
        <v>6520</v>
      </c>
      <c r="I103" s="111" t="s">
        <v>6521</v>
      </c>
      <c r="J103" s="111" t="s">
        <v>6410</v>
      </c>
      <c r="K103" s="115"/>
      <c r="L103" s="115" t="s">
        <v>6522</v>
      </c>
      <c r="M103" s="115" t="b">
        <f>IFS($A103=FALSE,"", countif(VLOOKUP($B103,'FEBRUARY 2022'!C:C,1,FALSE),$B103)&gt;=1,TRUE,countif(VLOOKUP($B103,'FEBRUARY 2022'!C:C,1,FALSE),$B103)=0,FALSE)</f>
        <v>1</v>
      </c>
      <c r="N103" s="115" t="b">
        <f>IFS($A103=FALSE,"", countif(VLOOKUP($A103,'FEBRUARY 2022'!A:A,1,FALSE),$A103)&gt;=1,TRUE,countif(VLOOKUP($A103,'FEBRUARY 2022'!A:A,1,FALSE),$A103)=0,FALSE)</f>
        <v>1</v>
      </c>
      <c r="O103" s="111" t="str">
        <f t="shared" si="2"/>
        <v> </v>
      </c>
    </row>
    <row r="104" ht="15.75" hidden="1" customHeight="1">
      <c r="A104" s="110" t="str">
        <f t="shared" si="1"/>
        <v>1244644615</v>
      </c>
      <c r="B104" s="111">
        <v>12446.0</v>
      </c>
      <c r="C104" s="112">
        <v>0.6458333333333334</v>
      </c>
      <c r="D104" s="111" t="s">
        <v>1460</v>
      </c>
      <c r="E104" s="113">
        <v>33168.0</v>
      </c>
      <c r="F104" s="114">
        <v>44615.0</v>
      </c>
      <c r="G104" s="111" t="s">
        <v>6523</v>
      </c>
      <c r="H104" s="111" t="s">
        <v>6520</v>
      </c>
      <c r="I104" s="111" t="s">
        <v>6524</v>
      </c>
      <c r="J104" s="111" t="s">
        <v>6489</v>
      </c>
      <c r="K104" s="115"/>
      <c r="L104" s="115" t="s">
        <v>6522</v>
      </c>
      <c r="M104" s="115" t="b">
        <f>IFS($A104=FALSE,"", countif(VLOOKUP($B104,'FEBRUARY 2022'!C:C,1,FALSE),$B104)&gt;=1,TRUE,countif(VLOOKUP($B104,'FEBRUARY 2022'!C:C,1,FALSE),$B104)=0,FALSE)</f>
        <v>1</v>
      </c>
      <c r="N104" s="115" t="b">
        <f>IFS($A104=FALSE,"", countif(VLOOKUP($A104,'FEBRUARY 2022'!A:A,1,FALSE),$A104)&gt;=1,TRUE,countif(VLOOKUP($A104,'FEBRUARY 2022'!A:A,1,FALSE),$A104)=0,FALSE)</f>
        <v>1</v>
      </c>
      <c r="O104" s="111" t="str">
        <f t="shared" si="2"/>
        <v> </v>
      </c>
    </row>
    <row r="105" ht="15.75" hidden="1" customHeight="1">
      <c r="A105" s="110" t="str">
        <f t="shared" si="1"/>
        <v>1418344616</v>
      </c>
      <c r="B105" s="111">
        <v>14183.0</v>
      </c>
      <c r="C105" s="112">
        <v>0.3333333333333333</v>
      </c>
      <c r="D105" s="111" t="s">
        <v>2802</v>
      </c>
      <c r="E105" s="113">
        <v>17152.0</v>
      </c>
      <c r="F105" s="114">
        <v>44616.0</v>
      </c>
      <c r="G105" s="111" t="s">
        <v>6523</v>
      </c>
      <c r="H105" s="111" t="s">
        <v>6526</v>
      </c>
      <c r="I105" s="111" t="s">
        <v>6527</v>
      </c>
      <c r="J105" s="111" t="s">
        <v>6489</v>
      </c>
      <c r="K105" s="115"/>
      <c r="L105" s="115" t="s">
        <v>6522</v>
      </c>
      <c r="M105" s="115" t="b">
        <f>IFS($A105=FALSE,"", countif(VLOOKUP($B105,'FEBRUARY 2022'!C:C,1,FALSE),$B105)&gt;=1,TRUE,countif(VLOOKUP($B105,'FEBRUARY 2022'!C:C,1,FALSE),$B105)=0,FALSE)</f>
        <v>1</v>
      </c>
      <c r="N105" s="115" t="b">
        <f>IFS($A105=FALSE,"", countif(VLOOKUP($A105,'FEBRUARY 2022'!A:A,1,FALSE),$A105)&gt;=1,TRUE,countif(VLOOKUP($A105,'FEBRUARY 2022'!A:A,1,FALSE),$A105)=0,FALSE)</f>
        <v>1</v>
      </c>
      <c r="O105" s="111" t="str">
        <f t="shared" si="2"/>
        <v> </v>
      </c>
    </row>
    <row r="106" ht="15.75" hidden="1" customHeight="1">
      <c r="A106" s="110" t="str">
        <f t="shared" si="1"/>
        <v>1122344616</v>
      </c>
      <c r="B106" s="111">
        <v>11223.0</v>
      </c>
      <c r="C106" s="112">
        <v>0.3333333333333333</v>
      </c>
      <c r="D106" s="111" t="s">
        <v>868</v>
      </c>
      <c r="E106" s="113">
        <v>27156.0</v>
      </c>
      <c r="F106" s="114">
        <v>44616.0</v>
      </c>
      <c r="G106" s="111" t="s">
        <v>6519</v>
      </c>
      <c r="H106" s="111" t="s">
        <v>6520</v>
      </c>
      <c r="I106" s="111" t="s">
        <v>6524</v>
      </c>
      <c r="J106" s="111" t="s">
        <v>6381</v>
      </c>
      <c r="K106" s="115"/>
      <c r="L106" s="115" t="s">
        <v>6522</v>
      </c>
      <c r="M106" s="115" t="b">
        <f>IFS($A106=FALSE,"", countif(VLOOKUP($B106,'FEBRUARY 2022'!C:C,1,FALSE),$B106)&gt;=1,TRUE,countif(VLOOKUP($B106,'FEBRUARY 2022'!C:C,1,FALSE),$B106)=0,FALSE)</f>
        <v>1</v>
      </c>
      <c r="N106" s="115" t="b">
        <f>IFS($A106=FALSE,"", countif(VLOOKUP($A106,'FEBRUARY 2022'!A:A,1,FALSE),$A106)&gt;=1,TRUE,countif(VLOOKUP($A106,'FEBRUARY 2022'!A:A,1,FALSE),$A106)=0,FALSE)</f>
        <v>1</v>
      </c>
      <c r="O106" s="111" t="str">
        <f t="shared" si="2"/>
        <v> </v>
      </c>
    </row>
    <row r="107" ht="15.75" hidden="1" customHeight="1">
      <c r="A107" s="110" t="str">
        <f t="shared" si="1"/>
        <v>1697444616</v>
      </c>
      <c r="B107" s="111">
        <v>16974.0</v>
      </c>
      <c r="C107" s="112">
        <v>0.3333333333333333</v>
      </c>
      <c r="D107" s="111" t="s">
        <v>5102</v>
      </c>
      <c r="E107" s="113">
        <v>18458.0</v>
      </c>
      <c r="F107" s="114">
        <v>44616.0</v>
      </c>
      <c r="G107" s="111" t="s">
        <v>6519</v>
      </c>
      <c r="H107" s="111" t="s">
        <v>6520</v>
      </c>
      <c r="I107" s="111" t="s">
        <v>6521</v>
      </c>
      <c r="J107" s="111" t="s">
        <v>6489</v>
      </c>
      <c r="K107" s="115"/>
      <c r="L107" s="115" t="s">
        <v>6522</v>
      </c>
      <c r="M107" s="115" t="b">
        <f>IFS($A107=FALSE,"", countif(VLOOKUP($B107,'FEBRUARY 2022'!C:C,1,FALSE),$B107)&gt;=1,TRUE,countif(VLOOKUP($B107,'FEBRUARY 2022'!C:C,1,FALSE),$B107)=0,FALSE)</f>
        <v>1</v>
      </c>
      <c r="N107" s="115" t="b">
        <f>IFS($A107=FALSE,"", countif(VLOOKUP($A107,'FEBRUARY 2022'!A:A,1,FALSE),$A107)&gt;=1,TRUE,countif(VLOOKUP($A107,'FEBRUARY 2022'!A:A,1,FALSE),$A107)=0,FALSE)</f>
        <v>1</v>
      </c>
      <c r="O107" s="111" t="str">
        <f t="shared" si="2"/>
        <v> </v>
      </c>
    </row>
    <row r="108" ht="15.75" hidden="1" customHeight="1">
      <c r="A108" s="110" t="str">
        <f t="shared" si="1"/>
        <v>1633344616</v>
      </c>
      <c r="B108" s="111">
        <v>16333.0</v>
      </c>
      <c r="C108" s="112">
        <v>0.3541666666666667</v>
      </c>
      <c r="D108" s="111" t="s">
        <v>4606</v>
      </c>
      <c r="E108" s="113">
        <v>31071.0</v>
      </c>
      <c r="F108" s="114">
        <v>44616.0</v>
      </c>
      <c r="G108" s="111" t="s">
        <v>6523</v>
      </c>
      <c r="H108" s="111" t="s">
        <v>6520</v>
      </c>
      <c r="I108" s="111" t="s">
        <v>6521</v>
      </c>
      <c r="J108" s="111" t="s">
        <v>6444</v>
      </c>
      <c r="K108" s="115"/>
      <c r="L108" s="115" t="s">
        <v>6522</v>
      </c>
      <c r="M108" s="115" t="b">
        <f>IFS($A108=FALSE,"", countif(VLOOKUP($B108,'FEBRUARY 2022'!C:C,1,FALSE),$B108)&gt;=1,TRUE,countif(VLOOKUP($B108,'FEBRUARY 2022'!C:C,1,FALSE),$B108)=0,FALSE)</f>
        <v>1</v>
      </c>
      <c r="N108" s="115" t="b">
        <f>IFS($A108=FALSE,"", countif(VLOOKUP($A108,'FEBRUARY 2022'!A:A,1,FALSE),$A108)&gt;=1,TRUE,countif(VLOOKUP($A108,'FEBRUARY 2022'!A:A,1,FALSE),$A108)=0,FALSE)</f>
        <v>1</v>
      </c>
      <c r="O108" s="111" t="str">
        <f t="shared" si="2"/>
        <v> </v>
      </c>
    </row>
    <row r="109" ht="15.75" hidden="1" customHeight="1">
      <c r="A109" s="110" t="str">
        <f t="shared" si="1"/>
        <v>1277544616</v>
      </c>
      <c r="B109" s="111">
        <v>12775.0</v>
      </c>
      <c r="C109" s="112">
        <v>0.3645833333333333</v>
      </c>
      <c r="D109" s="111" t="s">
        <v>1696</v>
      </c>
      <c r="E109" s="113">
        <v>21667.0</v>
      </c>
      <c r="F109" s="114">
        <v>44616.0</v>
      </c>
      <c r="G109" s="111" t="s">
        <v>6523</v>
      </c>
      <c r="H109" s="111" t="s">
        <v>6526</v>
      </c>
      <c r="I109" s="111" t="s">
        <v>6527</v>
      </c>
      <c r="J109" s="111" t="s">
        <v>6464</v>
      </c>
      <c r="K109" s="115"/>
      <c r="L109" s="115" t="s">
        <v>6522</v>
      </c>
      <c r="M109" s="115" t="b">
        <f>IFS($A109=FALSE,"", countif(VLOOKUP($B109,'FEBRUARY 2022'!C:C,1,FALSE),$B109)&gt;=1,TRUE,countif(VLOOKUP($B109,'FEBRUARY 2022'!C:C,1,FALSE),$B109)=0,FALSE)</f>
        <v>1</v>
      </c>
      <c r="N109" s="115" t="b">
        <f>IFS($A109=FALSE,"", countif(VLOOKUP($A109,'FEBRUARY 2022'!A:A,1,FALSE),$A109)&gt;=1,TRUE,countif(VLOOKUP($A109,'FEBRUARY 2022'!A:A,1,FALSE),$A109)=0,FALSE)</f>
        <v>1</v>
      </c>
      <c r="O109" s="111" t="str">
        <f t="shared" si="2"/>
        <v> </v>
      </c>
    </row>
    <row r="110" ht="15.75" hidden="1" customHeight="1">
      <c r="A110" s="110" t="str">
        <f t="shared" si="1"/>
        <v>1560444616</v>
      </c>
      <c r="B110" s="111">
        <v>15604.0</v>
      </c>
      <c r="C110" s="112">
        <v>0.3958333333333333</v>
      </c>
      <c r="D110" s="111" t="s">
        <v>3978</v>
      </c>
      <c r="E110" s="113">
        <v>20476.0</v>
      </c>
      <c r="F110" s="114">
        <v>44616.0</v>
      </c>
      <c r="G110" s="111" t="s">
        <v>6519</v>
      </c>
      <c r="H110" s="111" t="s">
        <v>6520</v>
      </c>
      <c r="I110" s="111" t="s">
        <v>6524</v>
      </c>
      <c r="J110" s="111" t="s">
        <v>6374</v>
      </c>
      <c r="K110" s="115"/>
      <c r="L110" s="115" t="s">
        <v>6522</v>
      </c>
      <c r="M110" s="115" t="b">
        <f>IFS($A110=FALSE,"", countif(VLOOKUP($B110,'FEBRUARY 2022'!C:C,1,FALSE),$B110)&gt;=1,TRUE,countif(VLOOKUP($B110,'FEBRUARY 2022'!C:C,1,FALSE),$B110)=0,FALSE)</f>
        <v>1</v>
      </c>
      <c r="N110" s="115" t="b">
        <f>IFS($A110=FALSE,"", countif(VLOOKUP($A110,'FEBRUARY 2022'!A:A,1,FALSE),$A110)&gt;=1,TRUE,countif(VLOOKUP($A110,'FEBRUARY 2022'!A:A,1,FALSE),$A110)=0,FALSE)</f>
        <v>1</v>
      </c>
      <c r="O110" s="111" t="str">
        <f t="shared" si="2"/>
        <v> </v>
      </c>
    </row>
    <row r="111" ht="15.75" hidden="1" customHeight="1">
      <c r="A111" s="110" t="str">
        <f t="shared" si="1"/>
        <v>1450344616</v>
      </c>
      <c r="B111" s="111">
        <v>14503.0</v>
      </c>
      <c r="C111" s="112">
        <v>0.3958333333333333</v>
      </c>
      <c r="D111" s="111" t="s">
        <v>3054</v>
      </c>
      <c r="E111" s="113">
        <v>22835.0</v>
      </c>
      <c r="F111" s="114">
        <v>44616.0</v>
      </c>
      <c r="G111" s="111" t="s">
        <v>6523</v>
      </c>
      <c r="H111" s="111" t="s">
        <v>6520</v>
      </c>
      <c r="I111" s="111" t="s">
        <v>6524</v>
      </c>
      <c r="J111" s="111" t="s">
        <v>6492</v>
      </c>
      <c r="K111" s="115"/>
      <c r="L111" s="115" t="s">
        <v>6522</v>
      </c>
      <c r="M111" s="115" t="b">
        <f>IFS($A111=FALSE,"", countif(VLOOKUP($B111,'FEBRUARY 2022'!C:C,1,FALSE),$B111)&gt;=1,TRUE,countif(VLOOKUP($B111,'FEBRUARY 2022'!C:C,1,FALSE),$B111)=0,FALSE)</f>
        <v>1</v>
      </c>
      <c r="N111" s="115" t="b">
        <f>IFS($A111=FALSE,"", countif(VLOOKUP($A111,'FEBRUARY 2022'!A:A,1,FALSE),$A111)&gt;=1,TRUE,countif(VLOOKUP($A111,'FEBRUARY 2022'!A:A,1,FALSE),$A111)=0,FALSE)</f>
        <v>1</v>
      </c>
      <c r="O111" s="111" t="str">
        <f t="shared" si="2"/>
        <v> </v>
      </c>
    </row>
    <row r="112" ht="15.75" hidden="1" customHeight="1">
      <c r="A112" s="110" t="str">
        <f t="shared" si="1"/>
        <v>1345844616</v>
      </c>
      <c r="B112" s="111">
        <v>13458.0</v>
      </c>
      <c r="C112" s="112">
        <v>0.3958333333333333</v>
      </c>
      <c r="D112" s="111" t="s">
        <v>2242</v>
      </c>
      <c r="E112" s="113">
        <v>21888.0</v>
      </c>
      <c r="F112" s="114">
        <v>44616.0</v>
      </c>
      <c r="G112" s="111" t="s">
        <v>6523</v>
      </c>
      <c r="H112" s="111" t="s">
        <v>6520</v>
      </c>
      <c r="I112" s="111" t="s">
        <v>6521</v>
      </c>
      <c r="J112" s="111" t="s">
        <v>6391</v>
      </c>
      <c r="K112" s="115"/>
      <c r="L112" s="115" t="s">
        <v>6522</v>
      </c>
      <c r="M112" s="115" t="b">
        <f>IFS($A112=FALSE,"", countif(VLOOKUP($B112,'FEBRUARY 2022'!C:C,1,FALSE),$B112)&gt;=1,TRUE,countif(VLOOKUP($B112,'FEBRUARY 2022'!C:C,1,FALSE),$B112)=0,FALSE)</f>
        <v>1</v>
      </c>
      <c r="N112" s="115" t="b">
        <f>IFS($A112=FALSE,"", countif(VLOOKUP($A112,'FEBRUARY 2022'!A:A,1,FALSE),$A112)&gt;=1,TRUE,countif(VLOOKUP($A112,'FEBRUARY 2022'!A:A,1,FALSE),$A112)=0,FALSE)</f>
        <v>1</v>
      </c>
      <c r="O112" s="111" t="str">
        <f t="shared" si="2"/>
        <v> </v>
      </c>
    </row>
    <row r="113" ht="15.75" hidden="1" customHeight="1">
      <c r="A113" s="110" t="str">
        <f t="shared" si="1"/>
        <v>1011544616</v>
      </c>
      <c r="B113" s="111">
        <v>10115.0</v>
      </c>
      <c r="C113" s="112">
        <v>0.40625</v>
      </c>
      <c r="D113" s="111" t="s">
        <v>416</v>
      </c>
      <c r="E113" s="113">
        <v>28803.0</v>
      </c>
      <c r="F113" s="114">
        <v>44616.0</v>
      </c>
      <c r="G113" s="111" t="s">
        <v>6519</v>
      </c>
      <c r="H113" s="111" t="s">
        <v>6520</v>
      </c>
      <c r="I113" s="111" t="s">
        <v>6521</v>
      </c>
      <c r="J113" s="111" t="s">
        <v>6381</v>
      </c>
      <c r="K113" s="115"/>
      <c r="L113" s="115" t="s">
        <v>6522</v>
      </c>
      <c r="M113" s="115" t="b">
        <f>IFS($A113=FALSE,"", countif(VLOOKUP($B113,'FEBRUARY 2022'!C:C,1,FALSE),$B113)&gt;=1,TRUE,countif(VLOOKUP($B113,'FEBRUARY 2022'!C:C,1,FALSE),$B113)=0,FALSE)</f>
        <v>1</v>
      </c>
      <c r="N113" s="115" t="b">
        <f>IFS($A113=FALSE,"", countif(VLOOKUP($A113,'FEBRUARY 2022'!A:A,1,FALSE),$A113)&gt;=1,TRUE,countif(VLOOKUP($A113,'FEBRUARY 2022'!A:A,1,FALSE),$A113)=0,FALSE)</f>
        <v>1</v>
      </c>
      <c r="O113" s="111" t="str">
        <f t="shared" si="2"/>
        <v> </v>
      </c>
    </row>
    <row r="114" ht="15.75" hidden="1" customHeight="1">
      <c r="A114" s="110" t="str">
        <f t="shared" si="1"/>
        <v>1266944616</v>
      </c>
      <c r="B114" s="111">
        <v>12669.0</v>
      </c>
      <c r="C114" s="112">
        <v>0.4166666666666667</v>
      </c>
      <c r="D114" s="111" t="s">
        <v>1613</v>
      </c>
      <c r="E114" s="113">
        <v>24179.0</v>
      </c>
      <c r="F114" s="114">
        <v>44616.0</v>
      </c>
      <c r="G114" s="111" t="s">
        <v>6523</v>
      </c>
      <c r="H114" s="111" t="s">
        <v>6520</v>
      </c>
      <c r="I114" s="111" t="s">
        <v>6524</v>
      </c>
      <c r="J114" s="111" t="s">
        <v>6427</v>
      </c>
      <c r="K114" s="115"/>
      <c r="L114" s="115" t="s">
        <v>6522</v>
      </c>
      <c r="M114" s="115" t="b">
        <f>IFS($A114=FALSE,"", countif(VLOOKUP($B114,'FEBRUARY 2022'!C:C,1,FALSE),$B114)&gt;=1,TRUE,countif(VLOOKUP($B114,'FEBRUARY 2022'!C:C,1,FALSE),$B114)=0,FALSE)</f>
        <v>1</v>
      </c>
      <c r="N114" s="115" t="b">
        <f>IFS($A114=FALSE,"", countif(VLOOKUP($A114,'FEBRUARY 2022'!A:A,1,FALSE),$A114)&gt;=1,TRUE,countif(VLOOKUP($A114,'FEBRUARY 2022'!A:A,1,FALSE),$A114)=0,FALSE)</f>
        <v>1</v>
      </c>
      <c r="O114" s="111" t="str">
        <f t="shared" si="2"/>
        <v> </v>
      </c>
    </row>
    <row r="115" ht="15.75" hidden="1" customHeight="1">
      <c r="A115" s="110" t="str">
        <f t="shared" si="1"/>
        <v>1079644616</v>
      </c>
      <c r="B115" s="111">
        <v>10796.0</v>
      </c>
      <c r="C115" s="112">
        <v>0.4166666666666667</v>
      </c>
      <c r="D115" s="111" t="s">
        <v>687</v>
      </c>
      <c r="E115" s="113">
        <v>19515.0</v>
      </c>
      <c r="F115" s="114">
        <v>44616.0</v>
      </c>
      <c r="G115" s="111" t="s">
        <v>6519</v>
      </c>
      <c r="H115" s="111" t="s">
        <v>6520</v>
      </c>
      <c r="I115" s="111" t="s">
        <v>6521</v>
      </c>
      <c r="J115" s="111" t="s">
        <v>6384</v>
      </c>
      <c r="K115" s="115"/>
      <c r="L115" s="115" t="s">
        <v>6522</v>
      </c>
      <c r="M115" s="115" t="b">
        <f>IFS($A115=FALSE,"", countif(VLOOKUP($B115,'FEBRUARY 2022'!C:C,1,FALSE),$B115)&gt;=1,TRUE,countif(VLOOKUP($B115,'FEBRUARY 2022'!C:C,1,FALSE),$B115)=0,FALSE)</f>
        <v>1</v>
      </c>
      <c r="N115" s="115" t="b">
        <f>IFS($A115=FALSE,"", countif(VLOOKUP($A115,'FEBRUARY 2022'!A:A,1,FALSE),$A115)&gt;=1,TRUE,countif(VLOOKUP($A115,'FEBRUARY 2022'!A:A,1,FALSE),$A115)=0,FALSE)</f>
        <v>1</v>
      </c>
      <c r="O115" s="111" t="str">
        <f t="shared" si="2"/>
        <v> </v>
      </c>
    </row>
    <row r="116" ht="15.75" hidden="1" customHeight="1">
      <c r="A116" s="110" t="str">
        <f t="shared" si="1"/>
        <v>1731644616</v>
      </c>
      <c r="B116" s="111">
        <v>17316.0</v>
      </c>
      <c r="C116" s="112">
        <v>0.4166666666666667</v>
      </c>
      <c r="D116" s="111" t="s">
        <v>6089</v>
      </c>
      <c r="E116" s="113">
        <v>21188.0</v>
      </c>
      <c r="F116" s="114">
        <v>44616.0</v>
      </c>
      <c r="G116" s="111" t="s">
        <v>6523</v>
      </c>
      <c r="H116" s="111" t="s">
        <v>6520</v>
      </c>
      <c r="I116" s="111" t="s">
        <v>6521</v>
      </c>
      <c r="J116" s="111" t="s">
        <v>6457</v>
      </c>
      <c r="K116" s="115"/>
      <c r="L116" s="115" t="s">
        <v>6522</v>
      </c>
      <c r="M116" s="115" t="b">
        <f>IFS($A116=FALSE,"", countif(VLOOKUP($B116,'FEBRUARY 2022'!C:C,1,FALSE),$B116)&gt;=1,TRUE,countif(VLOOKUP($B116,'FEBRUARY 2022'!C:C,1,FALSE),$B116)=0,FALSE)</f>
        <v>1</v>
      </c>
      <c r="N116" s="115" t="b">
        <f>IFS($A116=FALSE,"", countif(VLOOKUP($A116,'FEBRUARY 2022'!A:A,1,FALSE),$A116)&gt;=1,TRUE,countif(VLOOKUP($A116,'FEBRUARY 2022'!A:A,1,FALSE),$A116)=0,FALSE)</f>
        <v>1</v>
      </c>
      <c r="O116" s="111" t="str">
        <f t="shared" si="2"/>
        <v> </v>
      </c>
    </row>
    <row r="117" ht="15.75" hidden="1" customHeight="1">
      <c r="A117" s="110" t="str">
        <f t="shared" si="1"/>
        <v>1791144616</v>
      </c>
      <c r="B117" s="111">
        <v>17911.0</v>
      </c>
      <c r="C117" s="112">
        <v>0.4479166666666667</v>
      </c>
      <c r="D117" s="111" t="s">
        <v>6091</v>
      </c>
      <c r="E117" s="113">
        <v>24230.0</v>
      </c>
      <c r="F117" s="114">
        <v>44616.0</v>
      </c>
      <c r="G117" s="111" t="s">
        <v>6519</v>
      </c>
      <c r="H117" s="111" t="s">
        <v>6526</v>
      </c>
      <c r="I117" s="111" t="s">
        <v>6527</v>
      </c>
      <c r="J117" s="111" t="s">
        <v>6407</v>
      </c>
      <c r="K117" s="115"/>
      <c r="L117" s="115" t="s">
        <v>6522</v>
      </c>
      <c r="M117" s="115" t="b">
        <f>IFS($A117=FALSE,"", countif(VLOOKUP($B117,'FEBRUARY 2022'!C:C,1,FALSE),$B117)&gt;=1,TRUE,countif(VLOOKUP($B117,'FEBRUARY 2022'!C:C,1,FALSE),$B117)=0,FALSE)</f>
        <v>1</v>
      </c>
      <c r="N117" s="115" t="b">
        <f>IFS($A117=FALSE,"", countif(VLOOKUP($A117,'FEBRUARY 2022'!A:A,1,FALSE),$A117)&gt;=1,TRUE,countif(VLOOKUP($A117,'FEBRUARY 2022'!A:A,1,FALSE),$A117)=0,FALSE)</f>
        <v>1</v>
      </c>
      <c r="O117" s="111" t="str">
        <f t="shared" si="2"/>
        <v> </v>
      </c>
    </row>
    <row r="118" ht="15.75" hidden="1" customHeight="1">
      <c r="A118" s="110" t="str">
        <f t="shared" si="1"/>
        <v>1754844616</v>
      </c>
      <c r="B118" s="111">
        <v>17548.0</v>
      </c>
      <c r="C118" s="112">
        <v>0.4479166666666667</v>
      </c>
      <c r="D118" s="111" t="s">
        <v>6250</v>
      </c>
      <c r="E118" s="113">
        <v>20628.0</v>
      </c>
      <c r="F118" s="114">
        <v>44616.0</v>
      </c>
      <c r="G118" s="111" t="s">
        <v>6525</v>
      </c>
      <c r="H118" s="111" t="s">
        <v>6526</v>
      </c>
      <c r="I118" s="111" t="s">
        <v>6550</v>
      </c>
      <c r="J118" s="111" t="s">
        <v>6407</v>
      </c>
      <c r="K118" s="115"/>
      <c r="L118" s="115" t="s">
        <v>6522</v>
      </c>
      <c r="M118" s="115" t="b">
        <f>IFS($A118=FALSE,"", countif(VLOOKUP($B118,'FEBRUARY 2022'!C:C,1,FALSE),$B118)&gt;=1,TRUE,countif(VLOOKUP($B118,'FEBRUARY 2022'!C:C,1,FALSE),$B118)=0,FALSE)</f>
        <v>1</v>
      </c>
      <c r="N118" s="115" t="b">
        <f>IFS($A118=FALSE,"", countif(VLOOKUP($A118,'FEBRUARY 2022'!A:A,1,FALSE),$A118)&gt;=1,TRUE,countif(VLOOKUP($A118,'FEBRUARY 2022'!A:A,1,FALSE),$A118)=0,FALSE)</f>
        <v>1</v>
      </c>
      <c r="O118" s="111" t="str">
        <f t="shared" si="2"/>
        <v> </v>
      </c>
    </row>
    <row r="119" ht="15.75" hidden="1" customHeight="1">
      <c r="A119" s="110" t="str">
        <f t="shared" si="1"/>
        <v>1647444616</v>
      </c>
      <c r="B119" s="111">
        <v>16474.0</v>
      </c>
      <c r="C119" s="112">
        <v>0.4583333333333333</v>
      </c>
      <c r="D119" s="111" t="s">
        <v>4714</v>
      </c>
      <c r="E119" s="113">
        <v>24316.0</v>
      </c>
      <c r="F119" s="114">
        <v>44616.0</v>
      </c>
      <c r="G119" s="111" t="s">
        <v>6523</v>
      </c>
      <c r="H119" s="111" t="s">
        <v>6526</v>
      </c>
      <c r="I119" s="111" t="s">
        <v>6527</v>
      </c>
      <c r="J119" s="111" t="s">
        <v>6407</v>
      </c>
      <c r="K119" s="115"/>
      <c r="L119" s="115" t="s">
        <v>6522</v>
      </c>
      <c r="M119" s="115" t="b">
        <f>IFS($A119=FALSE,"", countif(VLOOKUP($B119,'FEBRUARY 2022'!C:C,1,FALSE),$B119)&gt;=1,TRUE,countif(VLOOKUP($B119,'FEBRUARY 2022'!C:C,1,FALSE),$B119)=0,FALSE)</f>
        <v>1</v>
      </c>
      <c r="N119" s="115" t="b">
        <f>IFS($A119=FALSE,"", countif(VLOOKUP($A119,'FEBRUARY 2022'!A:A,1,FALSE),$A119)&gt;=1,TRUE,countif(VLOOKUP($A119,'FEBRUARY 2022'!A:A,1,FALSE),$A119)=0,FALSE)</f>
        <v>1</v>
      </c>
      <c r="O119" s="111" t="str">
        <f t="shared" si="2"/>
        <v> </v>
      </c>
    </row>
    <row r="120" ht="15.75" hidden="1" customHeight="1">
      <c r="A120" s="110" t="str">
        <f t="shared" si="1"/>
        <v>1360144616</v>
      </c>
      <c r="B120" s="111">
        <v>13601.0</v>
      </c>
      <c r="C120" s="112">
        <v>0.4583333333333333</v>
      </c>
      <c r="D120" s="111" t="s">
        <v>2358</v>
      </c>
      <c r="E120" s="113">
        <v>19131.0</v>
      </c>
      <c r="F120" s="114">
        <v>44616.0</v>
      </c>
      <c r="G120" s="111" t="s">
        <v>6523</v>
      </c>
      <c r="H120" s="111" t="s">
        <v>6520</v>
      </c>
      <c r="I120" s="111" t="s">
        <v>6524</v>
      </c>
      <c r="J120" s="111" t="s">
        <v>6476</v>
      </c>
      <c r="K120" s="115"/>
      <c r="L120" s="115" t="s">
        <v>6522</v>
      </c>
      <c r="M120" s="115" t="b">
        <f>IFS($A120=FALSE,"", countif(VLOOKUP($B120,'FEBRUARY 2022'!C:C,1,FALSE),$B120)&gt;=1,TRUE,countif(VLOOKUP($B120,'FEBRUARY 2022'!C:C,1,FALSE),$B120)=0,FALSE)</f>
        <v>1</v>
      </c>
      <c r="N120" s="115" t="b">
        <f>IFS($A120=FALSE,"", countif(VLOOKUP($A120,'FEBRUARY 2022'!A:A,1,FALSE),$A120)&gt;=1,TRUE,countif(VLOOKUP($A120,'FEBRUARY 2022'!A:A,1,FALSE),$A120)=0,FALSE)</f>
        <v>1</v>
      </c>
      <c r="O120" s="111" t="str">
        <f t="shared" si="2"/>
        <v> </v>
      </c>
    </row>
    <row r="121" ht="15.75" hidden="1" customHeight="1">
      <c r="A121" s="110" t="str">
        <f t="shared" si="1"/>
        <v>1379944616</v>
      </c>
      <c r="B121" s="111">
        <v>13799.0</v>
      </c>
      <c r="C121" s="112">
        <v>0.46875</v>
      </c>
      <c r="D121" s="111" t="s">
        <v>2516</v>
      </c>
      <c r="E121" s="113">
        <v>24564.0</v>
      </c>
      <c r="F121" s="114">
        <v>44616.0</v>
      </c>
      <c r="G121" s="111" t="s">
        <v>6523</v>
      </c>
      <c r="H121" s="111" t="s">
        <v>6520</v>
      </c>
      <c r="I121" s="111" t="s">
        <v>6521</v>
      </c>
      <c r="J121" s="111" t="s">
        <v>6489</v>
      </c>
      <c r="K121" s="115"/>
      <c r="L121" s="115" t="s">
        <v>6522</v>
      </c>
      <c r="M121" s="115" t="b">
        <f>IFS($A121=FALSE,"", countif(VLOOKUP($B121,'FEBRUARY 2022'!C:C,1,FALSE),$B121)&gt;=1,TRUE,countif(VLOOKUP($B121,'FEBRUARY 2022'!C:C,1,FALSE),$B121)=0,FALSE)</f>
        <v>1</v>
      </c>
      <c r="N121" s="115" t="b">
        <f>IFS($A121=FALSE,"", countif(VLOOKUP($A121,'FEBRUARY 2022'!A:A,1,FALSE),$A121)&gt;=1,TRUE,countif(VLOOKUP($A121,'FEBRUARY 2022'!A:A,1,FALSE),$A121)=0,FALSE)</f>
        <v>1</v>
      </c>
      <c r="O121" s="111" t="str">
        <f t="shared" si="2"/>
        <v> </v>
      </c>
    </row>
    <row r="122" ht="15.75" hidden="1" customHeight="1">
      <c r="A122" s="110" t="str">
        <f t="shared" si="1"/>
        <v>1460244616</v>
      </c>
      <c r="B122" s="111">
        <v>14602.0</v>
      </c>
      <c r="C122" s="112">
        <v>0.4895833333333333</v>
      </c>
      <c r="D122" s="111" t="s">
        <v>3139</v>
      </c>
      <c r="E122" s="113">
        <v>24599.0</v>
      </c>
      <c r="F122" s="114">
        <v>44616.0</v>
      </c>
      <c r="G122" s="111" t="s">
        <v>6519</v>
      </c>
      <c r="H122" s="111" t="s">
        <v>6526</v>
      </c>
      <c r="I122" s="111" t="s">
        <v>6527</v>
      </c>
      <c r="J122" s="111" t="s">
        <v>6407</v>
      </c>
      <c r="K122" s="115"/>
      <c r="L122" s="115" t="s">
        <v>6522</v>
      </c>
      <c r="M122" s="115" t="b">
        <f>IFS($A122=FALSE,"", countif(VLOOKUP($B122,'FEBRUARY 2022'!C:C,1,FALSE),$B122)&gt;=1,TRUE,countif(VLOOKUP($B122,'FEBRUARY 2022'!C:C,1,FALSE),$B122)=0,FALSE)</f>
        <v>1</v>
      </c>
      <c r="N122" s="115" t="b">
        <f>IFS($A122=FALSE,"", countif(VLOOKUP($A122,'FEBRUARY 2022'!A:A,1,FALSE),$A122)&gt;=1,TRUE,countif(VLOOKUP($A122,'FEBRUARY 2022'!A:A,1,FALSE),$A122)=0,FALSE)</f>
        <v>1</v>
      </c>
      <c r="O122" s="111" t="str">
        <f t="shared" si="2"/>
        <v> </v>
      </c>
    </row>
    <row r="123" ht="15.75" hidden="1" customHeight="1">
      <c r="A123" s="110" t="str">
        <f t="shared" si="1"/>
        <v>1286644616</v>
      </c>
      <c r="B123" s="111">
        <v>12866.0</v>
      </c>
      <c r="C123" s="112">
        <v>0.5416666666666666</v>
      </c>
      <c r="D123" s="111" t="s">
        <v>1774</v>
      </c>
      <c r="E123" s="113">
        <v>29894.0</v>
      </c>
      <c r="F123" s="114">
        <v>44616.0</v>
      </c>
      <c r="G123" s="111" t="s">
        <v>6523</v>
      </c>
      <c r="H123" s="111" t="s">
        <v>6520</v>
      </c>
      <c r="I123" s="111" t="s">
        <v>6524</v>
      </c>
      <c r="J123" s="111" t="s">
        <v>6444</v>
      </c>
      <c r="K123" s="115"/>
      <c r="L123" s="115" t="s">
        <v>6522</v>
      </c>
      <c r="M123" s="115" t="b">
        <f>IFS($A123=FALSE,"", countif(VLOOKUP($B123,'FEBRUARY 2022'!C:C,1,FALSE),$B123)&gt;=1,TRUE,countif(VLOOKUP($B123,'FEBRUARY 2022'!C:C,1,FALSE),$B123)=0,FALSE)</f>
        <v>1</v>
      </c>
      <c r="N123" s="115" t="b">
        <f>IFS($A123=FALSE,"", countif(VLOOKUP($A123,'FEBRUARY 2022'!A:A,1,FALSE),$A123)&gt;=1,TRUE,countif(VLOOKUP($A123,'FEBRUARY 2022'!A:A,1,FALSE),$A123)=0,FALSE)</f>
        <v>1</v>
      </c>
      <c r="O123" s="111" t="str">
        <f t="shared" si="2"/>
        <v> </v>
      </c>
    </row>
    <row r="124" ht="15.75" hidden="1" customHeight="1">
      <c r="A124" s="110" t="str">
        <f t="shared" si="1"/>
        <v>987844616</v>
      </c>
      <c r="B124" s="111">
        <v>9878.0</v>
      </c>
      <c r="C124" s="112">
        <v>0.5520833333333334</v>
      </c>
      <c r="D124" s="111" t="s">
        <v>328</v>
      </c>
      <c r="E124" s="113">
        <v>26966.0</v>
      </c>
      <c r="F124" s="114">
        <v>44616.0</v>
      </c>
      <c r="G124" s="111" t="s">
        <v>6519</v>
      </c>
      <c r="H124" s="111" t="s">
        <v>6520</v>
      </c>
      <c r="I124" s="111" t="s">
        <v>6524</v>
      </c>
      <c r="J124" s="111" t="s">
        <v>6416</v>
      </c>
      <c r="K124" s="115"/>
      <c r="L124" s="115" t="s">
        <v>6522</v>
      </c>
      <c r="M124" s="115" t="b">
        <f>IFS($A124=FALSE,"", countif(VLOOKUP($B124,'FEBRUARY 2022'!C:C,1,FALSE),$B124)&gt;=1,TRUE,countif(VLOOKUP($B124,'FEBRUARY 2022'!C:C,1,FALSE),$B124)=0,FALSE)</f>
        <v>1</v>
      </c>
      <c r="N124" s="115" t="b">
        <f>IFS($A124=FALSE,"", countif(VLOOKUP($A124,'FEBRUARY 2022'!A:A,1,FALSE),$A124)&gt;=1,TRUE,countif(VLOOKUP($A124,'FEBRUARY 2022'!A:A,1,FALSE),$A124)=0,FALSE)</f>
        <v>1</v>
      </c>
      <c r="O124" s="111" t="str">
        <f t="shared" si="2"/>
        <v> </v>
      </c>
    </row>
    <row r="125" ht="15.75" hidden="1" customHeight="1">
      <c r="A125" s="110" t="str">
        <f t="shared" si="1"/>
        <v>1514544616</v>
      </c>
      <c r="B125" s="111">
        <v>15145.0</v>
      </c>
      <c r="C125" s="112">
        <v>0.5729166666666666</v>
      </c>
      <c r="D125" s="111" t="s">
        <v>3592</v>
      </c>
      <c r="E125" s="113">
        <v>18524.0</v>
      </c>
      <c r="F125" s="114">
        <v>44616.0</v>
      </c>
      <c r="G125" s="111" t="s">
        <v>6519</v>
      </c>
      <c r="H125" s="111" t="s">
        <v>6520</v>
      </c>
      <c r="I125" s="111" t="s">
        <v>6524</v>
      </c>
      <c r="J125" s="111" t="s">
        <v>6489</v>
      </c>
      <c r="K125" s="115"/>
      <c r="L125" s="115" t="s">
        <v>6522</v>
      </c>
      <c r="M125" s="115" t="b">
        <f>IFS($A125=FALSE,"", countif(VLOOKUP($B125,'FEBRUARY 2022'!C:C,1,FALSE),$B125)&gt;=1,TRUE,countif(VLOOKUP($B125,'FEBRUARY 2022'!C:C,1,FALSE),$B125)=0,FALSE)</f>
        <v>1</v>
      </c>
      <c r="N125" s="115" t="b">
        <f>IFS($A125=FALSE,"", countif(VLOOKUP($A125,'FEBRUARY 2022'!A:A,1,FALSE),$A125)&gt;=1,TRUE,countif(VLOOKUP($A125,'FEBRUARY 2022'!A:A,1,FALSE),$A125)=0,FALSE)</f>
        <v>1</v>
      </c>
      <c r="O125" s="111" t="str">
        <f t="shared" si="2"/>
        <v> </v>
      </c>
    </row>
    <row r="126" ht="15.75" hidden="1" customHeight="1">
      <c r="A126" s="110" t="str">
        <f t="shared" si="1"/>
        <v>1559144616</v>
      </c>
      <c r="B126" s="111">
        <v>15591.0</v>
      </c>
      <c r="C126" s="112">
        <v>0.59375</v>
      </c>
      <c r="D126" s="111" t="s">
        <v>3966</v>
      </c>
      <c r="E126" s="113">
        <v>21357.0</v>
      </c>
      <c r="F126" s="114">
        <v>44616.0</v>
      </c>
      <c r="G126" s="111" t="s">
        <v>6519</v>
      </c>
      <c r="H126" s="111" t="s">
        <v>6526</v>
      </c>
      <c r="I126" s="111" t="s">
        <v>6550</v>
      </c>
      <c r="J126" s="111" t="s">
        <v>6407</v>
      </c>
      <c r="K126" s="115"/>
      <c r="L126" s="115" t="s">
        <v>6522</v>
      </c>
      <c r="M126" s="115" t="b">
        <f>IFS($A126=FALSE,"", countif(VLOOKUP($B126,'FEBRUARY 2022'!C:C,1,FALSE),$B126)&gt;=1,TRUE,countif(VLOOKUP($B126,'FEBRUARY 2022'!C:C,1,FALSE),$B126)=0,FALSE)</f>
        <v>1</v>
      </c>
      <c r="N126" s="115" t="b">
        <f>IFS($A126=FALSE,"", countif(VLOOKUP($A126,'FEBRUARY 2022'!A:A,1,FALSE),$A126)&gt;=1,TRUE,countif(VLOOKUP($A126,'FEBRUARY 2022'!A:A,1,FALSE),$A126)=0,FALSE)</f>
        <v>1</v>
      </c>
      <c r="O126" s="111" t="str">
        <f t="shared" si="2"/>
        <v> </v>
      </c>
    </row>
    <row r="127" ht="15.75" hidden="1" customHeight="1">
      <c r="A127" s="110" t="str">
        <f t="shared" si="1"/>
        <v>1039544616</v>
      </c>
      <c r="B127" s="111">
        <v>10395.0</v>
      </c>
      <c r="C127" s="112">
        <v>0.59375</v>
      </c>
      <c r="D127" s="111" t="s">
        <v>526</v>
      </c>
      <c r="E127" s="113">
        <v>16600.0</v>
      </c>
      <c r="F127" s="114">
        <v>44616.0</v>
      </c>
      <c r="G127" s="111" t="s">
        <v>6519</v>
      </c>
      <c r="H127" s="111" t="s">
        <v>6520</v>
      </c>
      <c r="I127" s="111" t="s">
        <v>6521</v>
      </c>
      <c r="J127" s="111" t="s">
        <v>6477</v>
      </c>
      <c r="K127" s="115"/>
      <c r="L127" s="115" t="s">
        <v>6522</v>
      </c>
      <c r="M127" s="115" t="b">
        <f>IFS($A127=FALSE,"", countif(VLOOKUP($B127,'FEBRUARY 2022'!C:C,1,FALSE),$B127)&gt;=1,TRUE,countif(VLOOKUP($B127,'FEBRUARY 2022'!C:C,1,FALSE),$B127)=0,FALSE)</f>
        <v>1</v>
      </c>
      <c r="N127" s="115" t="b">
        <f>IFS($A127=FALSE,"", countif(VLOOKUP($A127,'FEBRUARY 2022'!A:A,1,FALSE),$A127)&gt;=1,TRUE,countif(VLOOKUP($A127,'FEBRUARY 2022'!A:A,1,FALSE),$A127)=0,FALSE)</f>
        <v>1</v>
      </c>
      <c r="O127" s="111" t="str">
        <f t="shared" si="2"/>
        <v> </v>
      </c>
    </row>
    <row r="128" ht="15.75" hidden="1" customHeight="1">
      <c r="A128" s="110" t="str">
        <f t="shared" si="1"/>
        <v>1721444616</v>
      </c>
      <c r="B128" s="111">
        <v>17214.0</v>
      </c>
      <c r="C128" s="112">
        <v>0.6145833333333334</v>
      </c>
      <c r="D128" s="111" t="s">
        <v>5295</v>
      </c>
      <c r="E128" s="113">
        <v>27931.0</v>
      </c>
      <c r="F128" s="114">
        <v>44616.0</v>
      </c>
      <c r="G128" s="111" t="s">
        <v>6519</v>
      </c>
      <c r="H128" s="111" t="s">
        <v>6520</v>
      </c>
      <c r="I128" s="111" t="s">
        <v>6521</v>
      </c>
      <c r="J128" s="111" t="s">
        <v>6389</v>
      </c>
      <c r="K128" s="115"/>
      <c r="L128" s="115" t="s">
        <v>6522</v>
      </c>
      <c r="M128" s="115" t="b">
        <f>IFS($A128=FALSE,"", countif(VLOOKUP($B128,'FEBRUARY 2022'!C:C,1,FALSE),$B128)&gt;=1,TRUE,countif(VLOOKUP($B128,'FEBRUARY 2022'!C:C,1,FALSE),$B128)=0,FALSE)</f>
        <v>1</v>
      </c>
      <c r="N128" s="115" t="b">
        <f>IFS($A128=FALSE,"", countif(VLOOKUP($A128,'FEBRUARY 2022'!A:A,1,FALSE),$A128)&gt;=1,TRUE,countif(VLOOKUP($A128,'FEBRUARY 2022'!A:A,1,FALSE),$A128)=0,FALSE)</f>
        <v>1</v>
      </c>
      <c r="O128" s="111" t="str">
        <f t="shared" si="2"/>
        <v> </v>
      </c>
    </row>
    <row r="129" ht="15.75" hidden="1" customHeight="1">
      <c r="A129" s="110" t="str">
        <f t="shared" si="1"/>
        <v>1605344616</v>
      </c>
      <c r="B129" s="111">
        <v>16053.0</v>
      </c>
      <c r="C129" s="112">
        <v>0.625</v>
      </c>
      <c r="D129" s="111" t="s">
        <v>4381</v>
      </c>
      <c r="E129" s="113">
        <v>22521.0</v>
      </c>
      <c r="F129" s="114">
        <v>44616.0</v>
      </c>
      <c r="G129" s="111" t="s">
        <v>6523</v>
      </c>
      <c r="H129" s="111" t="s">
        <v>6520</v>
      </c>
      <c r="I129" s="111" t="s">
        <v>6524</v>
      </c>
      <c r="J129" s="111" t="s">
        <v>6426</v>
      </c>
      <c r="K129" s="115"/>
      <c r="L129" s="115" t="s">
        <v>6522</v>
      </c>
      <c r="M129" s="115" t="b">
        <f>IFS($A129=FALSE,"", countif(VLOOKUP($B129,'FEBRUARY 2022'!C:C,1,FALSE),$B129)&gt;=1,TRUE,countif(VLOOKUP($B129,'FEBRUARY 2022'!C:C,1,FALSE),$B129)=0,FALSE)</f>
        <v>1</v>
      </c>
      <c r="N129" s="115" t="b">
        <f>IFS($A129=FALSE,"", countif(VLOOKUP($A129,'FEBRUARY 2022'!A:A,1,FALSE),$A129)&gt;=1,TRUE,countif(VLOOKUP($A129,'FEBRUARY 2022'!A:A,1,FALSE),$A129)=0,FALSE)</f>
        <v>1</v>
      </c>
      <c r="O129" s="111" t="str">
        <f t="shared" si="2"/>
        <v> </v>
      </c>
    </row>
    <row r="130" ht="15.75" hidden="1" customHeight="1">
      <c r="A130" s="110" t="str">
        <f t="shared" si="1"/>
        <v>1179744616</v>
      </c>
      <c r="B130" s="111">
        <v>11797.0</v>
      </c>
      <c r="C130" s="112">
        <v>0.625</v>
      </c>
      <c r="D130" s="111" t="s">
        <v>1117</v>
      </c>
      <c r="E130" s="113">
        <v>22586.0</v>
      </c>
      <c r="F130" s="114">
        <v>44616.0</v>
      </c>
      <c r="G130" s="111" t="s">
        <v>6523</v>
      </c>
      <c r="H130" s="111" t="s">
        <v>6520</v>
      </c>
      <c r="I130" s="111" t="s">
        <v>6524</v>
      </c>
      <c r="J130" s="111" t="s">
        <v>6379</v>
      </c>
      <c r="K130" s="115"/>
      <c r="L130" s="115" t="s">
        <v>6522</v>
      </c>
      <c r="M130" s="115" t="b">
        <f>IFS($A130=FALSE,"", countif(VLOOKUP($B130,'FEBRUARY 2022'!C:C,1,FALSE),$B130)&gt;=1,TRUE,countif(VLOOKUP($B130,'FEBRUARY 2022'!C:C,1,FALSE),$B130)=0,FALSE)</f>
        <v>1</v>
      </c>
      <c r="N130" s="115" t="b">
        <f>IFS($A130=FALSE,"", countif(VLOOKUP($A130,'FEBRUARY 2022'!A:A,1,FALSE),$A130)&gt;=1,TRUE,countif(VLOOKUP($A130,'FEBRUARY 2022'!A:A,1,FALSE),$A130)=0,FALSE)</f>
        <v>1</v>
      </c>
      <c r="O130" s="111" t="str">
        <f t="shared" si="2"/>
        <v> </v>
      </c>
    </row>
    <row r="131" ht="15.75" hidden="1" customHeight="1">
      <c r="A131" s="110" t="str">
        <f t="shared" si="1"/>
        <v>1032344616</v>
      </c>
      <c r="B131" s="111">
        <v>10323.0</v>
      </c>
      <c r="C131" s="112">
        <v>0.625</v>
      </c>
      <c r="D131" s="111" t="s">
        <v>493</v>
      </c>
      <c r="E131" s="113">
        <v>25052.0</v>
      </c>
      <c r="F131" s="114">
        <v>44616.0</v>
      </c>
      <c r="G131" s="111" t="s">
        <v>6519</v>
      </c>
      <c r="H131" s="111" t="s">
        <v>6520</v>
      </c>
      <c r="I131" s="111" t="s">
        <v>6521</v>
      </c>
      <c r="J131" s="111" t="s">
        <v>6381</v>
      </c>
      <c r="K131" s="115"/>
      <c r="L131" s="115" t="s">
        <v>6522</v>
      </c>
      <c r="M131" s="115" t="b">
        <f>IFS($A131=FALSE,"", countif(VLOOKUP($B131,'FEBRUARY 2022'!C:C,1,FALSE),$B131)&gt;=1,TRUE,countif(VLOOKUP($B131,'FEBRUARY 2022'!C:C,1,FALSE),$B131)=0,FALSE)</f>
        <v>1</v>
      </c>
      <c r="N131" s="115" t="b">
        <f>IFS($A131=FALSE,"", countif(VLOOKUP($A131,'FEBRUARY 2022'!A:A,1,FALSE),$A131)&gt;=1,TRUE,countif(VLOOKUP($A131,'FEBRUARY 2022'!A:A,1,FALSE),$A131)=0,FALSE)</f>
        <v>1</v>
      </c>
      <c r="O131" s="111" t="str">
        <f t="shared" si="2"/>
        <v> </v>
      </c>
    </row>
    <row r="132" ht="15.75" hidden="1" customHeight="1">
      <c r="A132" s="110" t="str">
        <f t="shared" si="1"/>
        <v>1058344616</v>
      </c>
      <c r="B132" s="111">
        <v>10583.0</v>
      </c>
      <c r="C132" s="112">
        <v>0.6354166666666666</v>
      </c>
      <c r="D132" s="111" t="s">
        <v>590</v>
      </c>
      <c r="E132" s="113">
        <v>24764.0</v>
      </c>
      <c r="F132" s="114">
        <v>44616.0</v>
      </c>
      <c r="G132" s="111" t="s">
        <v>6519</v>
      </c>
      <c r="H132" s="111" t="s">
        <v>6520</v>
      </c>
      <c r="I132" s="111" t="s">
        <v>6524</v>
      </c>
      <c r="J132" s="111" t="s">
        <v>6373</v>
      </c>
      <c r="K132" s="115"/>
      <c r="L132" s="115" t="s">
        <v>6522</v>
      </c>
      <c r="M132" s="115" t="b">
        <f>IFS($A132=FALSE,"", countif(VLOOKUP($B132,'FEBRUARY 2022'!C:C,1,FALSE),$B132)&gt;=1,TRUE,countif(VLOOKUP($B132,'FEBRUARY 2022'!C:C,1,FALSE),$B132)=0,FALSE)</f>
        <v>1</v>
      </c>
      <c r="N132" s="115" t="b">
        <f>IFS($A132=FALSE,"", countif(VLOOKUP($A132,'FEBRUARY 2022'!A:A,1,FALSE),$A132)&gt;=1,TRUE,countif(VLOOKUP($A132,'FEBRUARY 2022'!A:A,1,FALSE),$A132)=0,FALSE)</f>
        <v>1</v>
      </c>
      <c r="O132" s="111" t="str">
        <f t="shared" si="2"/>
        <v> </v>
      </c>
    </row>
    <row r="133" ht="15.75" hidden="1" customHeight="1">
      <c r="A133" s="110" t="str">
        <f t="shared" si="1"/>
        <v>1758744616</v>
      </c>
      <c r="B133" s="111">
        <v>17587.0</v>
      </c>
      <c r="C133" s="112">
        <v>0.6458333333333334</v>
      </c>
      <c r="D133" s="111" t="s">
        <v>5573</v>
      </c>
      <c r="E133" s="113">
        <v>25234.0</v>
      </c>
      <c r="F133" s="114">
        <v>44616.0</v>
      </c>
      <c r="G133" s="111" t="s">
        <v>6519</v>
      </c>
      <c r="H133" s="111" t="s">
        <v>6520</v>
      </c>
      <c r="I133" s="111" t="s">
        <v>6521</v>
      </c>
      <c r="J133" s="111" t="s">
        <v>6489</v>
      </c>
      <c r="K133" s="115"/>
      <c r="L133" s="115" t="s">
        <v>6522</v>
      </c>
      <c r="M133" s="115" t="b">
        <f>IFS($A133=FALSE,"", countif(VLOOKUP($B133,'FEBRUARY 2022'!C:C,1,FALSE),$B133)&gt;=1,TRUE,countif(VLOOKUP($B133,'FEBRUARY 2022'!C:C,1,FALSE),$B133)=0,FALSE)</f>
        <v>1</v>
      </c>
      <c r="N133" s="115" t="b">
        <f>IFS($A133=FALSE,"", countif(VLOOKUP($A133,'FEBRUARY 2022'!A:A,1,FALSE),$A133)&gt;=1,TRUE,countif(VLOOKUP($A133,'FEBRUARY 2022'!A:A,1,FALSE),$A133)=0,FALSE)</f>
        <v>1</v>
      </c>
      <c r="O133" s="111" t="str">
        <f t="shared" si="2"/>
        <v> </v>
      </c>
    </row>
    <row r="134" ht="15.75" hidden="1" customHeight="1">
      <c r="A134" s="110" t="str">
        <f t="shared" si="1"/>
        <v>1669544616</v>
      </c>
      <c r="B134" s="111">
        <v>16695.0</v>
      </c>
      <c r="C134" s="112">
        <v>0.6458333333333334</v>
      </c>
      <c r="D134" s="111" t="s">
        <v>4883</v>
      </c>
      <c r="E134" s="113">
        <v>22489.0</v>
      </c>
      <c r="F134" s="114">
        <v>44616.0</v>
      </c>
      <c r="G134" s="111" t="s">
        <v>6523</v>
      </c>
      <c r="H134" s="111" t="s">
        <v>6520</v>
      </c>
      <c r="I134" s="111" t="s">
        <v>6521</v>
      </c>
      <c r="J134" s="111" t="s">
        <v>6379</v>
      </c>
      <c r="K134" s="115"/>
      <c r="L134" s="115" t="s">
        <v>6522</v>
      </c>
      <c r="M134" s="115" t="b">
        <f>IFS($A134=FALSE,"", countif(VLOOKUP($B134,'FEBRUARY 2022'!C:C,1,FALSE),$B134)&gt;=1,TRUE,countif(VLOOKUP($B134,'FEBRUARY 2022'!C:C,1,FALSE),$B134)=0,FALSE)</f>
        <v>1</v>
      </c>
      <c r="N134" s="115" t="b">
        <f>IFS($A134=FALSE,"", countif(VLOOKUP($A134,'FEBRUARY 2022'!A:A,1,FALSE),$A134)&gt;=1,TRUE,countif(VLOOKUP($A134,'FEBRUARY 2022'!A:A,1,FALSE),$A134)=0,FALSE)</f>
        <v>1</v>
      </c>
      <c r="O134" s="111" t="str">
        <f t="shared" si="2"/>
        <v> </v>
      </c>
    </row>
    <row r="135" ht="15.75" hidden="1" customHeight="1">
      <c r="A135" s="110" t="str">
        <f t="shared" si="1"/>
        <v>1764544616</v>
      </c>
      <c r="B135" s="111">
        <v>17645.0</v>
      </c>
      <c r="C135" s="112">
        <v>0.6458333333333334</v>
      </c>
      <c r="D135" s="111" t="s">
        <v>5596</v>
      </c>
      <c r="E135" s="113">
        <v>28342.0</v>
      </c>
      <c r="F135" s="114">
        <v>44616.0</v>
      </c>
      <c r="G135" s="111" t="s">
        <v>6519</v>
      </c>
      <c r="H135" s="111" t="s">
        <v>6520</v>
      </c>
      <c r="I135" s="111" t="s">
        <v>6524</v>
      </c>
      <c r="J135" s="111" t="s">
        <v>6391</v>
      </c>
      <c r="K135" s="115"/>
      <c r="L135" s="115" t="s">
        <v>6522</v>
      </c>
      <c r="M135" s="115" t="b">
        <f>IFS($A135=FALSE,"", countif(VLOOKUP($B135,'FEBRUARY 2022'!C:C,1,FALSE),$B135)&gt;=1,TRUE,countif(VLOOKUP($B135,'FEBRUARY 2022'!C:C,1,FALSE),$B135)=0,FALSE)</f>
        <v>1</v>
      </c>
      <c r="N135" s="115" t="b">
        <f>IFS($A135=FALSE,"", countif(VLOOKUP($A135,'FEBRUARY 2022'!A:A,1,FALSE),$A135)&gt;=1,TRUE,countif(VLOOKUP($A135,'FEBRUARY 2022'!A:A,1,FALSE),$A135)=0,FALSE)</f>
        <v>1</v>
      </c>
      <c r="O135" s="111" t="str">
        <f t="shared" si="2"/>
        <v> </v>
      </c>
    </row>
    <row r="136" ht="15.75" hidden="1" customHeight="1">
      <c r="A136" s="110" t="str">
        <f t="shared" si="1"/>
        <v>1635544617</v>
      </c>
      <c r="B136" s="111">
        <v>16355.0</v>
      </c>
      <c r="C136" s="112">
        <v>0.3645833333333333</v>
      </c>
      <c r="D136" s="111" t="s">
        <v>4626</v>
      </c>
      <c r="E136" s="113">
        <v>13948.0</v>
      </c>
      <c r="F136" s="114">
        <v>44617.0</v>
      </c>
      <c r="G136" s="111" t="s">
        <v>6519</v>
      </c>
      <c r="H136" s="111" t="s">
        <v>6526</v>
      </c>
      <c r="I136" s="111" t="s">
        <v>6527</v>
      </c>
      <c r="J136" s="111" t="s">
        <v>6372</v>
      </c>
      <c r="K136" s="115"/>
      <c r="L136" s="115" t="s">
        <v>6522</v>
      </c>
      <c r="M136" s="115" t="b">
        <f>IFS($A136=FALSE,"", countif(VLOOKUP($B136,'FEBRUARY 2022'!C:C,1,FALSE),$B136)&gt;=1,TRUE,countif(VLOOKUP($B136,'FEBRUARY 2022'!C:C,1,FALSE),$B136)=0,FALSE)</f>
        <v>1</v>
      </c>
      <c r="N136" s="115" t="b">
        <f>IFS($A136=FALSE,"", countif(VLOOKUP($A136,'FEBRUARY 2022'!A:A,1,FALSE),$A136)&gt;=1,TRUE,countif(VLOOKUP($A136,'FEBRUARY 2022'!A:A,1,FALSE),$A136)=0,FALSE)</f>
        <v>1</v>
      </c>
      <c r="O136" s="111" t="str">
        <f t="shared" si="2"/>
        <v> </v>
      </c>
    </row>
    <row r="137" ht="15.75" hidden="1" customHeight="1">
      <c r="A137" s="110" t="str">
        <f t="shared" si="1"/>
        <v>1625244617</v>
      </c>
      <c r="B137" s="111">
        <v>16252.0</v>
      </c>
      <c r="C137" s="112">
        <v>0.3854166666666667</v>
      </c>
      <c r="D137" s="111" t="s">
        <v>4548</v>
      </c>
      <c r="E137" s="113">
        <v>31498.0</v>
      </c>
      <c r="F137" s="114">
        <v>44617.0</v>
      </c>
      <c r="G137" s="111" t="s">
        <v>6523</v>
      </c>
      <c r="H137" s="111" t="s">
        <v>6520</v>
      </c>
      <c r="I137" s="111" t="s">
        <v>6521</v>
      </c>
      <c r="J137" s="111" t="s">
        <v>6444</v>
      </c>
      <c r="K137" s="115"/>
      <c r="L137" s="115" t="s">
        <v>6522</v>
      </c>
      <c r="M137" s="115" t="b">
        <f>IFS($A137=FALSE,"", countif(VLOOKUP($B137,'FEBRUARY 2022'!C:C,1,FALSE),$B137)&gt;=1,TRUE,countif(VLOOKUP($B137,'FEBRUARY 2022'!C:C,1,FALSE),$B137)=0,FALSE)</f>
        <v>1</v>
      </c>
      <c r="N137" s="115" t="b">
        <f>IFS($A137=FALSE,"", countif(VLOOKUP($A137,'FEBRUARY 2022'!A:A,1,FALSE),$A137)&gt;=1,TRUE,countif(VLOOKUP($A137,'FEBRUARY 2022'!A:A,1,FALSE),$A137)=0,FALSE)</f>
        <v>1</v>
      </c>
      <c r="O137" s="111" t="str">
        <f t="shared" si="2"/>
        <v> </v>
      </c>
    </row>
    <row r="138" ht="15.75" hidden="1" customHeight="1">
      <c r="A138" s="110" t="str">
        <f t="shared" si="1"/>
        <v>1560644617</v>
      </c>
      <c r="B138" s="111">
        <v>15606.0</v>
      </c>
      <c r="C138" s="112">
        <v>0.3958333333333333</v>
      </c>
      <c r="D138" s="111" t="s">
        <v>3980</v>
      </c>
      <c r="E138" s="113">
        <v>21464.0</v>
      </c>
      <c r="F138" s="114">
        <v>44617.0</v>
      </c>
      <c r="G138" s="111" t="s">
        <v>6523</v>
      </c>
      <c r="H138" s="111" t="s">
        <v>6520</v>
      </c>
      <c r="I138" s="111" t="s">
        <v>6521</v>
      </c>
      <c r="J138" s="111" t="s">
        <v>6373</v>
      </c>
      <c r="K138" s="115"/>
      <c r="L138" s="115" t="s">
        <v>6522</v>
      </c>
      <c r="M138" s="115" t="b">
        <f>IFS($A138=FALSE,"", countif(VLOOKUP($B138,'FEBRUARY 2022'!C:C,1,FALSE),$B138)&gt;=1,TRUE,countif(VLOOKUP($B138,'FEBRUARY 2022'!C:C,1,FALSE),$B138)=0,FALSE)</f>
        <v>1</v>
      </c>
      <c r="N138" s="115" t="b">
        <f>IFS($A138=FALSE,"", countif(VLOOKUP($A138,'FEBRUARY 2022'!A:A,1,FALSE),$A138)&gt;=1,TRUE,countif(VLOOKUP($A138,'FEBRUARY 2022'!A:A,1,FALSE),$A138)=0,FALSE)</f>
        <v>1</v>
      </c>
      <c r="O138" s="111" t="str">
        <f t="shared" si="2"/>
        <v> </v>
      </c>
    </row>
    <row r="139" ht="15.75" hidden="1" customHeight="1">
      <c r="A139" s="110" t="str">
        <f t="shared" si="1"/>
        <v>1623644617</v>
      </c>
      <c r="B139" s="111">
        <v>16236.0</v>
      </c>
      <c r="C139" s="112">
        <v>0.40625</v>
      </c>
      <c r="D139" s="111" t="s">
        <v>4534</v>
      </c>
      <c r="E139" s="113">
        <v>20696.0</v>
      </c>
      <c r="F139" s="114">
        <v>44617.0</v>
      </c>
      <c r="G139" s="111" t="s">
        <v>6523</v>
      </c>
      <c r="H139" s="111" t="s">
        <v>6520</v>
      </c>
      <c r="I139" s="111" t="s">
        <v>6521</v>
      </c>
      <c r="J139" s="111" t="s">
        <v>6477</v>
      </c>
      <c r="K139" s="115"/>
      <c r="L139" s="115" t="s">
        <v>6522</v>
      </c>
      <c r="M139" s="115" t="b">
        <f>IFS($A139=FALSE,"", countif(VLOOKUP($B139,'FEBRUARY 2022'!C:C,1,FALSE),$B139)&gt;=1,TRUE,countif(VLOOKUP($B139,'FEBRUARY 2022'!C:C,1,FALSE),$B139)=0,FALSE)</f>
        <v>1</v>
      </c>
      <c r="N139" s="115" t="b">
        <f>IFS($A139=FALSE,"", countif(VLOOKUP($A139,'FEBRUARY 2022'!A:A,1,FALSE),$A139)&gt;=1,TRUE,countif(VLOOKUP($A139,'FEBRUARY 2022'!A:A,1,FALSE),$A139)=0,FALSE)</f>
        <v>1</v>
      </c>
      <c r="O139" s="111" t="str">
        <f t="shared" si="2"/>
        <v> </v>
      </c>
    </row>
    <row r="140" ht="15.75" hidden="1" customHeight="1">
      <c r="A140" s="110" t="str">
        <f t="shared" si="1"/>
        <v>1087844617</v>
      </c>
      <c r="B140" s="111">
        <v>10878.0</v>
      </c>
      <c r="C140" s="112">
        <v>0.4479166666666667</v>
      </c>
      <c r="D140" s="111" t="s">
        <v>709</v>
      </c>
      <c r="E140" s="113">
        <v>25475.0</v>
      </c>
      <c r="F140" s="114">
        <v>44617.0</v>
      </c>
      <c r="G140" s="111" t="s">
        <v>6523</v>
      </c>
      <c r="H140" s="111" t="s">
        <v>6520</v>
      </c>
      <c r="I140" s="111" t="s">
        <v>6521</v>
      </c>
      <c r="J140" s="111" t="s">
        <v>6489</v>
      </c>
      <c r="K140" s="115"/>
      <c r="L140" s="115" t="s">
        <v>6522</v>
      </c>
      <c r="M140" s="115" t="b">
        <f>IFS($A140=FALSE,"", countif(VLOOKUP($B140,'FEBRUARY 2022'!C:C,1,FALSE),$B140)&gt;=1,TRUE,countif(VLOOKUP($B140,'FEBRUARY 2022'!C:C,1,FALSE),$B140)=0,FALSE)</f>
        <v>1</v>
      </c>
      <c r="N140" s="115" t="b">
        <f>IFS($A140=FALSE,"", countif(VLOOKUP($A140,'FEBRUARY 2022'!A:A,1,FALSE),$A140)&gt;=1,TRUE,countif(VLOOKUP($A140,'FEBRUARY 2022'!A:A,1,FALSE),$A140)=0,FALSE)</f>
        <v>1</v>
      </c>
      <c r="O140" s="111" t="str">
        <f t="shared" si="2"/>
        <v> </v>
      </c>
    </row>
    <row r="141" ht="15.75" hidden="1" customHeight="1">
      <c r="A141" s="110" t="str">
        <f t="shared" si="1"/>
        <v>1578644617</v>
      </c>
      <c r="B141" s="111">
        <v>15786.0</v>
      </c>
      <c r="C141" s="112">
        <v>0.5416666666666666</v>
      </c>
      <c r="D141" s="111" t="s">
        <v>4144</v>
      </c>
      <c r="E141" s="113">
        <v>21798.0</v>
      </c>
      <c r="F141" s="114">
        <v>44617.0</v>
      </c>
      <c r="G141" s="111" t="s">
        <v>6519</v>
      </c>
      <c r="H141" s="111" t="s">
        <v>6520</v>
      </c>
      <c r="I141" s="111" t="s">
        <v>6521</v>
      </c>
      <c r="J141" s="111" t="s">
        <v>6379</v>
      </c>
      <c r="K141" s="115"/>
      <c r="L141" s="115" t="s">
        <v>6522</v>
      </c>
      <c r="M141" s="115" t="b">
        <f>IFS($A141=FALSE,"", countif(VLOOKUP($B141,'FEBRUARY 2022'!C:C,1,FALSE),$B141)&gt;=1,TRUE,countif(VLOOKUP($B141,'FEBRUARY 2022'!C:C,1,FALSE),$B141)=0,FALSE)</f>
        <v>1</v>
      </c>
      <c r="N141" s="115" t="b">
        <f>IFS($A141=FALSE,"", countif(VLOOKUP($A141,'FEBRUARY 2022'!A:A,1,FALSE),$A141)&gt;=1,TRUE,countif(VLOOKUP($A141,'FEBRUARY 2022'!A:A,1,FALSE),$A141)=0,FALSE)</f>
        <v>1</v>
      </c>
      <c r="O141" s="111" t="str">
        <f t="shared" si="2"/>
        <v> </v>
      </c>
    </row>
    <row r="142" ht="15.75" hidden="1" customHeight="1">
      <c r="A142" s="110" t="str">
        <f t="shared" si="1"/>
        <v>1663744617</v>
      </c>
      <c r="B142" s="111">
        <v>16637.0</v>
      </c>
      <c r="C142" s="112">
        <v>0.5520833333333334</v>
      </c>
      <c r="D142" s="111" t="s">
        <v>4835</v>
      </c>
      <c r="E142" s="113">
        <v>30813.0</v>
      </c>
      <c r="F142" s="114">
        <v>44617.0</v>
      </c>
      <c r="G142" s="111" t="s">
        <v>6519</v>
      </c>
      <c r="H142" s="111" t="s">
        <v>6520</v>
      </c>
      <c r="I142" s="111" t="s">
        <v>6521</v>
      </c>
      <c r="J142" s="111" t="s">
        <v>6420</v>
      </c>
      <c r="K142" s="115"/>
      <c r="L142" s="115" t="s">
        <v>6522</v>
      </c>
      <c r="M142" s="115" t="b">
        <f>IFS($A142=FALSE,"", countif(VLOOKUP($B142,'FEBRUARY 2022'!C:C,1,FALSE),$B142)&gt;=1,TRUE,countif(VLOOKUP($B142,'FEBRUARY 2022'!C:C,1,FALSE),$B142)=0,FALSE)</f>
        <v>1</v>
      </c>
      <c r="N142" s="115" t="b">
        <f>IFS($A142=FALSE,"", countif(VLOOKUP($A142,'FEBRUARY 2022'!A:A,1,FALSE),$A142)&gt;=1,TRUE,countif(VLOOKUP($A142,'FEBRUARY 2022'!A:A,1,FALSE),$A142)=0,FALSE)</f>
        <v>1</v>
      </c>
      <c r="O142" s="111" t="str">
        <f t="shared" si="2"/>
        <v> </v>
      </c>
    </row>
    <row r="143" ht="15.75" hidden="1" customHeight="1">
      <c r="A143" s="110" t="str">
        <f t="shared" si="1"/>
        <v>1727644617</v>
      </c>
      <c r="B143" s="111">
        <v>17276.0</v>
      </c>
      <c r="C143" s="112">
        <v>0.5729166666666666</v>
      </c>
      <c r="D143" s="111" t="s">
        <v>6553</v>
      </c>
      <c r="E143" s="113">
        <v>25945.0</v>
      </c>
      <c r="F143" s="114">
        <v>44617.0</v>
      </c>
      <c r="G143" s="111" t="s">
        <v>6523</v>
      </c>
      <c r="H143" s="111" t="s">
        <v>6520</v>
      </c>
      <c r="I143" s="111" t="s">
        <v>6521</v>
      </c>
      <c r="J143" s="111" t="s">
        <v>6393</v>
      </c>
      <c r="K143" s="115"/>
      <c r="L143" s="115" t="s">
        <v>6522</v>
      </c>
      <c r="M143" s="115" t="b">
        <f>IFS($A143=FALSE,"", countif(VLOOKUP($B143,'FEBRUARY 2022'!C:C,1,FALSE),$B143)&gt;=1,TRUE,countif(VLOOKUP($B143,'FEBRUARY 2022'!C:C,1,FALSE),$B143)=0,FALSE)</f>
        <v>1</v>
      </c>
      <c r="N143" s="115" t="b">
        <f>IFS($A143=FALSE,"", countif(VLOOKUP($A143,'FEBRUARY 2022'!A:A,1,FALSE),$A143)&gt;=1,TRUE,countif(VLOOKUP($A143,'FEBRUARY 2022'!A:A,1,FALSE),$A143)=0,FALSE)</f>
        <v>1</v>
      </c>
      <c r="O143" s="111" t="str">
        <f t="shared" si="2"/>
        <v> </v>
      </c>
    </row>
    <row r="144" ht="15.75" hidden="1" customHeight="1">
      <c r="A144" s="110" t="str">
        <f t="shared" si="1"/>
        <v>1100444617</v>
      </c>
      <c r="B144" s="111">
        <v>11004.0</v>
      </c>
      <c r="C144" s="112">
        <v>0.6041666666666666</v>
      </c>
      <c r="D144" s="111" t="s">
        <v>757</v>
      </c>
      <c r="E144" s="113">
        <v>27126.0</v>
      </c>
      <c r="F144" s="114">
        <v>44617.0</v>
      </c>
      <c r="G144" s="111" t="s">
        <v>6519</v>
      </c>
      <c r="H144" s="111" t="s">
        <v>6520</v>
      </c>
      <c r="I144" s="111" t="s">
        <v>6521</v>
      </c>
      <c r="J144" s="111" t="s">
        <v>6414</v>
      </c>
      <c r="K144" s="115"/>
      <c r="L144" s="115" t="s">
        <v>6522</v>
      </c>
      <c r="M144" s="115" t="b">
        <f>IFS($A144=FALSE,"", countif(VLOOKUP($B144,'FEBRUARY 2022'!C:C,1,FALSE),$B144)&gt;=1,TRUE,countif(VLOOKUP($B144,'FEBRUARY 2022'!C:C,1,FALSE),$B144)=0,FALSE)</f>
        <v>1</v>
      </c>
      <c r="N144" s="115" t="b">
        <f>IFS($A144=FALSE,"", countif(VLOOKUP($A144,'FEBRUARY 2022'!A:A,1,FALSE),$A144)&gt;=1,TRUE,countif(VLOOKUP($A144,'FEBRUARY 2022'!A:A,1,FALSE),$A144)=0,FALSE)</f>
        <v>1</v>
      </c>
      <c r="O144" s="111" t="str">
        <f t="shared" si="2"/>
        <v> </v>
      </c>
    </row>
    <row r="145" ht="15.75" hidden="1" customHeight="1">
      <c r="A145" s="110" t="str">
        <f t="shared" si="1"/>
        <v>918744617</v>
      </c>
      <c r="B145" s="111">
        <v>9187.0</v>
      </c>
      <c r="C145" s="112">
        <v>0.6145833333333334</v>
      </c>
      <c r="D145" s="111" t="s">
        <v>63</v>
      </c>
      <c r="E145" s="113">
        <v>21033.0</v>
      </c>
      <c r="F145" s="114">
        <v>44617.0</v>
      </c>
      <c r="G145" s="111" t="s">
        <v>6523</v>
      </c>
      <c r="H145" s="111" t="s">
        <v>6526</v>
      </c>
      <c r="I145" s="111" t="s">
        <v>6527</v>
      </c>
      <c r="J145" s="111" t="s">
        <v>6464</v>
      </c>
      <c r="K145" s="115"/>
      <c r="L145" s="115" t="s">
        <v>6522</v>
      </c>
      <c r="M145" s="115" t="b">
        <f>IFS($A145=FALSE,"", countif(VLOOKUP($B145,'FEBRUARY 2022'!C:C,1,FALSE),$B145)&gt;=1,TRUE,countif(VLOOKUP($B145,'FEBRUARY 2022'!C:C,1,FALSE),$B145)=0,FALSE)</f>
        <v>1</v>
      </c>
      <c r="N145" s="115" t="b">
        <f>IFS($A145=FALSE,"", countif(VLOOKUP($A145,'FEBRUARY 2022'!A:A,1,FALSE),$A145)&gt;=1,TRUE,countif(VLOOKUP($A145,'FEBRUARY 2022'!A:A,1,FALSE),$A145)=0,FALSE)</f>
        <v>1</v>
      </c>
      <c r="O145" s="111" t="str">
        <f t="shared" si="2"/>
        <v> </v>
      </c>
    </row>
    <row r="146" ht="15.75" hidden="1" customHeight="1">
      <c r="A146" s="110" t="str">
        <f t="shared" si="1"/>
        <v>1788744620</v>
      </c>
      <c r="B146" s="111">
        <v>17887.0</v>
      </c>
      <c r="C146" s="112">
        <v>0.34375</v>
      </c>
      <c r="D146" s="111" t="s">
        <v>6092</v>
      </c>
      <c r="E146" s="113">
        <v>20748.0</v>
      </c>
      <c r="F146" s="114">
        <v>44620.0</v>
      </c>
      <c r="G146" s="111" t="s">
        <v>6525</v>
      </c>
      <c r="H146" s="111" t="s">
        <v>6526</v>
      </c>
      <c r="I146" s="111" t="s">
        <v>6527</v>
      </c>
      <c r="J146" s="111" t="s">
        <v>6384</v>
      </c>
      <c r="K146" s="115"/>
      <c r="L146" s="115" t="s">
        <v>6522</v>
      </c>
      <c r="M146" s="115" t="b">
        <f>IFS($A146=FALSE,"", countif(VLOOKUP($B146,'FEBRUARY 2022'!C:C,1,FALSE),$B146)&gt;=1,TRUE,countif(VLOOKUP($B146,'FEBRUARY 2022'!C:C,1,FALSE),$B146)=0,FALSE)</f>
        <v>1</v>
      </c>
      <c r="N146" s="115" t="b">
        <f>IFS($A146=FALSE,"", countif(VLOOKUP($A146,'FEBRUARY 2022'!A:A,1,FALSE),$A146)&gt;=1,TRUE,countif(VLOOKUP($A146,'FEBRUARY 2022'!A:A,1,FALSE),$A146)=0,FALSE)</f>
        <v>1</v>
      </c>
      <c r="O146" s="111" t="str">
        <f t="shared" si="2"/>
        <v> </v>
      </c>
    </row>
    <row r="147" ht="15.75" hidden="1" customHeight="1">
      <c r="A147" s="110" t="str">
        <f t="shared" si="1"/>
        <v>1475344620</v>
      </c>
      <c r="B147" s="111">
        <v>14753.0</v>
      </c>
      <c r="C147" s="112">
        <v>0.3541666666666667</v>
      </c>
      <c r="D147" s="111" t="s">
        <v>3268</v>
      </c>
      <c r="E147" s="113">
        <v>27070.0</v>
      </c>
      <c r="F147" s="114">
        <v>44620.0</v>
      </c>
      <c r="G147" s="111" t="s">
        <v>6523</v>
      </c>
      <c r="H147" s="111" t="s">
        <v>6520</v>
      </c>
      <c r="I147" s="111" t="s">
        <v>6521</v>
      </c>
      <c r="J147" s="111" t="s">
        <v>6489</v>
      </c>
      <c r="K147" s="115"/>
      <c r="L147" s="115" t="s">
        <v>6522</v>
      </c>
      <c r="M147" s="115" t="b">
        <f>IFS($A147=FALSE,"", countif(VLOOKUP($B147,'FEBRUARY 2022'!C:C,1,FALSE),$B147)&gt;=1,TRUE,countif(VLOOKUP($B147,'FEBRUARY 2022'!C:C,1,FALSE),$B147)=0,FALSE)</f>
        <v>1</v>
      </c>
      <c r="N147" s="115" t="b">
        <f>IFS($A147=FALSE,"", countif(VLOOKUP($A147,'FEBRUARY 2022'!A:A,1,FALSE),$A147)&gt;=1,TRUE,countif(VLOOKUP($A147,'FEBRUARY 2022'!A:A,1,FALSE),$A147)=0,FALSE)</f>
        <v>1</v>
      </c>
      <c r="O147" s="111" t="str">
        <f t="shared" si="2"/>
        <v> </v>
      </c>
    </row>
    <row r="148" ht="15.75" hidden="1" customHeight="1">
      <c r="A148" s="110" t="str">
        <f t="shared" si="1"/>
        <v>1820144620</v>
      </c>
      <c r="B148" s="111">
        <v>18201.0</v>
      </c>
      <c r="C148" s="112">
        <v>0.3645833333333333</v>
      </c>
      <c r="D148" s="111" t="s">
        <v>6275</v>
      </c>
      <c r="E148" s="113">
        <v>17292.0</v>
      </c>
      <c r="F148" s="114">
        <v>44620.0</v>
      </c>
      <c r="G148" s="111" t="s">
        <v>6525</v>
      </c>
      <c r="H148" s="111" t="s">
        <v>6526</v>
      </c>
      <c r="I148" s="111" t="s">
        <v>6527</v>
      </c>
      <c r="J148" s="111" t="s">
        <v>6427</v>
      </c>
      <c r="K148" s="115"/>
      <c r="L148" s="115" t="s">
        <v>6522</v>
      </c>
      <c r="M148" s="115" t="b">
        <f>IFS($A148=FALSE,"", countif(VLOOKUP($B148,'FEBRUARY 2022'!C:C,1,FALSE),$B148)&gt;=1,TRUE,countif(VLOOKUP($B148,'FEBRUARY 2022'!C:C,1,FALSE),$B148)=0,FALSE)</f>
        <v>1</v>
      </c>
      <c r="N148" s="115" t="b">
        <f>IFS($A148=FALSE,"", countif(VLOOKUP($A148,'FEBRUARY 2022'!A:A,1,FALSE),$A148)&gt;=1,TRUE,countif(VLOOKUP($A148,'FEBRUARY 2022'!A:A,1,FALSE),$A148)=0,FALSE)</f>
        <v>1</v>
      </c>
      <c r="O148" s="111" t="str">
        <f t="shared" si="2"/>
        <v> </v>
      </c>
    </row>
    <row r="149" ht="15.75" hidden="1" customHeight="1">
      <c r="A149" s="110" t="str">
        <f t="shared" si="1"/>
        <v>1057344620</v>
      </c>
      <c r="B149" s="111">
        <v>10573.0</v>
      </c>
      <c r="C149" s="112">
        <v>0.375</v>
      </c>
      <c r="D149" s="111" t="s">
        <v>588</v>
      </c>
      <c r="E149" s="113">
        <v>23562.0</v>
      </c>
      <c r="F149" s="114">
        <v>44620.0</v>
      </c>
      <c r="G149" s="111" t="s">
        <v>6523</v>
      </c>
      <c r="H149" s="111" t="s">
        <v>6526</v>
      </c>
      <c r="I149" s="111" t="s">
        <v>6527</v>
      </c>
      <c r="J149" s="111" t="s">
        <v>6489</v>
      </c>
      <c r="K149" s="115"/>
      <c r="L149" s="115" t="s">
        <v>6522</v>
      </c>
      <c r="M149" s="115" t="b">
        <f>IFS($A149=FALSE,"", countif(VLOOKUP($B149,'FEBRUARY 2022'!C:C,1,FALSE),$B149)&gt;=1,TRUE,countif(VLOOKUP($B149,'FEBRUARY 2022'!C:C,1,FALSE),$B149)=0,FALSE)</f>
        <v>1</v>
      </c>
      <c r="N149" s="115" t="b">
        <f>IFS($A149=FALSE,"", countif(VLOOKUP($A149,'FEBRUARY 2022'!A:A,1,FALSE),$A149)&gt;=1,TRUE,countif(VLOOKUP($A149,'FEBRUARY 2022'!A:A,1,FALSE),$A149)=0,FALSE)</f>
        <v>1</v>
      </c>
      <c r="O149" s="111" t="str">
        <f t="shared" si="2"/>
        <v> </v>
      </c>
    </row>
    <row r="150" ht="15.75" hidden="1" customHeight="1">
      <c r="A150" s="110" t="str">
        <f t="shared" si="1"/>
        <v>1490944620</v>
      </c>
      <c r="B150" s="111">
        <v>14909.0</v>
      </c>
      <c r="C150" s="112">
        <v>0.3854166666666667</v>
      </c>
      <c r="D150" s="111" t="s">
        <v>3398</v>
      </c>
      <c r="E150" s="113">
        <v>24721.0</v>
      </c>
      <c r="F150" s="114">
        <v>44620.0</v>
      </c>
      <c r="G150" s="111" t="s">
        <v>6523</v>
      </c>
      <c r="H150" s="111" t="s">
        <v>6520</v>
      </c>
      <c r="I150" s="111" t="s">
        <v>6521</v>
      </c>
      <c r="J150" s="111" t="s">
        <v>6426</v>
      </c>
      <c r="K150" s="115"/>
      <c r="L150" s="115" t="s">
        <v>6522</v>
      </c>
      <c r="M150" s="115" t="b">
        <f>IFS($A150=FALSE,"", countif(VLOOKUP($B150,'FEBRUARY 2022'!C:C,1,FALSE),$B150)&gt;=1,TRUE,countif(VLOOKUP($B150,'FEBRUARY 2022'!C:C,1,FALSE),$B150)=0,FALSE)</f>
        <v>1</v>
      </c>
      <c r="N150" s="115" t="b">
        <f>IFS($A150=FALSE,"", countif(VLOOKUP($A150,'FEBRUARY 2022'!A:A,1,FALSE),$A150)&gt;=1,TRUE,countif(VLOOKUP($A150,'FEBRUARY 2022'!A:A,1,FALSE),$A150)=0,FALSE)</f>
        <v>1</v>
      </c>
      <c r="O150" s="111" t="str">
        <f t="shared" si="2"/>
        <v> </v>
      </c>
    </row>
    <row r="151" ht="15.75" hidden="1" customHeight="1">
      <c r="A151" s="110" t="str">
        <f t="shared" si="1"/>
        <v>1819944620</v>
      </c>
      <c r="B151" s="111">
        <v>18199.0</v>
      </c>
      <c r="C151" s="112">
        <v>0.3958333333333333</v>
      </c>
      <c r="D151" s="111" t="s">
        <v>6276</v>
      </c>
      <c r="E151" s="113">
        <v>17766.0</v>
      </c>
      <c r="F151" s="114">
        <v>44620.0</v>
      </c>
      <c r="G151" s="111" t="s">
        <v>6525</v>
      </c>
      <c r="H151" s="111" t="s">
        <v>6526</v>
      </c>
      <c r="I151" s="111" t="s">
        <v>6527</v>
      </c>
      <c r="J151" s="111" t="s">
        <v>6427</v>
      </c>
      <c r="K151" s="115"/>
      <c r="L151" s="115" t="s">
        <v>6522</v>
      </c>
      <c r="M151" s="115" t="b">
        <f>IFS($A151=FALSE,"", countif(VLOOKUP($B151,'FEBRUARY 2022'!C:C,1,FALSE),$B151)&gt;=1,TRUE,countif(VLOOKUP($B151,'FEBRUARY 2022'!C:C,1,FALSE),$B151)=0,FALSE)</f>
        <v>1</v>
      </c>
      <c r="N151" s="115" t="b">
        <f>IFS($A151=FALSE,"", countif(VLOOKUP($A151,'FEBRUARY 2022'!A:A,1,FALSE),$A151)&gt;=1,TRUE,countif(VLOOKUP($A151,'FEBRUARY 2022'!A:A,1,FALSE),$A151)=0,FALSE)</f>
        <v>1</v>
      </c>
      <c r="O151" s="111" t="str">
        <f t="shared" si="2"/>
        <v> </v>
      </c>
    </row>
    <row r="152" ht="15.75" hidden="1" customHeight="1">
      <c r="A152" s="110" t="str">
        <f t="shared" si="1"/>
        <v>1222444620</v>
      </c>
      <c r="B152" s="111">
        <v>12224.0</v>
      </c>
      <c r="C152" s="112">
        <v>0.40625</v>
      </c>
      <c r="D152" s="111" t="s">
        <v>1328</v>
      </c>
      <c r="E152" s="113">
        <v>28683.0</v>
      </c>
      <c r="F152" s="114">
        <v>44620.0</v>
      </c>
      <c r="G152" s="111" t="s">
        <v>6523</v>
      </c>
      <c r="H152" s="111" t="s">
        <v>6526</v>
      </c>
      <c r="I152" s="111" t="s">
        <v>6527</v>
      </c>
      <c r="J152" s="111" t="s">
        <v>6444</v>
      </c>
      <c r="K152" s="115"/>
      <c r="L152" s="115" t="s">
        <v>6522</v>
      </c>
      <c r="M152" s="115" t="b">
        <f>IFS($A152=FALSE,"", countif(VLOOKUP($B152,'FEBRUARY 2022'!C:C,1,FALSE),$B152)&gt;=1,TRUE,countif(VLOOKUP($B152,'FEBRUARY 2022'!C:C,1,FALSE),$B152)=0,FALSE)</f>
        <v>1</v>
      </c>
      <c r="N152" s="115" t="b">
        <f>IFS($A152=FALSE,"", countif(VLOOKUP($A152,'FEBRUARY 2022'!A:A,1,FALSE),$A152)&gt;=1,TRUE,countif(VLOOKUP($A152,'FEBRUARY 2022'!A:A,1,FALSE),$A152)=0,FALSE)</f>
        <v>1</v>
      </c>
      <c r="O152" s="111" t="str">
        <f t="shared" si="2"/>
        <v> </v>
      </c>
    </row>
    <row r="153" ht="15.75" hidden="1" customHeight="1">
      <c r="A153" s="110" t="str">
        <f t="shared" si="1"/>
        <v>1176144620</v>
      </c>
      <c r="B153" s="111">
        <v>11761.0</v>
      </c>
      <c r="C153" s="112">
        <v>0.4166666666666667</v>
      </c>
      <c r="D153" s="111" t="s">
        <v>1097</v>
      </c>
      <c r="E153" s="113">
        <v>32726.0</v>
      </c>
      <c r="F153" s="114">
        <v>44620.0</v>
      </c>
      <c r="G153" s="111" t="s">
        <v>6519</v>
      </c>
      <c r="H153" s="111" t="s">
        <v>6526</v>
      </c>
      <c r="I153" s="111" t="s">
        <v>6527</v>
      </c>
      <c r="J153" s="111" t="s">
        <v>6381</v>
      </c>
      <c r="K153" s="115"/>
      <c r="L153" s="115" t="s">
        <v>6522</v>
      </c>
      <c r="M153" s="115" t="b">
        <f>IFS($A153=FALSE,"", countif(VLOOKUP($B153,'FEBRUARY 2022'!C:C,1,FALSE),$B153)&gt;=1,TRUE,countif(VLOOKUP($B153,'FEBRUARY 2022'!C:C,1,FALSE),$B153)=0,FALSE)</f>
        <v>1</v>
      </c>
      <c r="N153" s="115" t="b">
        <f>IFS($A153=FALSE,"", countif(VLOOKUP($A153,'FEBRUARY 2022'!A:A,1,FALSE),$A153)&gt;=1,TRUE,countif(VLOOKUP($A153,'FEBRUARY 2022'!A:A,1,FALSE),$A153)=0,FALSE)</f>
        <v>1</v>
      </c>
      <c r="O153" s="111" t="str">
        <f t="shared" si="2"/>
        <v> </v>
      </c>
    </row>
    <row r="154" ht="15.75" hidden="1" customHeight="1">
      <c r="A154" s="110" t="str">
        <f t="shared" si="1"/>
        <v>1824644620</v>
      </c>
      <c r="B154" s="111">
        <v>18246.0</v>
      </c>
      <c r="C154" s="112">
        <v>0.4166666666666667</v>
      </c>
      <c r="D154" s="111" t="s">
        <v>6262</v>
      </c>
      <c r="E154" s="113">
        <v>31137.0</v>
      </c>
      <c r="F154" s="114">
        <v>44620.0</v>
      </c>
      <c r="G154" s="111" t="s">
        <v>6525</v>
      </c>
      <c r="H154" s="111" t="s">
        <v>6526</v>
      </c>
      <c r="I154" s="111" t="s">
        <v>6527</v>
      </c>
      <c r="J154" s="111" t="s">
        <v>6410</v>
      </c>
      <c r="K154" s="115"/>
      <c r="L154" s="115" t="s">
        <v>6522</v>
      </c>
      <c r="M154" s="115" t="b">
        <f>IFS($A154=FALSE,"", countif(VLOOKUP($B154,'FEBRUARY 2022'!C:C,1,FALSE),$B154)&gt;=1,TRUE,countif(VLOOKUP($B154,'FEBRUARY 2022'!C:C,1,FALSE),$B154)=0,FALSE)</f>
        <v>1</v>
      </c>
      <c r="N154" s="115" t="b">
        <f>IFS($A154=FALSE,"", countif(VLOOKUP($A154,'FEBRUARY 2022'!A:A,1,FALSE),$A154)&gt;=1,TRUE,countif(VLOOKUP($A154,'FEBRUARY 2022'!A:A,1,FALSE),$A154)=0,FALSE)</f>
        <v>1</v>
      </c>
      <c r="O154" s="111" t="str">
        <f t="shared" si="2"/>
        <v> </v>
      </c>
    </row>
    <row r="155" ht="15.75" hidden="1" customHeight="1">
      <c r="A155" s="110" t="str">
        <f t="shared" si="1"/>
        <v>1554944620</v>
      </c>
      <c r="B155" s="111">
        <v>15549.0</v>
      </c>
      <c r="C155" s="112">
        <v>0.4375</v>
      </c>
      <c r="D155" s="111" t="s">
        <v>3931</v>
      </c>
      <c r="E155" s="113">
        <v>27220.0</v>
      </c>
      <c r="F155" s="114">
        <v>44620.0</v>
      </c>
      <c r="G155" s="111" t="s">
        <v>6519</v>
      </c>
      <c r="H155" s="111" t="s">
        <v>6520</v>
      </c>
      <c r="I155" s="111" t="s">
        <v>6521</v>
      </c>
      <c r="J155" s="111" t="s">
        <v>6409</v>
      </c>
      <c r="K155" s="115"/>
      <c r="L155" s="115" t="s">
        <v>6522</v>
      </c>
      <c r="M155" s="115" t="b">
        <f>IFS($A155=FALSE,"", countif(VLOOKUP($B155,'FEBRUARY 2022'!C:C,1,FALSE),$B155)&gt;=1,TRUE,countif(VLOOKUP($B155,'FEBRUARY 2022'!C:C,1,FALSE),$B155)=0,FALSE)</f>
        <v>1</v>
      </c>
      <c r="N155" s="115" t="b">
        <f>IFS($A155=FALSE,"", countif(VLOOKUP($A155,'FEBRUARY 2022'!A:A,1,FALSE),$A155)&gt;=1,TRUE,countif(VLOOKUP($A155,'FEBRUARY 2022'!A:A,1,FALSE),$A155)=0,FALSE)</f>
        <v>1</v>
      </c>
      <c r="O155" s="111" t="str">
        <f t="shared" si="2"/>
        <v> </v>
      </c>
    </row>
    <row r="156" ht="15.75" hidden="1" customHeight="1">
      <c r="A156" s="110" t="str">
        <f t="shared" si="1"/>
        <v>1461244620</v>
      </c>
      <c r="B156" s="111">
        <v>14612.0</v>
      </c>
      <c r="C156" s="112">
        <v>0.4375</v>
      </c>
      <c r="D156" s="111" t="s">
        <v>3148</v>
      </c>
      <c r="E156" s="113">
        <v>15554.0</v>
      </c>
      <c r="F156" s="114">
        <v>44620.0</v>
      </c>
      <c r="G156" s="111" t="s">
        <v>6519</v>
      </c>
      <c r="H156" s="111" t="s">
        <v>6520</v>
      </c>
      <c r="I156" s="111" t="s">
        <v>6521</v>
      </c>
      <c r="J156" s="111" t="s">
        <v>6374</v>
      </c>
      <c r="K156" s="115"/>
      <c r="L156" s="115" t="s">
        <v>6522</v>
      </c>
      <c r="M156" s="115" t="b">
        <f>IFS($A156=FALSE,"", countif(VLOOKUP($B156,'FEBRUARY 2022'!C:C,1,FALSE),$B156)&gt;=1,TRUE,countif(VLOOKUP($B156,'FEBRUARY 2022'!C:C,1,FALSE),$B156)=0,FALSE)</f>
        <v>1</v>
      </c>
      <c r="N156" s="115" t="b">
        <f>IFS($A156=FALSE,"", countif(VLOOKUP($A156,'FEBRUARY 2022'!A:A,1,FALSE),$A156)&gt;=1,TRUE,countif(VLOOKUP($A156,'FEBRUARY 2022'!A:A,1,FALSE),$A156)=0,FALSE)</f>
        <v>1</v>
      </c>
      <c r="O156" s="111" t="str">
        <f t="shared" si="2"/>
        <v> </v>
      </c>
    </row>
    <row r="157" ht="15.75" hidden="1" customHeight="1">
      <c r="A157" s="110" t="str">
        <f t="shared" si="1"/>
        <v>1820544620</v>
      </c>
      <c r="B157" s="111">
        <v>18205.0</v>
      </c>
      <c r="C157" s="112">
        <v>0.4479166666666667</v>
      </c>
      <c r="D157" s="111" t="s">
        <v>6263</v>
      </c>
      <c r="E157" s="113">
        <v>34355.0</v>
      </c>
      <c r="F157" s="114">
        <v>44620.0</v>
      </c>
      <c r="G157" s="111" t="s">
        <v>6525</v>
      </c>
      <c r="H157" s="111" t="s">
        <v>6526</v>
      </c>
      <c r="I157" s="111" t="s">
        <v>6527</v>
      </c>
      <c r="J157" s="111" t="s">
        <v>6416</v>
      </c>
      <c r="K157" s="115"/>
      <c r="L157" s="115" t="s">
        <v>6522</v>
      </c>
      <c r="M157" s="115" t="b">
        <f>IFS($A157=FALSE,"", countif(VLOOKUP($B157,'FEBRUARY 2022'!C:C,1,FALSE),$B157)&gt;=1,TRUE,countif(VLOOKUP($B157,'FEBRUARY 2022'!C:C,1,FALSE),$B157)=0,FALSE)</f>
        <v>1</v>
      </c>
      <c r="N157" s="115" t="b">
        <f>IFS($A157=FALSE,"", countif(VLOOKUP($A157,'FEBRUARY 2022'!A:A,1,FALSE),$A157)&gt;=1,TRUE,countif(VLOOKUP($A157,'FEBRUARY 2022'!A:A,1,FALSE),$A157)=0,FALSE)</f>
        <v>1</v>
      </c>
      <c r="O157" s="111" t="str">
        <f t="shared" si="2"/>
        <v> </v>
      </c>
    </row>
    <row r="158" ht="15.75" hidden="1" customHeight="1">
      <c r="A158" s="110" t="str">
        <f t="shared" si="1"/>
        <v>1765744620</v>
      </c>
      <c r="B158" s="111">
        <v>17657.0</v>
      </c>
      <c r="C158" s="112">
        <v>0.4479166666666667</v>
      </c>
      <c r="D158" s="111" t="s">
        <v>5843</v>
      </c>
      <c r="E158" s="113">
        <v>21009.0</v>
      </c>
      <c r="F158" s="114">
        <v>44620.0</v>
      </c>
      <c r="G158" s="111" t="s">
        <v>6525</v>
      </c>
      <c r="H158" s="111" t="s">
        <v>6526</v>
      </c>
      <c r="I158" s="111" t="s">
        <v>6527</v>
      </c>
      <c r="J158" s="111" t="s">
        <v>6381</v>
      </c>
      <c r="K158" s="115"/>
      <c r="L158" s="115" t="s">
        <v>6522</v>
      </c>
      <c r="M158" s="115" t="b">
        <f>IFS($A158=FALSE,"", countif(VLOOKUP($B158,'FEBRUARY 2022'!C:C,1,FALSE),$B158)&gt;=1,TRUE,countif(VLOOKUP($B158,'FEBRUARY 2022'!C:C,1,FALSE),$B158)=0,FALSE)</f>
        <v>1</v>
      </c>
      <c r="N158" s="115" t="b">
        <f>IFS($A158=FALSE,"", countif(VLOOKUP($A158,'FEBRUARY 2022'!A:A,1,FALSE),$A158)&gt;=1,TRUE,countif(VLOOKUP($A158,'FEBRUARY 2022'!A:A,1,FALSE),$A158)=0,FALSE)</f>
        <v>1</v>
      </c>
      <c r="O158" s="111" t="str">
        <f t="shared" si="2"/>
        <v> </v>
      </c>
    </row>
    <row r="159" ht="15.75" hidden="1" customHeight="1">
      <c r="A159" s="110" t="str">
        <f t="shared" si="1"/>
        <v>1537544620</v>
      </c>
      <c r="B159" s="111">
        <v>15375.0</v>
      </c>
      <c r="C159" s="112">
        <v>0.4583333333333333</v>
      </c>
      <c r="D159" s="111" t="s">
        <v>3781</v>
      </c>
      <c r="E159" s="113">
        <v>26002.0</v>
      </c>
      <c r="F159" s="114">
        <v>44620.0</v>
      </c>
      <c r="G159" s="111" t="s">
        <v>6519</v>
      </c>
      <c r="H159" s="111" t="s">
        <v>6520</v>
      </c>
      <c r="I159" s="111" t="s">
        <v>6521</v>
      </c>
      <c r="J159" s="111" t="s">
        <v>6416</v>
      </c>
      <c r="K159" s="115"/>
      <c r="L159" s="115" t="s">
        <v>6522</v>
      </c>
      <c r="M159" s="115" t="b">
        <f>IFS($A159=FALSE,"", countif(VLOOKUP($B159,'FEBRUARY 2022'!C:C,1,FALSE),$B159)&gt;=1,TRUE,countif(VLOOKUP($B159,'FEBRUARY 2022'!C:C,1,FALSE),$B159)=0,FALSE)</f>
        <v>1</v>
      </c>
      <c r="N159" s="115" t="b">
        <f>IFS($A159=FALSE,"", countif(VLOOKUP($A159,'FEBRUARY 2022'!A:A,1,FALSE),$A159)&gt;=1,TRUE,countif(VLOOKUP($A159,'FEBRUARY 2022'!A:A,1,FALSE),$A159)=0,FALSE)</f>
        <v>1</v>
      </c>
      <c r="O159" s="111" t="str">
        <f t="shared" si="2"/>
        <v> </v>
      </c>
    </row>
    <row r="160" ht="15.75" hidden="1" customHeight="1">
      <c r="A160" s="110" t="str">
        <f t="shared" si="1"/>
        <v>1517544620</v>
      </c>
      <c r="B160" s="111">
        <v>15175.0</v>
      </c>
      <c r="C160" s="112">
        <v>0.5520833333333334</v>
      </c>
      <c r="D160" s="111" t="s">
        <v>3617</v>
      </c>
      <c r="E160" s="113">
        <v>14364.0</v>
      </c>
      <c r="F160" s="114">
        <v>44620.0</v>
      </c>
      <c r="G160" s="111" t="s">
        <v>6519</v>
      </c>
      <c r="H160" s="111" t="s">
        <v>6526</v>
      </c>
      <c r="I160" s="111" t="s">
        <v>6527</v>
      </c>
      <c r="J160" s="111" t="s">
        <v>6427</v>
      </c>
      <c r="K160" s="115"/>
      <c r="L160" s="115" t="s">
        <v>6522</v>
      </c>
      <c r="M160" s="115" t="b">
        <f>IFS($A160=FALSE,"", countif(VLOOKUP($B160,'FEBRUARY 2022'!C:C,1,FALSE),$B160)&gt;=1,TRUE,countif(VLOOKUP($B160,'FEBRUARY 2022'!C:C,1,FALSE),$B160)=0,FALSE)</f>
        <v>1</v>
      </c>
      <c r="N160" s="115" t="b">
        <f>IFS($A160=FALSE,"", countif(VLOOKUP($A160,'FEBRUARY 2022'!A:A,1,FALSE),$A160)&gt;=1,TRUE,countif(VLOOKUP($A160,'FEBRUARY 2022'!A:A,1,FALSE),$A160)=0,FALSE)</f>
        <v>1</v>
      </c>
      <c r="O160" s="111" t="str">
        <f t="shared" si="2"/>
        <v> </v>
      </c>
    </row>
    <row r="161" ht="15.75" hidden="1" customHeight="1">
      <c r="A161" s="110" t="str">
        <f t="shared" si="1"/>
        <v>1800944620</v>
      </c>
      <c r="B161" s="111">
        <v>18009.0</v>
      </c>
      <c r="C161" s="112">
        <v>0.5625</v>
      </c>
      <c r="D161" s="111" t="s">
        <v>6231</v>
      </c>
      <c r="E161" s="113">
        <v>21752.0</v>
      </c>
      <c r="F161" s="114">
        <v>44620.0</v>
      </c>
      <c r="G161" s="111" t="s">
        <v>6525</v>
      </c>
      <c r="H161" s="111" t="s">
        <v>6526</v>
      </c>
      <c r="I161" s="111" t="s">
        <v>6527</v>
      </c>
      <c r="J161" s="111" t="s">
        <v>6393</v>
      </c>
      <c r="K161" s="115"/>
      <c r="L161" s="115" t="s">
        <v>6522</v>
      </c>
      <c r="M161" s="115" t="b">
        <f>IFS($A161=FALSE,"", countif(VLOOKUP($B161,'FEBRUARY 2022'!C:C,1,FALSE),$B161)&gt;=1,TRUE,countif(VLOOKUP($B161,'FEBRUARY 2022'!C:C,1,FALSE),$B161)=0,FALSE)</f>
        <v>1</v>
      </c>
      <c r="N161" s="115" t="b">
        <f>IFS($A161=FALSE,"", countif(VLOOKUP($A161,'FEBRUARY 2022'!A:A,1,FALSE),$A161)&gt;=1,TRUE,countif(VLOOKUP($A161,'FEBRUARY 2022'!A:A,1,FALSE),$A161)=0,FALSE)</f>
        <v>1</v>
      </c>
      <c r="O161" s="111" t="str">
        <f t="shared" si="2"/>
        <v> </v>
      </c>
    </row>
    <row r="162" ht="15.75" hidden="1" customHeight="1">
      <c r="A162" s="110" t="str">
        <f t="shared" si="1"/>
        <v>1820244620</v>
      </c>
      <c r="B162" s="111">
        <v>18202.0</v>
      </c>
      <c r="C162" s="112">
        <v>0.59375</v>
      </c>
      <c r="D162" s="111" t="s">
        <v>6266</v>
      </c>
      <c r="E162" s="113">
        <v>23015.0</v>
      </c>
      <c r="F162" s="114">
        <v>44620.0</v>
      </c>
      <c r="G162" s="111" t="s">
        <v>6525</v>
      </c>
      <c r="H162" s="111" t="s">
        <v>6526</v>
      </c>
      <c r="I162" s="111" t="s">
        <v>6527</v>
      </c>
      <c r="J162" s="111" t="s">
        <v>6420</v>
      </c>
      <c r="K162" s="115"/>
      <c r="L162" s="115" t="s">
        <v>6522</v>
      </c>
      <c r="M162" s="115" t="b">
        <f>IFS($A162=FALSE,"", countif(VLOOKUP($B162,'FEBRUARY 2022'!C:C,1,FALSE),$B162)&gt;=1,TRUE,countif(VLOOKUP($B162,'FEBRUARY 2022'!C:C,1,FALSE),$B162)=0,FALSE)</f>
        <v>1</v>
      </c>
      <c r="N162" s="115" t="b">
        <f>IFS($A162=FALSE,"", countif(VLOOKUP($A162,'FEBRUARY 2022'!A:A,1,FALSE),$A162)&gt;=1,TRUE,countif(VLOOKUP($A162,'FEBRUARY 2022'!A:A,1,FALSE),$A162)=0,FALSE)</f>
        <v>1</v>
      </c>
      <c r="O162" s="111" t="str">
        <f t="shared" si="2"/>
        <v> </v>
      </c>
    </row>
    <row r="163" ht="15.75" hidden="1" customHeight="1">
      <c r="A163" s="110" t="str">
        <f t="shared" si="1"/>
        <v>1817144620</v>
      </c>
      <c r="B163" s="111">
        <v>18171.0</v>
      </c>
      <c r="C163" s="112">
        <v>0.59375</v>
      </c>
      <c r="D163" s="111" t="s">
        <v>6272</v>
      </c>
      <c r="E163" s="113">
        <v>20639.0</v>
      </c>
      <c r="F163" s="114">
        <v>44620.0</v>
      </c>
      <c r="G163" s="111" t="s">
        <v>6525</v>
      </c>
      <c r="H163" s="111" t="s">
        <v>6526</v>
      </c>
      <c r="I163" s="111" t="s">
        <v>6527</v>
      </c>
      <c r="J163" s="111" t="s">
        <v>6476</v>
      </c>
      <c r="K163" s="115"/>
      <c r="L163" s="115" t="s">
        <v>6522</v>
      </c>
      <c r="M163" s="115" t="b">
        <f>IFS($A163=FALSE,"", countif(VLOOKUP($B163,'FEBRUARY 2022'!C:C,1,FALSE),$B163)&gt;=1,TRUE,countif(VLOOKUP($B163,'FEBRUARY 2022'!C:C,1,FALSE),$B163)=0,FALSE)</f>
        <v>1</v>
      </c>
      <c r="N163" s="115" t="b">
        <f>IFS($A163=FALSE,"", countif(VLOOKUP($A163,'FEBRUARY 2022'!A:A,1,FALSE),$A163)&gt;=1,TRUE,countif(VLOOKUP($A163,'FEBRUARY 2022'!A:A,1,FALSE),$A163)=0,FALSE)</f>
        <v>1</v>
      </c>
      <c r="O163" s="111" t="str">
        <f t="shared" si="2"/>
        <v> </v>
      </c>
    </row>
    <row r="164" ht="15.75" hidden="1" customHeight="1">
      <c r="A164" s="110" t="str">
        <f t="shared" si="1"/>
        <v>1810544620</v>
      </c>
      <c r="B164" s="111">
        <v>18105.0</v>
      </c>
      <c r="C164" s="112">
        <v>0.6145833333333334</v>
      </c>
      <c r="D164" s="111" t="s">
        <v>6269</v>
      </c>
      <c r="E164" s="113">
        <v>20582.0</v>
      </c>
      <c r="F164" s="114">
        <v>44620.0</v>
      </c>
      <c r="G164" s="111" t="s">
        <v>6525</v>
      </c>
      <c r="H164" s="111" t="s">
        <v>6526</v>
      </c>
      <c r="I164" s="111" t="s">
        <v>6527</v>
      </c>
      <c r="J164" s="111" t="s">
        <v>6372</v>
      </c>
      <c r="K164" s="115"/>
      <c r="L164" s="115" t="s">
        <v>6522</v>
      </c>
      <c r="M164" s="115" t="b">
        <f>IFS($A164=FALSE,"", countif(VLOOKUP($B164,'FEBRUARY 2022'!C:C,1,FALSE),$B164)&gt;=1,TRUE,countif(VLOOKUP($B164,'FEBRUARY 2022'!C:C,1,FALSE),$B164)=0,FALSE)</f>
        <v>1</v>
      </c>
      <c r="N164" s="115" t="b">
        <f>IFS($A164=FALSE,"", countif(VLOOKUP($A164,'FEBRUARY 2022'!A:A,1,FALSE),$A164)&gt;=1,TRUE,countif(VLOOKUP($A164,'FEBRUARY 2022'!A:A,1,FALSE),$A164)=0,FALSE)</f>
        <v>1</v>
      </c>
      <c r="O164" s="111" t="str">
        <f t="shared" si="2"/>
        <v> </v>
      </c>
    </row>
    <row r="165" ht="15.75" hidden="1" customHeight="1">
      <c r="A165" s="110" t="str">
        <f t="shared" si="1"/>
        <v>1612844620</v>
      </c>
      <c r="B165" s="111">
        <v>16128.0</v>
      </c>
      <c r="C165" s="112">
        <v>0.625</v>
      </c>
      <c r="D165" s="111" t="s">
        <v>4447</v>
      </c>
      <c r="E165" s="113">
        <v>16663.0</v>
      </c>
      <c r="F165" s="114">
        <v>44620.0</v>
      </c>
      <c r="G165" s="111" t="s">
        <v>6519</v>
      </c>
      <c r="H165" s="111" t="s">
        <v>6520</v>
      </c>
      <c r="I165" s="111" t="s">
        <v>6524</v>
      </c>
      <c r="J165" s="111" t="s">
        <v>6477</v>
      </c>
      <c r="K165" s="115"/>
      <c r="L165" s="115" t="s">
        <v>6522</v>
      </c>
      <c r="M165" s="115" t="b">
        <f>IFS($A165=FALSE,"", countif(VLOOKUP($B165,'FEBRUARY 2022'!C:C,1,FALSE),$B165)&gt;=1,TRUE,countif(VLOOKUP($B165,'FEBRUARY 2022'!C:C,1,FALSE),$B165)=0,FALSE)</f>
        <v>1</v>
      </c>
      <c r="N165" s="115" t="b">
        <f>IFS($A165=FALSE,"", countif(VLOOKUP($A165,'FEBRUARY 2022'!A:A,1,FALSE),$A165)&gt;=1,TRUE,countif(VLOOKUP($A165,'FEBRUARY 2022'!A:A,1,FALSE),$A165)=0,FALSE)</f>
        <v>1</v>
      </c>
      <c r="O165" s="111" t="str">
        <f t="shared" si="2"/>
        <v> </v>
      </c>
    </row>
    <row r="166" ht="15.75" hidden="1" customHeight="1">
      <c r="A166" s="110" t="str">
        <f t="shared" si="1"/>
        <v>1418644620</v>
      </c>
      <c r="B166" s="111">
        <v>14186.0</v>
      </c>
      <c r="C166" s="112">
        <v>0.6458333333333334</v>
      </c>
      <c r="D166" s="111" t="s">
        <v>2805</v>
      </c>
      <c r="E166" s="113">
        <v>22075.0</v>
      </c>
      <c r="F166" s="114">
        <v>44620.0</v>
      </c>
      <c r="G166" s="111" t="s">
        <v>6519</v>
      </c>
      <c r="H166" s="111" t="s">
        <v>6520</v>
      </c>
      <c r="I166" s="111" t="s">
        <v>6521</v>
      </c>
      <c r="J166" s="111" t="s">
        <v>6489</v>
      </c>
      <c r="K166" s="115"/>
      <c r="L166" s="115" t="s">
        <v>6522</v>
      </c>
      <c r="M166" s="115" t="b">
        <f>IFS($A166=FALSE,"", countif(VLOOKUP($B166,'FEBRUARY 2022'!C:C,1,FALSE),$B166)&gt;=1,TRUE,countif(VLOOKUP($B166,'FEBRUARY 2022'!C:C,1,FALSE),$B166)=0,FALSE)</f>
        <v>1</v>
      </c>
      <c r="N166" s="115" t="b">
        <f>IFS($A166=FALSE,"", countif(VLOOKUP($A166,'FEBRUARY 2022'!A:A,1,FALSE),$A166)&gt;=1,TRUE,countif(VLOOKUP($A166,'FEBRUARY 2022'!A:A,1,FALSE),$A166)=0,FALSE)</f>
        <v>1</v>
      </c>
      <c r="O166" s="111" t="str">
        <f t="shared" si="2"/>
        <v> 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66">
    <filterColumn colId="5">
      <filters>
        <filter val="02/21/22"/>
      </filters>
    </filterColumn>
  </autoFilter>
  <conditionalFormatting sqref="A2:O166">
    <cfRule type="expression" dxfId="2" priority="1">
      <formula>$O2="Repeat"</formula>
    </cfRule>
  </conditionalFormatting>
  <conditionalFormatting sqref="A1:N166">
    <cfRule type="expression" dxfId="19" priority="2">
      <formula>$N1=true</formula>
    </cfRule>
  </conditionalFormatting>
  <conditionalFormatting sqref="A1:M166">
    <cfRule type="expression" dxfId="1" priority="3">
      <formula>$M1=false</formula>
    </cfRule>
  </conditionalFormatting>
  <conditionalFormatting sqref="B2:O166">
    <cfRule type="expression" dxfId="5" priority="4">
      <formula>$J2="AMBETTER - SUPERIOR"</formula>
    </cfRule>
  </conditionalFormatting>
  <conditionalFormatting sqref="B2:O166">
    <cfRule type="expression" dxfId="5" priority="5">
      <formula>$J2="SUPERIOR HEALTH PLAN"</formula>
    </cfRule>
  </conditionalFormatting>
  <conditionalFormatting sqref="B2:O166">
    <cfRule type="expression" dxfId="20" priority="6">
      <formula>$G2="OUT-UAQPre"</formula>
    </cfRule>
  </conditionalFormatting>
  <conditionalFormatting sqref="B2:O166">
    <cfRule type="expression" dxfId="20" priority="7">
      <formula>$G2="OUT-UAQ"</formula>
    </cfRule>
  </conditionalFormatting>
  <conditionalFormatting sqref="B2:O166">
    <cfRule type="expression" dxfId="21" priority="8">
      <formula>$G2="HUMANA CHOICE CARE"</formula>
    </cfRule>
  </conditionalFormatting>
  <conditionalFormatting sqref="B2:O166">
    <cfRule type="expression" dxfId="21" priority="9">
      <formula>$G2="HUMANA OPEN ACCESS PLAN"</formula>
    </cfRule>
  </conditionalFormatting>
  <conditionalFormatting sqref="B2:O166">
    <cfRule type="expression" dxfId="22" priority="10">
      <formula>$G2="OUTSA-SaQu"</formula>
    </cfRule>
  </conditionalFormatting>
  <conditionalFormatting sqref="B2:O166">
    <cfRule type="expression" dxfId="20" priority="11">
      <formula>$G2="OUTUA-QNEW"</formula>
    </cfRule>
  </conditionalFormatting>
  <conditionalFormatting sqref="B2:O166">
    <cfRule type="expression" dxfId="20" priority="12">
      <formula>$G2="OUTUA-PrRW"</formula>
    </cfRule>
  </conditionalFormatting>
  <conditionalFormatting sqref="B2:O166">
    <cfRule type="expression" dxfId="20" priority="13">
      <formula>$G2="OUTUA-NWRW"</formula>
    </cfRule>
  </conditionalFormatting>
  <conditionalFormatting sqref="B2:O166">
    <cfRule type="expression" dxfId="22" priority="14">
      <formula>$G2="OUTSA-RW"</formula>
    </cfRule>
  </conditionalFormatting>
  <conditionalFormatting sqref="B2:O166">
    <cfRule type="expression" dxfId="20" priority="15">
      <formula>$G2="OUTUA-FURW"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6.13"/>
    <col customWidth="1" min="3" max="3" width="8.13"/>
    <col customWidth="1" min="4" max="4" width="2.25"/>
    <col customWidth="1" min="5" max="5" width="8.5"/>
    <col customWidth="1" min="6" max="6" width="9.38"/>
    <col customWidth="1" min="7" max="7" width="9.88"/>
    <col customWidth="1" min="8" max="8" width="9.75"/>
    <col customWidth="1" min="9" max="9" width="11.38"/>
    <col customWidth="1" min="10" max="10" width="28.63"/>
    <col customWidth="1" min="11" max="11" width="9.38"/>
    <col customWidth="1" min="12" max="12" width="8.25"/>
    <col customWidth="1" min="13" max="13" width="9.13"/>
    <col customWidth="1" min="14" max="14" width="8.63"/>
    <col customWidth="1" min="15" max="15" width="2.25"/>
    <col customWidth="1" hidden="1" min="16" max="21" width="9.63"/>
    <col customWidth="1" min="22" max="22" width="15.5"/>
    <col customWidth="1" hidden="1" min="23" max="26" width="9.63"/>
    <col customWidth="1" min="27" max="27" width="9.63"/>
  </cols>
  <sheetData>
    <row r="1" ht="15.75" customHeight="1">
      <c r="A1" s="44" t="s">
        <v>6554</v>
      </c>
      <c r="B1" s="44" t="s">
        <v>33</v>
      </c>
      <c r="C1" s="116" t="s">
        <v>6496</v>
      </c>
      <c r="D1" s="117"/>
      <c r="E1" s="44" t="s">
        <v>34</v>
      </c>
      <c r="F1" s="44" t="s">
        <v>3</v>
      </c>
      <c r="G1" s="118" t="s">
        <v>6367</v>
      </c>
      <c r="H1" s="44" t="s">
        <v>1</v>
      </c>
      <c r="I1" s="44" t="s">
        <v>6499</v>
      </c>
      <c r="J1" s="44" t="s">
        <v>6425</v>
      </c>
      <c r="K1" s="118" t="s">
        <v>6555</v>
      </c>
      <c r="L1" s="118" t="s">
        <v>6556</v>
      </c>
      <c r="M1" s="118" t="s">
        <v>6557</v>
      </c>
      <c r="N1" s="119" t="s">
        <v>6503</v>
      </c>
      <c r="O1" s="117"/>
      <c r="P1" s="44" t="s">
        <v>6478</v>
      </c>
      <c r="Q1" s="118" t="s">
        <v>6504</v>
      </c>
      <c r="R1" s="118" t="s">
        <v>6422</v>
      </c>
      <c r="S1" s="118" t="s">
        <v>6424</v>
      </c>
      <c r="T1" s="118" t="s">
        <v>6437</v>
      </c>
      <c r="U1" s="44"/>
      <c r="V1" s="53" t="s">
        <v>6505</v>
      </c>
      <c r="W1" s="44"/>
      <c r="X1" s="44"/>
      <c r="Y1" s="118" t="s">
        <v>6506</v>
      </c>
      <c r="Z1" s="119"/>
      <c r="AA1" s="120"/>
    </row>
    <row r="2" ht="15.75" hidden="1" customHeight="1">
      <c r="A2" s="76" t="str">
        <f t="shared" ref="A2:A600" si="1">C2&amp;F2</f>
        <v>1570244621</v>
      </c>
      <c r="B2" s="76" t="str">
        <f>IFS($C2=FALSE,"",$C2,VLOOKUP($C2,'PATIENT DATA (072721)'!A:C, 2, 0))</f>
        <v>RUEDAS, ELKE J</v>
      </c>
      <c r="C2" s="77">
        <v>15702.0</v>
      </c>
      <c r="D2" s="121" t="str">
        <f>IF(COUNTIF('PATIENT DATA (072721)'!A:A, C2)=0, "X","✓")</f>
        <v>✓</v>
      </c>
      <c r="E2" s="79">
        <f>IFS($C2=FALSE,"",$C2,VLOOKUP($C2,'PATIENT DATA (072721)'!A:C, 3, 0))</f>
        <v>25899</v>
      </c>
      <c r="F2" s="80">
        <v>44621.0</v>
      </c>
      <c r="G2" s="81">
        <f>ifs($C2="","",$C2, VLOOKUP($C2&amp;$F2, 'MARCH - VISIT DATA'!A:O,3,0))</f>
        <v>0.3333333333</v>
      </c>
      <c r="H2" s="83" t="s">
        <v>6558</v>
      </c>
      <c r="I2" s="122" t="str">
        <f>VLOOKUP($C2&amp;$F2,'MARCH - VISIT DATA'!A:J, 9, FALSE)</f>
        <v>MARTINEZ</v>
      </c>
      <c r="J2" s="85" t="str">
        <f>VLOOKUP(C2&amp;F2,'MARCH - VISIT DATA'!A:O,10,FALSE)</f>
        <v>CIGNA OPEN ACCESS PLAN (OAP)</v>
      </c>
      <c r="K2" s="86"/>
      <c r="L2" s="86" t="s">
        <v>6559</v>
      </c>
      <c r="M2" s="86" t="s">
        <v>6559</v>
      </c>
      <c r="N2" s="86"/>
      <c r="O2" s="121" t="str">
        <f t="shared" ref="O2:O600" si="2">IF(OR(K2 = "x",L2 = "x",M2 = "x"),"✓", "X")</f>
        <v>✓</v>
      </c>
      <c r="P2" s="79" t="str">
        <f t="shared" ref="P2:P600" si="3">ifs(SEARCH($P$1,$J2)&gt;=1,"X")</f>
        <v>#VALUE!</v>
      </c>
      <c r="Q2" s="123" t="str">
        <f t="shared" ref="Q2:Q600" si="4">ifs(SEARCH($Q$1,$J2)&gt;=1,"X")</f>
        <v>#VALUE!</v>
      </c>
      <c r="R2" s="124" t="str">
        <f t="shared" ref="R2:R600" si="5">ifs(SEARCH($R$1,$J2)&gt;=1,"X")</f>
        <v>#VALUE!</v>
      </c>
      <c r="S2" s="125" t="str">
        <f t="shared" ref="S2:S600" si="6">ifs(SEARCH($S$1,$J2)&gt;=1,"X")</f>
        <v>#VALUE!</v>
      </c>
      <c r="T2" s="125" t="str">
        <f t="shared" ref="T2:T600" si="7">ifs(SEARCH($T$1,$J2)&gt;=1,"X")</f>
        <v>#VALUE!</v>
      </c>
      <c r="U2" s="83">
        <f t="shared" ref="U2:U600" si="8">countif($P2:$T2,"X")</f>
        <v>0</v>
      </c>
      <c r="V2" s="88" t="str">
        <f>ifs($N2="",VLOOKUP($C2&amp;$F2,'MARCH - VISIT DATA'!$A$2:$J600,7,FALSE), $N2="SWAB","OUTSA-RW",$N2="SWQU","OUTSA-SaQu", AND($L2="X",$M2="X",$N2="QUEST"),"OUT-UAQPre",$N2="QUEST","OUT-UAQ", $N2="Walk in","ColUATele")</f>
        <v>UA-Prelim</v>
      </c>
      <c r="W2" s="126" t="str">
        <f t="shared" ref="W2:W600" si="9">ifs($V2="UA-NWPT","UA-NWPT : UA New Patient",$V2="UA","UA : Urine Analysis In House",$V2="UA-Prelim","UA-Prelim : Preliminary UA Test",$V2="OUT-UAQ","OUT-UAQ : Quest Out UA",$V2="OUT-UAQPre", "OUT-UAQPre : OUT UA Prelim Quest",$V2="OUTSA-SaQu","OUTSA-SaQu : Saliva Out Quest",$V2="ColUATele","Collected Telemed",$V2="OUTUA-PrRW", "OUTUA-PrRW : OUT UA Prelimin Redwood",$V2="OUTUA-FURW", "OUTUA-FURW : OUT UA FU Redwood",$V2="OUTUA-NWRW", "OUTUA-NWRW : OUT UA New Redwood",$V2="OUTSA-RW", "OUTSA-RW : OUT Saliva Redwood")</f>
        <v>UA-Prelim : Preliminary UA Test</v>
      </c>
      <c r="X2" s="122" t="str">
        <f t="shared" ref="X2:X600" si="10">ifs($C2="","",and($K2="X",$L2="X",$M2="X",$N2="SWAB"), "ERROR",and($K2="X",$L2="X",$N2="SWAB"), "ERROR", and($L2="X",$N2="SWAB"), "OUTSA-RW : OUT Saliva Redwood", and($K2="X",$M2="X", $N2="SWAB"),"ERROR", and($M2="X",$N2="SWAB"), "OUTSA-RW : OUT Saliva Redwood", and($K2="X",$N2="SWAB"),"OUTSA-RW : OUT Saliva Redwood",and($K2="X",$L2="X"),"ERROR", and($K2="X",$M2="X"),"ERROR",and($M2="X",$U2=1), "OUTUA-PrRW : OUT UA Prelimin Redwood", and($K2="X",$U2=1), "OUTUA-NWRW : OUT UA New Redwood", and($L2="X",$U2=1), "OUTUA-FURW : OUT UA FU Redwood", and($L2="X",$M2="X",$U2=1), "OUTUA-PrRW : OUT UA Prelimin Redwood", $K2="X","UA-NWPT : UA New Patient", and($L2="X",$M2="X"),"UA-Prelim : Preliminary UA Test",and($L2="X",$N2="SWAB"),"OUTSA-RW : OUT Saliva Redwood",$L2="X","UA : Urine Analysis In House",$M2="X","UA-Prelim : Preliminary UA Test")</f>
        <v>UA-Prelim : Preliminary UA Test</v>
      </c>
      <c r="Y2" s="122" t="str">
        <f t="shared" ref="Y2:Y600" si="11">IFS($C2="","",X2=W2,"MATCH",X2&lt;&gt;W2,"NO MATCH")</f>
        <v>MATCH</v>
      </c>
      <c r="Z2" s="86" t="str">
        <f t="shared" ref="Z2:Z600" si="12">IF((countif($C$2:$C600,$C2)&gt;1),"Repeat"," ")</f>
        <v> </v>
      </c>
      <c r="AA2" s="71"/>
    </row>
    <row r="3" ht="15.75" customHeight="1">
      <c r="A3" s="56" t="str">
        <f t="shared" si="1"/>
        <v>1116344621</v>
      </c>
      <c r="B3" s="56" t="str">
        <f>IFS($C3=FALSE,"",$C3,VLOOKUP($C3,'PATIENT DATA (072721)'!A:C, 2, 0))</f>
        <v>LUJAN, SASCHA</v>
      </c>
      <c r="C3" s="57">
        <v>11163.0</v>
      </c>
      <c r="D3" s="127" t="str">
        <f>IF(COUNTIF('PATIENT DATA (072721)'!A:A, C3)=0, "X","✓")</f>
        <v>✓</v>
      </c>
      <c r="E3" s="79">
        <f>IFS($C3=FALSE,"",$C3,VLOOKUP($C3,'PATIENT DATA (072721)'!A:C, 3, 0))</f>
        <v>28099</v>
      </c>
      <c r="F3" s="80">
        <v>44621.0</v>
      </c>
      <c r="G3" s="81">
        <f>ifs($C3="","",$C3, VLOOKUP($C3&amp;$F3, 'MARCH - VISIT DATA'!A:O,3,0))</f>
        <v>0.375</v>
      </c>
      <c r="H3" s="83" t="s">
        <v>6558</v>
      </c>
      <c r="I3" s="122" t="str">
        <f>VLOOKUP($C3&amp;$F3,'MARCH - VISIT DATA'!A:J, 9, FALSE)</f>
        <v>MARTINEZ</v>
      </c>
      <c r="J3" s="85" t="str">
        <f>VLOOKUP(C3&amp;F3,'MARCH - VISIT DATA'!A:O,10,FALSE)</f>
        <v>TRICARE PRIME</v>
      </c>
      <c r="K3" s="86"/>
      <c r="L3" s="86" t="s">
        <v>6559</v>
      </c>
      <c r="M3" s="86"/>
      <c r="N3" s="86"/>
      <c r="O3" s="121" t="str">
        <f t="shared" si="2"/>
        <v>✓</v>
      </c>
      <c r="P3" s="79" t="str">
        <f t="shared" si="3"/>
        <v>#VALUE!</v>
      </c>
      <c r="Q3" s="123" t="str">
        <f t="shared" si="4"/>
        <v>#VALUE!</v>
      </c>
      <c r="R3" s="124" t="str">
        <f t="shared" si="5"/>
        <v>#VALUE!</v>
      </c>
      <c r="S3" s="125" t="str">
        <f t="shared" si="6"/>
        <v>#VALUE!</v>
      </c>
      <c r="T3" s="125" t="str">
        <f t="shared" si="7"/>
        <v>#VALUE!</v>
      </c>
      <c r="U3" s="83">
        <f t="shared" si="8"/>
        <v>0</v>
      </c>
      <c r="V3" s="88" t="str">
        <f>ifs($N3="",VLOOKUP($C3&amp;$F3,'MARCH - VISIT DATA'!$A$2:$J600,7,FALSE), $N3="SWAB","OUTSA-RW",$N3="SWQU","OUTSA-SaQu", AND($L3="X",$M3="X",$N3="QUEST"),"OUT-UAQPre",$N3="QUEST","OUT-UAQ", $N3="Walk in","ColUATele")</f>
        <v>UA</v>
      </c>
      <c r="W3" s="70" t="str">
        <f t="shared" si="9"/>
        <v>UA : Urine Analysis In House</v>
      </c>
      <c r="X3" s="64" t="str">
        <f t="shared" si="10"/>
        <v>UA : Urine Analysis In House</v>
      </c>
      <c r="Y3" s="64" t="str">
        <f t="shared" si="11"/>
        <v>MATCH</v>
      </c>
      <c r="Z3" s="66" t="str">
        <f t="shared" si="12"/>
        <v> </v>
      </c>
      <c r="AA3" s="71"/>
    </row>
    <row r="4" ht="15.75" customHeight="1">
      <c r="A4" s="56" t="str">
        <f t="shared" si="1"/>
        <v>1320544621</v>
      </c>
      <c r="B4" s="56" t="str">
        <f>IFS($C4=FALSE,"",$C4,VLOOKUP($C4,'PATIENT DATA (072721)'!A:C, 2, 0))</f>
        <v>STUBBS, APRIL</v>
      </c>
      <c r="C4" s="57">
        <v>13205.0</v>
      </c>
      <c r="D4" s="127" t="str">
        <f>IF(COUNTIF('PATIENT DATA (072721)'!A:A, C4)=0, "X","✓")</f>
        <v>✓</v>
      </c>
      <c r="E4" s="79">
        <f>IFS($C4=FALSE,"",$C4,VLOOKUP($C4,'PATIENT DATA (072721)'!A:C, 3, 0))</f>
        <v>30581</v>
      </c>
      <c r="F4" s="80">
        <v>44621.0</v>
      </c>
      <c r="G4" s="81">
        <f>ifs($C4="","",$C4, VLOOKUP($C4&amp;$F4, 'MARCH - VISIT DATA'!A:O,3,0))</f>
        <v>0.375</v>
      </c>
      <c r="H4" s="83" t="s">
        <v>6560</v>
      </c>
      <c r="I4" s="122" t="str">
        <f>VLOOKUP($C4&amp;$F4,'MARCH - VISIT DATA'!A:J, 9, FALSE)</f>
        <v>TORRES</v>
      </c>
      <c r="J4" s="85" t="str">
        <f>VLOOKUP(C4&amp;F4,'MARCH - VISIT DATA'!A:O,10,FALSE)</f>
        <v>TRICARE PRIME</v>
      </c>
      <c r="K4" s="86"/>
      <c r="L4" s="86" t="s">
        <v>6559</v>
      </c>
      <c r="M4" s="86"/>
      <c r="N4" s="86"/>
      <c r="O4" s="121" t="str">
        <f t="shared" si="2"/>
        <v>✓</v>
      </c>
      <c r="P4" s="79" t="str">
        <f t="shared" si="3"/>
        <v>#VALUE!</v>
      </c>
      <c r="Q4" s="123" t="str">
        <f t="shared" si="4"/>
        <v>#VALUE!</v>
      </c>
      <c r="R4" s="124" t="str">
        <f t="shared" si="5"/>
        <v>#VALUE!</v>
      </c>
      <c r="S4" s="125" t="str">
        <f t="shared" si="6"/>
        <v>#VALUE!</v>
      </c>
      <c r="T4" s="125" t="str">
        <f t="shared" si="7"/>
        <v>#VALUE!</v>
      </c>
      <c r="U4" s="83">
        <f t="shared" si="8"/>
        <v>0</v>
      </c>
      <c r="V4" s="88" t="str">
        <f>ifs($N4="",VLOOKUP($C4&amp;$F4,'MARCH - VISIT DATA'!$A$2:$J600,7,FALSE), $N4="SWAB","OUTSA-RW",$N4="SWQU","OUTSA-SaQu", AND($L4="X",$M4="X",$N4="QUEST"),"OUT-UAQPre",$N4="QUEST","OUT-UAQ", $N4="Walk in","ColUATele")</f>
        <v>UA</v>
      </c>
      <c r="W4" s="70" t="str">
        <f t="shared" si="9"/>
        <v>UA : Urine Analysis In House</v>
      </c>
      <c r="X4" s="64" t="str">
        <f t="shared" si="10"/>
        <v>UA : Urine Analysis In House</v>
      </c>
      <c r="Y4" s="64" t="str">
        <f t="shared" si="11"/>
        <v>MATCH</v>
      </c>
      <c r="Z4" s="66" t="str">
        <f t="shared" si="12"/>
        <v> </v>
      </c>
      <c r="AA4" s="71"/>
    </row>
    <row r="5" ht="15.75" hidden="1" customHeight="1">
      <c r="A5" s="56" t="str">
        <f t="shared" si="1"/>
        <v>1103744621</v>
      </c>
      <c r="B5" s="56" t="str">
        <f>IFS($C5=FALSE,"",$C5,VLOOKUP($C5,'PATIENT DATA (072721)'!A:C, 2, 0))</f>
        <v>HORNER, CONSTANCE M</v>
      </c>
      <c r="C5" s="57">
        <v>11037.0</v>
      </c>
      <c r="D5" s="127" t="str">
        <f>IF(COUNTIF('PATIENT DATA (072721)'!A:A, C5)=0, "X","✓")</f>
        <v>✓</v>
      </c>
      <c r="E5" s="79">
        <f>IFS($C5=FALSE,"",$C5,VLOOKUP($C5,'PATIENT DATA (072721)'!A:C, 3, 0))</f>
        <v>30904</v>
      </c>
      <c r="F5" s="80">
        <v>44621.0</v>
      </c>
      <c r="G5" s="81">
        <f>ifs($C5="","",$C5, VLOOKUP($C5&amp;$F5, 'MARCH - VISIT DATA'!A:O,3,0))</f>
        <v>0.3958333333</v>
      </c>
      <c r="H5" s="83" t="s">
        <v>6560</v>
      </c>
      <c r="I5" s="122" t="str">
        <f>VLOOKUP($C5&amp;$F5,'MARCH - VISIT DATA'!A:J, 9, FALSE)</f>
        <v>TORRES</v>
      </c>
      <c r="J5" s="85" t="str">
        <f>VLOOKUP(C5&amp;F5,'MARCH - VISIT DATA'!A:O,10,FALSE)</f>
        <v>AMBETTER - SUPERIOR</v>
      </c>
      <c r="K5" s="86"/>
      <c r="L5" s="86" t="s">
        <v>6559</v>
      </c>
      <c r="M5" s="86" t="s">
        <v>6559</v>
      </c>
      <c r="N5" s="86"/>
      <c r="O5" s="121" t="str">
        <f t="shared" si="2"/>
        <v>✓</v>
      </c>
      <c r="P5" s="79" t="str">
        <f t="shared" si="3"/>
        <v>#VALUE!</v>
      </c>
      <c r="Q5" s="123" t="str">
        <f t="shared" si="4"/>
        <v>#VALUE!</v>
      </c>
      <c r="R5" s="124" t="str">
        <f t="shared" si="5"/>
        <v>#VALUE!</v>
      </c>
      <c r="S5" s="125" t="str">
        <f t="shared" si="6"/>
        <v>#VALUE!</v>
      </c>
      <c r="T5" s="125" t="str">
        <f t="shared" si="7"/>
        <v>#VALUE!</v>
      </c>
      <c r="U5" s="83">
        <f t="shared" si="8"/>
        <v>0</v>
      </c>
      <c r="V5" s="88" t="str">
        <f>ifs($N5="",VLOOKUP($C5&amp;$F5,'MARCH - VISIT DATA'!$A$2:$J600,7,FALSE), $N5="SWAB","OUTSA-RW",$N5="SWQU","OUTSA-SaQu", AND($L5="X",$M5="X",$N5="QUEST"),"OUT-UAQPre",$N5="QUEST","OUT-UAQ", $N5="Walk in","ColUATele")</f>
        <v>UA-Prelim</v>
      </c>
      <c r="W5" s="70" t="str">
        <f t="shared" si="9"/>
        <v>UA-Prelim : Preliminary UA Test</v>
      </c>
      <c r="X5" s="64" t="str">
        <f t="shared" si="10"/>
        <v>UA-Prelim : Preliminary UA Test</v>
      </c>
      <c r="Y5" s="64" t="str">
        <f t="shared" si="11"/>
        <v>MATCH</v>
      </c>
      <c r="Z5" s="66" t="str">
        <f t="shared" si="12"/>
        <v> </v>
      </c>
      <c r="AA5" s="71"/>
    </row>
    <row r="6" ht="15.75" customHeight="1">
      <c r="A6" s="56" t="str">
        <f t="shared" si="1"/>
        <v>1801144621</v>
      </c>
      <c r="B6" s="56" t="str">
        <f>IFS($C6=FALSE,"",$C6,VLOOKUP($C6,'PATIENT DATA (072721)'!A:C, 2, 0))</f>
        <v>GONZALEZ SILVA, AGUSTIN</v>
      </c>
      <c r="C6" s="57">
        <v>18011.0</v>
      </c>
      <c r="D6" s="127" t="str">
        <f>IF(COUNTIF('PATIENT DATA (072721)'!A:A, C6)=0, "X","✓")</f>
        <v>✓</v>
      </c>
      <c r="E6" s="79">
        <f>IFS($C6=FALSE,"",$C6,VLOOKUP($C6,'PATIENT DATA (072721)'!A:C, 3, 0))</f>
        <v>20295</v>
      </c>
      <c r="F6" s="80">
        <v>44621.0</v>
      </c>
      <c r="G6" s="81">
        <f>ifs($C6="","",$C6, VLOOKUP($C6&amp;$F6, 'MARCH - VISIT DATA'!A:O,3,0))</f>
        <v>0.3958333333</v>
      </c>
      <c r="H6" s="83" t="s">
        <v>6561</v>
      </c>
      <c r="I6" s="122" t="str">
        <f>VLOOKUP($C6&amp;$F6,'MARCH - VISIT DATA'!A:J, 9, FALSE)</f>
        <v>LOPEZ</v>
      </c>
      <c r="J6" s="85" t="str">
        <f>VLOOKUP(C6&amp;F6,'MARCH - VISIT DATA'!A:O,10,FALSE)</f>
        <v>WELLCARE OF TEXAS HMO</v>
      </c>
      <c r="K6" s="86" t="s">
        <v>6559</v>
      </c>
      <c r="L6" s="86"/>
      <c r="M6" s="86"/>
      <c r="N6" s="86"/>
      <c r="O6" s="121" t="str">
        <f t="shared" si="2"/>
        <v>✓</v>
      </c>
      <c r="P6" s="79" t="str">
        <f t="shared" si="3"/>
        <v>#VALUE!</v>
      </c>
      <c r="Q6" s="123" t="str">
        <f t="shared" si="4"/>
        <v>#VALUE!</v>
      </c>
      <c r="R6" s="124" t="str">
        <f t="shared" si="5"/>
        <v>#VALUE!</v>
      </c>
      <c r="S6" s="125" t="str">
        <f t="shared" si="6"/>
        <v>#VALUE!</v>
      </c>
      <c r="T6" s="125" t="str">
        <f t="shared" si="7"/>
        <v>#VALUE!</v>
      </c>
      <c r="U6" s="83">
        <f t="shared" si="8"/>
        <v>0</v>
      </c>
      <c r="V6" s="88" t="str">
        <f>ifs($N6="",VLOOKUP($C6&amp;$F6,'MARCH - VISIT DATA'!$A$2:$J600,7,FALSE), $N6="SWAB","OUTSA-RW",$N6="SWQU","OUTSA-SaQu", AND($L6="X",$M6="X",$N6="QUEST"),"OUT-UAQPre",$N6="QUEST","OUT-UAQ", $N6="Walk in","ColUATele")</f>
        <v>UA-NWPT</v>
      </c>
      <c r="W6" s="70" t="str">
        <f t="shared" si="9"/>
        <v>UA-NWPT : UA New Patient</v>
      </c>
      <c r="X6" s="64" t="str">
        <f t="shared" si="10"/>
        <v>UA-NWPT : UA New Patient</v>
      </c>
      <c r="Y6" s="64" t="str">
        <f t="shared" si="11"/>
        <v>MATCH</v>
      </c>
      <c r="Z6" s="66" t="str">
        <f t="shared" si="12"/>
        <v> </v>
      </c>
      <c r="AA6" s="71"/>
    </row>
    <row r="7" ht="15.75" customHeight="1">
      <c r="A7" s="56" t="str">
        <f t="shared" si="1"/>
        <v>1818244621</v>
      </c>
      <c r="B7" s="56" t="str">
        <f>IFS($C7=FALSE,"",$C7,VLOOKUP($C7,'PATIENT DATA (072721)'!A:C, 2, 0))</f>
        <v>SERRANO, YVONNE</v>
      </c>
      <c r="C7" s="57">
        <v>18182.0</v>
      </c>
      <c r="D7" s="127" t="str">
        <f>IF(COUNTIF('PATIENT DATA (072721)'!A:A, C7)=0, "X","✓")</f>
        <v>✓</v>
      </c>
      <c r="E7" s="79">
        <f>IFS($C7=FALSE,"",$C7,VLOOKUP($C7,'PATIENT DATA (072721)'!A:C, 3, 0))</f>
        <v>26922</v>
      </c>
      <c r="F7" s="80">
        <v>44621.0</v>
      </c>
      <c r="G7" s="81">
        <f>ifs($C7="","",$C7, VLOOKUP($C7&amp;$F7, 'MARCH - VISIT DATA'!A:O,3,0))</f>
        <v>0.3958333333</v>
      </c>
      <c r="H7" s="83" t="s">
        <v>6561</v>
      </c>
      <c r="I7" s="122" t="str">
        <f>VLOOKUP($C7&amp;$F7,'MARCH - VISIT DATA'!A:J, 9, FALSE)</f>
        <v>LOPEZ</v>
      </c>
      <c r="J7" s="85" t="str">
        <f>VLOOKUP(C7&amp;F7,'MARCH - VISIT DATA'!A:O,10,FALSE)</f>
        <v>BCBSTX PPO</v>
      </c>
      <c r="K7" s="86" t="s">
        <v>6559</v>
      </c>
      <c r="L7" s="86"/>
      <c r="M7" s="86"/>
      <c r="N7" s="86"/>
      <c r="O7" s="121" t="str">
        <f t="shared" si="2"/>
        <v>✓</v>
      </c>
      <c r="P7" s="79" t="str">
        <f t="shared" si="3"/>
        <v>#VALUE!</v>
      </c>
      <c r="Q7" s="123" t="str">
        <f t="shared" si="4"/>
        <v>#VALUE!</v>
      </c>
      <c r="R7" s="124" t="str">
        <f t="shared" si="5"/>
        <v>#VALUE!</v>
      </c>
      <c r="S7" s="125" t="str">
        <f t="shared" si="6"/>
        <v>#VALUE!</v>
      </c>
      <c r="T7" s="125" t="str">
        <f t="shared" si="7"/>
        <v>#VALUE!</v>
      </c>
      <c r="U7" s="83">
        <f t="shared" si="8"/>
        <v>0</v>
      </c>
      <c r="V7" s="88" t="str">
        <f>ifs($N7="",VLOOKUP($C7&amp;$F7,'MARCH - VISIT DATA'!$A$2:$J600,7,FALSE), $N7="SWAB","OUTSA-RW",$N7="SWQU","OUTSA-SaQu", AND($L7="X",$M7="X",$N7="QUEST"),"OUT-UAQPre",$N7="QUEST","OUT-UAQ", $N7="Walk in","ColUATele")</f>
        <v>UA-NWPT</v>
      </c>
      <c r="W7" s="70" t="str">
        <f t="shared" si="9"/>
        <v>UA-NWPT : UA New Patient</v>
      </c>
      <c r="X7" s="64" t="str">
        <f t="shared" si="10"/>
        <v>UA-NWPT : UA New Patient</v>
      </c>
      <c r="Y7" s="64" t="str">
        <f t="shared" si="11"/>
        <v>MATCH</v>
      </c>
      <c r="Z7" s="66" t="str">
        <f t="shared" si="12"/>
        <v> </v>
      </c>
      <c r="AA7" s="71"/>
    </row>
    <row r="8" ht="15.75" customHeight="1">
      <c r="A8" s="56" t="str">
        <f t="shared" si="1"/>
        <v>1177344621</v>
      </c>
      <c r="B8" s="56" t="str">
        <f>IFS($C8=FALSE,"",$C8,VLOOKUP($C8,'PATIENT DATA (072721)'!A:C, 2, 0))</f>
        <v>LIEURANCE, ASHLEY</v>
      </c>
      <c r="C8" s="57">
        <v>11773.0</v>
      </c>
      <c r="D8" s="127" t="str">
        <f>IF(COUNTIF('PATIENT DATA (072721)'!A:A, C8)=0, "X","✓")</f>
        <v>✓</v>
      </c>
      <c r="E8" s="79">
        <f>IFS($C8=FALSE,"",$C8,VLOOKUP($C8,'PATIENT DATA (072721)'!A:C, 3, 0))</f>
        <v>32461</v>
      </c>
      <c r="F8" s="80">
        <v>44621.0</v>
      </c>
      <c r="G8" s="81">
        <f>ifs($C8="","",$C8, VLOOKUP($C8&amp;$F8, 'MARCH - VISIT DATA'!A:O,3,0))</f>
        <v>0.4166666667</v>
      </c>
      <c r="H8" s="83" t="s">
        <v>6558</v>
      </c>
      <c r="I8" s="122" t="str">
        <f>VLOOKUP($C8&amp;$F8,'MARCH - VISIT DATA'!A:J, 9, FALSE)</f>
        <v>MARTINEZ</v>
      </c>
      <c r="J8" s="85" t="str">
        <f>VLOOKUP(C8&amp;F8,'MARCH - VISIT DATA'!A:O,10,FALSE)</f>
        <v>BCBSTX PPO</v>
      </c>
      <c r="K8" s="86"/>
      <c r="L8" s="86" t="s">
        <v>6559</v>
      </c>
      <c r="M8" s="86"/>
      <c r="N8" s="86"/>
      <c r="O8" s="121" t="str">
        <f t="shared" si="2"/>
        <v>✓</v>
      </c>
      <c r="P8" s="79" t="str">
        <f t="shared" si="3"/>
        <v>#VALUE!</v>
      </c>
      <c r="Q8" s="123" t="str">
        <f t="shared" si="4"/>
        <v>#VALUE!</v>
      </c>
      <c r="R8" s="124" t="str">
        <f t="shared" si="5"/>
        <v>#VALUE!</v>
      </c>
      <c r="S8" s="125" t="str">
        <f t="shared" si="6"/>
        <v>#VALUE!</v>
      </c>
      <c r="T8" s="125" t="str">
        <f t="shared" si="7"/>
        <v>#VALUE!</v>
      </c>
      <c r="U8" s="83">
        <f t="shared" si="8"/>
        <v>0</v>
      </c>
      <c r="V8" s="88" t="str">
        <f>ifs($N8="",VLOOKUP($C8&amp;$F8,'MARCH - VISIT DATA'!$A$2:$J600,7,FALSE), $N8="SWAB","OUTSA-RW",$N8="SWQU","OUTSA-SaQu", AND($L8="X",$M8="X",$N8="QUEST"),"OUT-UAQPre",$N8="QUEST","OUT-UAQ", $N8="Walk in","ColUATele")</f>
        <v>UA</v>
      </c>
      <c r="W8" s="70" t="str">
        <f t="shared" si="9"/>
        <v>UA : Urine Analysis In House</v>
      </c>
      <c r="X8" s="64" t="str">
        <f t="shared" si="10"/>
        <v>UA : Urine Analysis In House</v>
      </c>
      <c r="Y8" s="64" t="str">
        <f t="shared" si="11"/>
        <v>MATCH</v>
      </c>
      <c r="Z8" s="66" t="str">
        <f t="shared" si="12"/>
        <v> </v>
      </c>
      <c r="AA8" s="71"/>
    </row>
    <row r="9" ht="15.75" hidden="1" customHeight="1">
      <c r="A9" s="56" t="str">
        <f t="shared" si="1"/>
        <v>1182744621</v>
      </c>
      <c r="B9" s="56" t="str">
        <f>IFS($C9=FALSE,"",$C9,VLOOKUP($C9,'PATIENT DATA (072721)'!A:C, 2, 0))</f>
        <v>CISNEROS, CECILIA</v>
      </c>
      <c r="C9" s="57">
        <v>11827.0</v>
      </c>
      <c r="D9" s="127" t="str">
        <f>IF(COUNTIF('PATIENT DATA (072721)'!A:A, C9)=0, "X","✓")</f>
        <v>✓</v>
      </c>
      <c r="E9" s="79">
        <f>IFS($C9=FALSE,"",$C9,VLOOKUP($C9,'PATIENT DATA (072721)'!A:C, 3, 0))</f>
        <v>30145</v>
      </c>
      <c r="F9" s="80">
        <v>44621.0</v>
      </c>
      <c r="G9" s="81">
        <f>ifs($C9="","",$C9, VLOOKUP($C9&amp;$F9, 'MARCH - VISIT DATA'!A:O,3,0))</f>
        <v>0.4166666667</v>
      </c>
      <c r="H9" s="83" t="s">
        <v>6560</v>
      </c>
      <c r="I9" s="122" t="str">
        <f>VLOOKUP($C9&amp;$F9,'MARCH - VISIT DATA'!A:J, 9, FALSE)</f>
        <v>TORRES</v>
      </c>
      <c r="J9" s="85" t="str">
        <f>VLOOKUP(C9&amp;F9,'MARCH - VISIT DATA'!A:O,10,FALSE)</f>
        <v>EL PASO HEALTH PLAN</v>
      </c>
      <c r="K9" s="86"/>
      <c r="L9" s="86" t="s">
        <v>6559</v>
      </c>
      <c r="M9" s="86" t="s">
        <v>6559</v>
      </c>
      <c r="N9" s="86"/>
      <c r="O9" s="121" t="str">
        <f t="shared" si="2"/>
        <v>✓</v>
      </c>
      <c r="P9" s="79" t="str">
        <f t="shared" si="3"/>
        <v>#VALUE!</v>
      </c>
      <c r="Q9" s="123" t="str">
        <f t="shared" si="4"/>
        <v>#VALUE!</v>
      </c>
      <c r="R9" s="124" t="str">
        <f t="shared" si="5"/>
        <v>#VALUE!</v>
      </c>
      <c r="S9" s="125" t="str">
        <f t="shared" si="6"/>
        <v>#VALUE!</v>
      </c>
      <c r="T9" s="125" t="str">
        <f t="shared" si="7"/>
        <v>#VALUE!</v>
      </c>
      <c r="U9" s="83">
        <f t="shared" si="8"/>
        <v>0</v>
      </c>
      <c r="V9" s="88" t="str">
        <f>ifs($N9="",VLOOKUP($C9&amp;$F9,'MARCH - VISIT DATA'!$A$2:$J600,7,FALSE), $N9="SWAB","OUTSA-RW",$N9="SWQU","OUTSA-SaQu", AND($L9="X",$M9="X",$N9="QUEST"),"OUT-UAQPre",$N9="QUEST","OUT-UAQ", $N9="Walk in","ColUATele")</f>
        <v>UA-Prelim</v>
      </c>
      <c r="W9" s="70" t="str">
        <f t="shared" si="9"/>
        <v>UA-Prelim : Preliminary UA Test</v>
      </c>
      <c r="X9" s="64" t="str">
        <f t="shared" si="10"/>
        <v>UA-Prelim : Preliminary UA Test</v>
      </c>
      <c r="Y9" s="64" t="str">
        <f t="shared" si="11"/>
        <v>MATCH</v>
      </c>
      <c r="Z9" s="66" t="str">
        <f t="shared" si="12"/>
        <v> </v>
      </c>
      <c r="AA9" s="71"/>
    </row>
    <row r="10" ht="15.75" customHeight="1">
      <c r="A10" s="56" t="str">
        <f t="shared" si="1"/>
        <v>1621944621</v>
      </c>
      <c r="B10" s="56" t="str">
        <f>IFS($C10=FALSE,"",$C10,VLOOKUP($C10,'PATIENT DATA (072721)'!A:C, 2, 0))</f>
        <v>BUSTILLOS, MANUEL A</v>
      </c>
      <c r="C10" s="57">
        <v>16219.0</v>
      </c>
      <c r="D10" s="127" t="str">
        <f>IF(COUNTIF('PATIENT DATA (072721)'!A:A, C10)=0, "X","✓")</f>
        <v>✓</v>
      </c>
      <c r="E10" s="79">
        <f>IFS($C10=FALSE,"",$C10,VLOOKUP($C10,'PATIENT DATA (072721)'!A:C, 3, 0))</f>
        <v>24090</v>
      </c>
      <c r="F10" s="80">
        <v>44621.0</v>
      </c>
      <c r="G10" s="81">
        <f>ifs($C10="","",$C10, VLOOKUP($C10&amp;$F10, 'MARCH - VISIT DATA'!A:O,3,0))</f>
        <v>0.4270833333</v>
      </c>
      <c r="H10" s="83" t="s">
        <v>6558</v>
      </c>
      <c r="I10" s="122" t="str">
        <f>VLOOKUP($C10&amp;$F10,'MARCH - VISIT DATA'!A:J, 9, FALSE)</f>
        <v>MARTINEZ</v>
      </c>
      <c r="J10" s="85" t="str">
        <f>VLOOKUP(C10&amp;F10,'MARCH - VISIT DATA'!A:O,10,FALSE)</f>
        <v>WELLCARE OF TEXAS HMO</v>
      </c>
      <c r="K10" s="86"/>
      <c r="L10" s="86" t="s">
        <v>6559</v>
      </c>
      <c r="M10" s="86"/>
      <c r="N10" s="86"/>
      <c r="O10" s="121" t="str">
        <f t="shared" si="2"/>
        <v>✓</v>
      </c>
      <c r="P10" s="79" t="str">
        <f t="shared" si="3"/>
        <v>#VALUE!</v>
      </c>
      <c r="Q10" s="123" t="str">
        <f t="shared" si="4"/>
        <v>#VALUE!</v>
      </c>
      <c r="R10" s="124" t="str">
        <f t="shared" si="5"/>
        <v>#VALUE!</v>
      </c>
      <c r="S10" s="125" t="str">
        <f t="shared" si="6"/>
        <v>#VALUE!</v>
      </c>
      <c r="T10" s="125" t="str">
        <f t="shared" si="7"/>
        <v>#VALUE!</v>
      </c>
      <c r="U10" s="83">
        <f t="shared" si="8"/>
        <v>0</v>
      </c>
      <c r="V10" s="88" t="str">
        <f>ifs($N10="",VLOOKUP($C10&amp;$F10,'MARCH - VISIT DATA'!$A$2:$J600,7,FALSE), $N10="SWAB","OUTSA-RW",$N10="SWQU","OUTSA-SaQu", AND($L10="X",$M10="X",$N10="QUEST"),"OUT-UAQPre",$N10="QUEST","OUT-UAQ", $N10="Walk in","ColUATele")</f>
        <v>UA</v>
      </c>
      <c r="W10" s="70" t="str">
        <f t="shared" si="9"/>
        <v>UA : Urine Analysis In House</v>
      </c>
      <c r="X10" s="64" t="str">
        <f t="shared" si="10"/>
        <v>UA : Urine Analysis In House</v>
      </c>
      <c r="Y10" s="64" t="str">
        <f t="shared" si="11"/>
        <v>MATCH</v>
      </c>
      <c r="Z10" s="66" t="str">
        <f t="shared" si="12"/>
        <v> </v>
      </c>
      <c r="AA10" s="71"/>
    </row>
    <row r="11" ht="15.75" customHeight="1">
      <c r="A11" s="56" t="str">
        <f t="shared" si="1"/>
        <v>921844621</v>
      </c>
      <c r="B11" s="56" t="str">
        <f>IFS($C11=FALSE,"",$C11,VLOOKUP($C11,'PATIENT DATA (072721)'!A:C, 2, 0))</f>
        <v>CASAS, RICARDO M</v>
      </c>
      <c r="C11" s="57">
        <v>9218.0</v>
      </c>
      <c r="D11" s="127" t="str">
        <f>IF(COUNTIF('PATIENT DATA (072721)'!A:A, C11)=0, "X","✓")</f>
        <v>✓</v>
      </c>
      <c r="E11" s="79">
        <f>IFS($C11=FALSE,"",$C11,VLOOKUP($C11,'PATIENT DATA (072721)'!A:C, 3, 0))</f>
        <v>25746</v>
      </c>
      <c r="F11" s="80">
        <v>44621.0</v>
      </c>
      <c r="G11" s="81">
        <f>ifs($C11="","",$C11, VLOOKUP($C11&amp;$F11, 'MARCH - VISIT DATA'!A:O,3,0))</f>
        <v>0.4375</v>
      </c>
      <c r="H11" s="83" t="s">
        <v>6560</v>
      </c>
      <c r="I11" s="122" t="str">
        <f>VLOOKUP($C11&amp;$F11,'MARCH - VISIT DATA'!A:J, 9, FALSE)</f>
        <v>TORRES</v>
      </c>
      <c r="J11" s="85" t="str">
        <f>VLOOKUP(C11&amp;F11,'MARCH - VISIT DATA'!A:O,10,FALSE)</f>
        <v>AMERIVANTAGE</v>
      </c>
      <c r="K11" s="86"/>
      <c r="L11" s="86" t="s">
        <v>6559</v>
      </c>
      <c r="M11" s="86"/>
      <c r="N11" s="86"/>
      <c r="O11" s="121" t="str">
        <f t="shared" si="2"/>
        <v>✓</v>
      </c>
      <c r="P11" s="79" t="str">
        <f t="shared" si="3"/>
        <v>#VALUE!</v>
      </c>
      <c r="Q11" s="123" t="str">
        <f t="shared" si="4"/>
        <v>#VALUE!</v>
      </c>
      <c r="R11" s="124" t="str">
        <f t="shared" si="5"/>
        <v>#VALUE!</v>
      </c>
      <c r="S11" s="125" t="str">
        <f t="shared" si="6"/>
        <v>#VALUE!</v>
      </c>
      <c r="T11" s="125" t="str">
        <f t="shared" si="7"/>
        <v>#VALUE!</v>
      </c>
      <c r="U11" s="83">
        <f t="shared" si="8"/>
        <v>0</v>
      </c>
      <c r="V11" s="88" t="str">
        <f>ifs($N11="",VLOOKUP($C11&amp;$F11,'MARCH - VISIT DATA'!$A$2:$J600,7,FALSE), $N11="SWAB","OUTSA-RW",$N11="SWQU","OUTSA-SaQu", AND($L11="X",$M11="X",$N11="QUEST"),"OUT-UAQPre",$N11="QUEST","OUT-UAQ", $N11="Walk in","ColUATele")</f>
        <v>UA</v>
      </c>
      <c r="W11" s="70" t="str">
        <f t="shared" si="9"/>
        <v>UA : Urine Analysis In House</v>
      </c>
      <c r="X11" s="64" t="str">
        <f t="shared" si="10"/>
        <v>UA : Urine Analysis In House</v>
      </c>
      <c r="Y11" s="64" t="str">
        <f t="shared" si="11"/>
        <v>MATCH</v>
      </c>
      <c r="Z11" s="66" t="str">
        <f t="shared" si="12"/>
        <v> </v>
      </c>
      <c r="AA11" s="71"/>
    </row>
    <row r="12" ht="15.75" hidden="1" customHeight="1">
      <c r="A12" s="56" t="str">
        <f t="shared" si="1"/>
        <v>1113144621</v>
      </c>
      <c r="B12" s="56" t="str">
        <f>IFS($C12=FALSE,"",$C12,VLOOKUP($C12,'PATIENT DATA (072721)'!A:C, 2, 0))</f>
        <v>MAYO, ELMER</v>
      </c>
      <c r="C12" s="57">
        <v>11131.0</v>
      </c>
      <c r="D12" s="127" t="str">
        <f>IF(COUNTIF('PATIENT DATA (072721)'!A:A, C12)=0, "X","✓")</f>
        <v>✓</v>
      </c>
      <c r="E12" s="79">
        <f>IFS($C12=FALSE,"",$C12,VLOOKUP($C12,'PATIENT DATA (072721)'!A:C, 3, 0))</f>
        <v>16644</v>
      </c>
      <c r="F12" s="80">
        <v>44621.0</v>
      </c>
      <c r="G12" s="81">
        <f>ifs($C12="","",$C12, VLOOKUP($C12&amp;$F12, 'MARCH - VISIT DATA'!A:O,3,0))</f>
        <v>0.4479166667</v>
      </c>
      <c r="H12" s="83" t="s">
        <v>6558</v>
      </c>
      <c r="I12" s="122" t="str">
        <f>VLOOKUP($C12&amp;$F12,'MARCH - VISIT DATA'!A:J, 9, FALSE)</f>
        <v>MARTINEZ</v>
      </c>
      <c r="J12" s="85" t="str">
        <f>VLOOKUP(C12&amp;F12,'MARCH - VISIT DATA'!A:O,10,FALSE)</f>
        <v>MEDICARE TEXAS</v>
      </c>
      <c r="K12" s="86"/>
      <c r="L12" s="86" t="s">
        <v>6559</v>
      </c>
      <c r="M12" s="86" t="s">
        <v>6559</v>
      </c>
      <c r="N12" s="86"/>
      <c r="O12" s="121" t="str">
        <f t="shared" si="2"/>
        <v>✓</v>
      </c>
      <c r="P12" s="79" t="str">
        <f t="shared" si="3"/>
        <v>#VALUE!</v>
      </c>
      <c r="Q12" s="123" t="str">
        <f t="shared" si="4"/>
        <v>#VALUE!</v>
      </c>
      <c r="R12" s="124" t="str">
        <f t="shared" si="5"/>
        <v>#VALUE!</v>
      </c>
      <c r="S12" s="125" t="str">
        <f t="shared" si="6"/>
        <v>#VALUE!</v>
      </c>
      <c r="T12" s="125" t="str">
        <f t="shared" si="7"/>
        <v>#VALUE!</v>
      </c>
      <c r="U12" s="83">
        <f t="shared" si="8"/>
        <v>0</v>
      </c>
      <c r="V12" s="88" t="str">
        <f>ifs($N12="",VLOOKUP($C12&amp;$F12,'MARCH - VISIT DATA'!$A$2:$J600,7,FALSE), $N12="SWAB","OUTSA-RW",$N12="SWQU","OUTSA-SaQu", AND($L12="X",$M12="X",$N12="QUEST"),"OUT-UAQPre",$N12="QUEST","OUT-UAQ", $N12="Walk in","ColUATele")</f>
        <v>UA-Prelim</v>
      </c>
      <c r="W12" s="70" t="str">
        <f t="shared" si="9"/>
        <v>UA-Prelim : Preliminary UA Test</v>
      </c>
      <c r="X12" s="64" t="str">
        <f t="shared" si="10"/>
        <v>UA-Prelim : Preliminary UA Test</v>
      </c>
      <c r="Y12" s="64" t="str">
        <f t="shared" si="11"/>
        <v>MATCH</v>
      </c>
      <c r="Z12" s="66" t="str">
        <f t="shared" si="12"/>
        <v> </v>
      </c>
      <c r="AA12" s="71"/>
    </row>
    <row r="13" ht="15.75" customHeight="1">
      <c r="A13" s="56" t="str">
        <f t="shared" si="1"/>
        <v>1716644621</v>
      </c>
      <c r="B13" s="56" t="str">
        <f>IFS($C13=FALSE,"",$C13,VLOOKUP($C13,'PATIENT DATA (072721)'!A:C, 2, 0))</f>
        <v>CARDONA, ROSALIO</v>
      </c>
      <c r="C13" s="57">
        <v>17166.0</v>
      </c>
      <c r="D13" s="127" t="str">
        <f>IF(COUNTIF('PATIENT DATA (072721)'!A:A, C13)=0, "X","✓")</f>
        <v>✓</v>
      </c>
      <c r="E13" s="79">
        <f>IFS($C13=FALSE,"",$C13,VLOOKUP($C13,'PATIENT DATA (072721)'!A:C, 3, 0))</f>
        <v>23624</v>
      </c>
      <c r="F13" s="80">
        <v>44621.0</v>
      </c>
      <c r="G13" s="81">
        <f>ifs($C13="","",$C13, VLOOKUP($C13&amp;$F13, 'MARCH - VISIT DATA'!A:O,3,0))</f>
        <v>0.4479166667</v>
      </c>
      <c r="H13" s="83" t="s">
        <v>6561</v>
      </c>
      <c r="I13" s="122" t="str">
        <f>VLOOKUP($C13&amp;$F13,'MARCH - VISIT DATA'!A:J, 9, FALSE)</f>
        <v>LOPEZ</v>
      </c>
      <c r="J13" s="85" t="str">
        <f>VLOOKUP(C13&amp;F13,'MARCH - VISIT DATA'!A:O,10,FALSE)</f>
        <v>WC - CORVEL</v>
      </c>
      <c r="K13" s="86"/>
      <c r="L13" s="86" t="s">
        <v>6559</v>
      </c>
      <c r="M13" s="86"/>
      <c r="N13" s="86"/>
      <c r="O13" s="121" t="str">
        <f t="shared" si="2"/>
        <v>✓</v>
      </c>
      <c r="P13" s="79" t="str">
        <f t="shared" si="3"/>
        <v>#VALUE!</v>
      </c>
      <c r="Q13" s="123" t="str">
        <f t="shared" si="4"/>
        <v>#VALUE!</v>
      </c>
      <c r="R13" s="124" t="str">
        <f t="shared" si="5"/>
        <v>#VALUE!</v>
      </c>
      <c r="S13" s="125" t="str">
        <f t="shared" si="6"/>
        <v>#VALUE!</v>
      </c>
      <c r="T13" s="125" t="str">
        <f t="shared" si="7"/>
        <v>#VALUE!</v>
      </c>
      <c r="U13" s="83">
        <f t="shared" si="8"/>
        <v>0</v>
      </c>
      <c r="V13" s="88" t="str">
        <f>ifs($N13="",VLOOKUP($C13&amp;$F13,'MARCH - VISIT DATA'!$A$2:$J600,7,FALSE), $N13="SWAB","OUTSA-RW",$N13="SWQU","OUTSA-SaQu", AND($L13="X",$M13="X",$N13="QUEST"),"OUT-UAQPre",$N13="QUEST","OUT-UAQ", $N13="Walk in","ColUATele")</f>
        <v>UA</v>
      </c>
      <c r="W13" s="70" t="str">
        <f t="shared" si="9"/>
        <v>UA : Urine Analysis In House</v>
      </c>
      <c r="X13" s="64" t="str">
        <f t="shared" si="10"/>
        <v>UA : Urine Analysis In House</v>
      </c>
      <c r="Y13" s="64" t="str">
        <f t="shared" si="11"/>
        <v>MATCH</v>
      </c>
      <c r="Z13" s="66" t="str">
        <f t="shared" si="12"/>
        <v> </v>
      </c>
      <c r="AA13" s="71"/>
    </row>
    <row r="14" ht="15.75" customHeight="1">
      <c r="A14" s="56" t="str">
        <f t="shared" si="1"/>
        <v>1821844621</v>
      </c>
      <c r="B14" s="56" t="str">
        <f>IFS($C14=FALSE,"",$C14,VLOOKUP($C14,'PATIENT DATA (072721)'!A:C, 2, 0))</f>
        <v>YANEZ, AGUSTINA R</v>
      </c>
      <c r="C14" s="57">
        <v>18218.0</v>
      </c>
      <c r="D14" s="127" t="str">
        <f>IF(COUNTIF('PATIENT DATA (072721)'!A:A, C14)=0, "X","✓")</f>
        <v>✓</v>
      </c>
      <c r="E14" s="79">
        <f>IFS($C14=FALSE,"",$C14,VLOOKUP($C14,'PATIENT DATA (072721)'!A:C, 3, 0))</f>
        <v>23925</v>
      </c>
      <c r="F14" s="80">
        <v>44621.0</v>
      </c>
      <c r="G14" s="81">
        <f>ifs($C14="","",$C14, VLOOKUP($C14&amp;$F14, 'MARCH - VISIT DATA'!A:O,3,0))</f>
        <v>0.4479166667</v>
      </c>
      <c r="H14" s="83" t="s">
        <v>6561</v>
      </c>
      <c r="I14" s="122" t="str">
        <f>VLOOKUP($C14&amp;$F14,'MARCH - VISIT DATA'!A:J, 9, FALSE)</f>
        <v>LOPEZ</v>
      </c>
      <c r="J14" s="85" t="str">
        <f>VLOOKUP(C14&amp;F14,'MARCH - VISIT DATA'!A:O,10,FALSE)</f>
        <v>CIGNA OPEN ACCESS PLAN (OAP)</v>
      </c>
      <c r="K14" s="86" t="s">
        <v>6559</v>
      </c>
      <c r="L14" s="86"/>
      <c r="M14" s="86"/>
      <c r="N14" s="86"/>
      <c r="O14" s="121" t="str">
        <f t="shared" si="2"/>
        <v>✓</v>
      </c>
      <c r="P14" s="79" t="str">
        <f t="shared" si="3"/>
        <v>#VALUE!</v>
      </c>
      <c r="Q14" s="123" t="str">
        <f t="shared" si="4"/>
        <v>#VALUE!</v>
      </c>
      <c r="R14" s="124" t="str">
        <f t="shared" si="5"/>
        <v>#VALUE!</v>
      </c>
      <c r="S14" s="125" t="str">
        <f t="shared" si="6"/>
        <v>#VALUE!</v>
      </c>
      <c r="T14" s="125" t="str">
        <f t="shared" si="7"/>
        <v>#VALUE!</v>
      </c>
      <c r="U14" s="83">
        <f t="shared" si="8"/>
        <v>0</v>
      </c>
      <c r="V14" s="88" t="str">
        <f>ifs($N14="",VLOOKUP($C14&amp;$F14,'MARCH - VISIT DATA'!$A$2:$J600,7,FALSE), $N14="SWAB","OUTSA-RW",$N14="SWQU","OUTSA-SaQu", AND($L14="X",$M14="X",$N14="QUEST"),"OUT-UAQPre",$N14="QUEST","OUT-UAQ", $N14="Walk in","ColUATele")</f>
        <v>UA-NWPT</v>
      </c>
      <c r="W14" s="70" t="str">
        <f t="shared" si="9"/>
        <v>UA-NWPT : UA New Patient</v>
      </c>
      <c r="X14" s="64" t="str">
        <f t="shared" si="10"/>
        <v>UA-NWPT : UA New Patient</v>
      </c>
      <c r="Y14" s="64" t="str">
        <f t="shared" si="11"/>
        <v>MATCH</v>
      </c>
      <c r="Z14" s="66" t="str">
        <f t="shared" si="12"/>
        <v> </v>
      </c>
      <c r="AA14" s="71"/>
    </row>
    <row r="15" ht="15.75" hidden="1" customHeight="1">
      <c r="A15" s="56" t="str">
        <f t="shared" si="1"/>
        <v>1269744621</v>
      </c>
      <c r="B15" s="56" t="str">
        <f>IFS($C15=FALSE,"",$C15,VLOOKUP($C15,'PATIENT DATA (072721)'!A:C, 2, 0))</f>
        <v>CRESPO, GABRIEL</v>
      </c>
      <c r="C15" s="57">
        <v>12697.0</v>
      </c>
      <c r="D15" s="127" t="str">
        <f>IF(COUNTIF('PATIENT DATA (072721)'!A:A, C15)=0, "X","✓")</f>
        <v>✓</v>
      </c>
      <c r="E15" s="79">
        <f>IFS($C15=FALSE,"",$C15,VLOOKUP($C15,'PATIENT DATA (072721)'!A:C, 3, 0))</f>
        <v>30536</v>
      </c>
      <c r="F15" s="80">
        <v>44621.0</v>
      </c>
      <c r="G15" s="81">
        <f>ifs($C15="","",$C15, VLOOKUP($C15&amp;$F15, 'MARCH - VISIT DATA'!A:O,3,0))</f>
        <v>0.4583333333</v>
      </c>
      <c r="H15" s="83" t="s">
        <v>6558</v>
      </c>
      <c r="I15" s="122" t="str">
        <f>VLOOKUP($C15&amp;$F15,'MARCH - VISIT DATA'!A:J, 9, FALSE)</f>
        <v>MARTINEZ</v>
      </c>
      <c r="J15" s="85" t="str">
        <f>VLOOKUP(C15&amp;F15,'MARCH - VISIT DATA'!A:O,10,FALSE)</f>
        <v>AMERIVANTAGE DUAL</v>
      </c>
      <c r="K15" s="86"/>
      <c r="L15" s="86" t="s">
        <v>6559</v>
      </c>
      <c r="M15" s="86" t="s">
        <v>6559</v>
      </c>
      <c r="N15" s="86"/>
      <c r="O15" s="121" t="str">
        <f t="shared" si="2"/>
        <v>✓</v>
      </c>
      <c r="P15" s="79" t="str">
        <f t="shared" si="3"/>
        <v>#VALUE!</v>
      </c>
      <c r="Q15" s="123" t="str">
        <f t="shared" si="4"/>
        <v>#VALUE!</v>
      </c>
      <c r="R15" s="124" t="str">
        <f t="shared" si="5"/>
        <v>#VALUE!</v>
      </c>
      <c r="S15" s="125" t="str">
        <f t="shared" si="6"/>
        <v>#VALUE!</v>
      </c>
      <c r="T15" s="125" t="str">
        <f t="shared" si="7"/>
        <v>#VALUE!</v>
      </c>
      <c r="U15" s="83">
        <f t="shared" si="8"/>
        <v>0</v>
      </c>
      <c r="V15" s="88" t="str">
        <f>ifs($N15="",VLOOKUP($C15&amp;$F15,'MARCH - VISIT DATA'!$A$2:$J600,7,FALSE), $N15="SWAB","OUTSA-RW",$N15="SWQU","OUTSA-SaQu", AND($L15="X",$M15="X",$N15="QUEST"),"OUT-UAQPre",$N15="QUEST","OUT-UAQ", $N15="Walk in","ColUATele")</f>
        <v>UA-Prelim</v>
      </c>
      <c r="W15" s="70" t="str">
        <f t="shared" si="9"/>
        <v>UA-Prelim : Preliminary UA Test</v>
      </c>
      <c r="X15" s="64" t="str">
        <f t="shared" si="10"/>
        <v>UA-Prelim : Preliminary UA Test</v>
      </c>
      <c r="Y15" s="64" t="str">
        <f t="shared" si="11"/>
        <v>MATCH</v>
      </c>
      <c r="Z15" s="66" t="str">
        <f t="shared" si="12"/>
        <v> </v>
      </c>
      <c r="AA15" s="71"/>
    </row>
    <row r="16" ht="15.75" customHeight="1">
      <c r="A16" s="56" t="str">
        <f t="shared" si="1"/>
        <v>1637344621</v>
      </c>
      <c r="B16" s="56" t="str">
        <f>IFS($C16=FALSE,"",$C16,VLOOKUP($C16,'PATIENT DATA (072721)'!A:C, 2, 0))</f>
        <v>ACUNA, VICTOR R</v>
      </c>
      <c r="C16" s="57">
        <v>16373.0</v>
      </c>
      <c r="D16" s="127" t="str">
        <f>IF(COUNTIF('PATIENT DATA (072721)'!A:A, C16)=0, "X","✓")</f>
        <v>✓</v>
      </c>
      <c r="E16" s="79">
        <f>IFS($C16=FALSE,"",$C16,VLOOKUP($C16,'PATIENT DATA (072721)'!A:C, 3, 0))</f>
        <v>20996</v>
      </c>
      <c r="F16" s="80">
        <v>44621.0</v>
      </c>
      <c r="G16" s="81">
        <f>ifs($C16="","",$C16, VLOOKUP($C16&amp;$F16, 'MARCH - VISIT DATA'!A:O,3,0))</f>
        <v>0.4583333333</v>
      </c>
      <c r="H16" s="83" t="s">
        <v>6561</v>
      </c>
      <c r="I16" s="122" t="str">
        <f>VLOOKUP($C16&amp;$F16,'MARCH - VISIT DATA'!A:J, 9, FALSE)</f>
        <v>LOPEZ</v>
      </c>
      <c r="J16" s="85" t="str">
        <f>VLOOKUP(C16&amp;F16,'MARCH - VISIT DATA'!A:O,10,FALSE)</f>
        <v>WELLCARE OF TEXAS HMO</v>
      </c>
      <c r="K16" s="86"/>
      <c r="L16" s="86" t="s">
        <v>6559</v>
      </c>
      <c r="M16" s="86"/>
      <c r="N16" s="86"/>
      <c r="O16" s="121" t="str">
        <f t="shared" si="2"/>
        <v>✓</v>
      </c>
      <c r="P16" s="79" t="str">
        <f t="shared" si="3"/>
        <v>#VALUE!</v>
      </c>
      <c r="Q16" s="123" t="str">
        <f t="shared" si="4"/>
        <v>#VALUE!</v>
      </c>
      <c r="R16" s="124" t="str">
        <f t="shared" si="5"/>
        <v>#VALUE!</v>
      </c>
      <c r="S16" s="125" t="str">
        <f t="shared" si="6"/>
        <v>#VALUE!</v>
      </c>
      <c r="T16" s="125" t="str">
        <f t="shared" si="7"/>
        <v>#VALUE!</v>
      </c>
      <c r="U16" s="83">
        <f t="shared" si="8"/>
        <v>0</v>
      </c>
      <c r="V16" s="88" t="str">
        <f>ifs($N16="",VLOOKUP($C16&amp;$F16,'MARCH - VISIT DATA'!$A$2:$J600,7,FALSE), $N16="SWAB","OUTSA-RW",$N16="SWQU","OUTSA-SaQu", AND($L16="X",$M16="X",$N16="QUEST"),"OUT-UAQPre",$N16="QUEST","OUT-UAQ", $N16="Walk in","ColUATele")</f>
        <v>UA</v>
      </c>
      <c r="W16" s="70" t="str">
        <f t="shared" si="9"/>
        <v>UA : Urine Analysis In House</v>
      </c>
      <c r="X16" s="64" t="str">
        <f t="shared" si="10"/>
        <v>UA : Urine Analysis In House</v>
      </c>
      <c r="Y16" s="64" t="str">
        <f t="shared" si="11"/>
        <v>MATCH</v>
      </c>
      <c r="Z16" s="66" t="str">
        <f t="shared" si="12"/>
        <v> </v>
      </c>
      <c r="AA16" s="71"/>
    </row>
    <row r="17" ht="15.75" customHeight="1">
      <c r="A17" s="56" t="str">
        <f t="shared" si="1"/>
        <v>1816444621</v>
      </c>
      <c r="B17" s="56" t="str">
        <f>IFS($C17=FALSE,"",$C17,VLOOKUP($C17,'PATIENT DATA (072721)'!A:C, 2, 0))</f>
        <v>WATSON, DANE A</v>
      </c>
      <c r="C17" s="57">
        <v>18164.0</v>
      </c>
      <c r="D17" s="127" t="str">
        <f>IF(COUNTIF('PATIENT DATA (072721)'!A:A, C17)=0, "X","✓")</f>
        <v>✓</v>
      </c>
      <c r="E17" s="79">
        <f>IFS($C17=FALSE,"",$C17,VLOOKUP($C17,'PATIENT DATA (072721)'!A:C, 3, 0))</f>
        <v>32521</v>
      </c>
      <c r="F17" s="80">
        <v>44621.0</v>
      </c>
      <c r="G17" s="81">
        <f>ifs($C17="","",$C17, VLOOKUP($C17&amp;$F17, 'MARCH - VISIT DATA'!A:O,3,0))</f>
        <v>0.5416666667</v>
      </c>
      <c r="H17" s="83" t="s">
        <v>6561</v>
      </c>
      <c r="I17" s="122" t="str">
        <f>VLOOKUP($C17&amp;$F17,'MARCH - VISIT DATA'!A:J, 9, FALSE)</f>
        <v>LOPEZ</v>
      </c>
      <c r="J17" s="85" t="str">
        <f>VLOOKUP(C17&amp;F17,'MARCH - VISIT DATA'!A:O,10,FALSE)</f>
        <v>WESTERN SKY COMMUNITY CARE</v>
      </c>
      <c r="K17" s="86" t="s">
        <v>6559</v>
      </c>
      <c r="L17" s="86"/>
      <c r="M17" s="86"/>
      <c r="N17" s="86"/>
      <c r="O17" s="121" t="str">
        <f t="shared" si="2"/>
        <v>✓</v>
      </c>
      <c r="P17" s="79" t="str">
        <f t="shared" si="3"/>
        <v>#VALUE!</v>
      </c>
      <c r="Q17" s="123" t="str">
        <f t="shared" si="4"/>
        <v>#VALUE!</v>
      </c>
      <c r="R17" s="124" t="str">
        <f t="shared" si="5"/>
        <v>#VALUE!</v>
      </c>
      <c r="S17" s="125" t="str">
        <f t="shared" si="6"/>
        <v>#VALUE!</v>
      </c>
      <c r="T17" s="125" t="str">
        <f t="shared" si="7"/>
        <v>#VALUE!</v>
      </c>
      <c r="U17" s="83">
        <f t="shared" si="8"/>
        <v>0</v>
      </c>
      <c r="V17" s="88" t="str">
        <f>ifs($N17="",VLOOKUP($C17&amp;$F17,'MARCH - VISIT DATA'!$A$2:$J600,7,FALSE), $N17="SWAB","OUTSA-RW",$N17="SWQU","OUTSA-SaQu", AND($L17="X",$M17="X",$N17="QUEST"),"OUT-UAQPre",$N17="QUEST","OUT-UAQ", $N17="Walk in","ColUATele")</f>
        <v>UA-NWPT</v>
      </c>
      <c r="W17" s="70" t="str">
        <f t="shared" si="9"/>
        <v>UA-NWPT : UA New Patient</v>
      </c>
      <c r="X17" s="64" t="str">
        <f t="shared" si="10"/>
        <v>UA-NWPT : UA New Patient</v>
      </c>
      <c r="Y17" s="64" t="str">
        <f t="shared" si="11"/>
        <v>MATCH</v>
      </c>
      <c r="Z17" s="66" t="str">
        <f t="shared" si="12"/>
        <v> </v>
      </c>
      <c r="AA17" s="71"/>
    </row>
    <row r="18" ht="15.75" customHeight="1">
      <c r="A18" s="56" t="str">
        <f t="shared" si="1"/>
        <v>1407944621</v>
      </c>
      <c r="B18" s="56" t="str">
        <f>IFS($C18=FALSE,"",$C18,VLOOKUP($C18,'PATIENT DATA (072721)'!A:C, 2, 0))</f>
        <v>CARRILLO, JOSE</v>
      </c>
      <c r="C18" s="57">
        <v>14079.0</v>
      </c>
      <c r="D18" s="127" t="str">
        <f>IF(COUNTIF('PATIENT DATA (072721)'!A:A, C18)=0, "X","✓")</f>
        <v>✓</v>
      </c>
      <c r="E18" s="79">
        <f>IFS($C18=FALSE,"",$C18,VLOOKUP($C18,'PATIENT DATA (072721)'!A:C, 3, 0))</f>
        <v>18184</v>
      </c>
      <c r="F18" s="80">
        <v>44621.0</v>
      </c>
      <c r="G18" s="81">
        <f>ifs($C18="","",$C18, VLOOKUP($C18&amp;$F18, 'MARCH - VISIT DATA'!A:O,3,0))</f>
        <v>0.5520833333</v>
      </c>
      <c r="H18" s="83" t="s">
        <v>6558</v>
      </c>
      <c r="I18" s="122" t="str">
        <f>VLOOKUP($C18&amp;$F18,'MARCH - VISIT DATA'!A:J, 9, FALSE)</f>
        <v>MARTINEZ</v>
      </c>
      <c r="J18" s="85" t="str">
        <f>VLOOKUP(C18&amp;F18,'MARCH - VISIT DATA'!A:O,10,FALSE)</f>
        <v>WPS VA - COMMUNITY CARE</v>
      </c>
      <c r="K18" s="86"/>
      <c r="L18" s="86" t="s">
        <v>6559</v>
      </c>
      <c r="M18" s="86"/>
      <c r="N18" s="86"/>
      <c r="O18" s="121" t="str">
        <f t="shared" si="2"/>
        <v>✓</v>
      </c>
      <c r="P18" s="79" t="str">
        <f t="shared" si="3"/>
        <v>#VALUE!</v>
      </c>
      <c r="Q18" s="123" t="str">
        <f t="shared" si="4"/>
        <v>#VALUE!</v>
      </c>
      <c r="R18" s="124" t="str">
        <f t="shared" si="5"/>
        <v>#VALUE!</v>
      </c>
      <c r="S18" s="125" t="str">
        <f t="shared" si="6"/>
        <v>#VALUE!</v>
      </c>
      <c r="T18" s="125" t="str">
        <f t="shared" si="7"/>
        <v>#VALUE!</v>
      </c>
      <c r="U18" s="83">
        <f t="shared" si="8"/>
        <v>0</v>
      </c>
      <c r="V18" s="88" t="str">
        <f>ifs($N18="",VLOOKUP($C18&amp;$F18,'MARCH - VISIT DATA'!$A$2:$J600,7,FALSE), $N18="SWAB","OUTSA-RW",$N18="SWQU","OUTSA-SaQu", AND($L18="X",$M18="X",$N18="QUEST"),"OUT-UAQPre",$N18="QUEST","OUT-UAQ", $N18="Walk in","ColUATele")</f>
        <v>UA</v>
      </c>
      <c r="W18" s="70" t="str">
        <f t="shared" si="9"/>
        <v>UA : Urine Analysis In House</v>
      </c>
      <c r="X18" s="64" t="str">
        <f t="shared" si="10"/>
        <v>UA : Urine Analysis In House</v>
      </c>
      <c r="Y18" s="64" t="str">
        <f t="shared" si="11"/>
        <v>MATCH</v>
      </c>
      <c r="Z18" s="66" t="str">
        <f t="shared" si="12"/>
        <v> </v>
      </c>
      <c r="AA18" s="71"/>
    </row>
    <row r="19" ht="15.75" hidden="1" customHeight="1">
      <c r="A19" s="56" t="str">
        <f t="shared" si="1"/>
        <v>1578544621</v>
      </c>
      <c r="B19" s="56" t="str">
        <f>IFS($C19=FALSE,"",$C19,VLOOKUP($C19,'PATIENT DATA (072721)'!A:C, 2, 0))</f>
        <v>ESCAMILLA, ALFONSO</v>
      </c>
      <c r="C19" s="57">
        <v>15785.0</v>
      </c>
      <c r="D19" s="127" t="str">
        <f>IF(COUNTIF('PATIENT DATA (072721)'!A:A, C19)=0, "X","✓")</f>
        <v>✓</v>
      </c>
      <c r="E19" s="79">
        <f>IFS($C19=FALSE,"",$C19,VLOOKUP($C19,'PATIENT DATA (072721)'!A:C, 3, 0))</f>
        <v>19662</v>
      </c>
      <c r="F19" s="80">
        <v>44621.0</v>
      </c>
      <c r="G19" s="81">
        <f>ifs($C19="","",$C19, VLOOKUP($C19&amp;$F19, 'MARCH - VISIT DATA'!A:O,3,0))</f>
        <v>0.5520833333</v>
      </c>
      <c r="H19" s="83" t="s">
        <v>6562</v>
      </c>
      <c r="I19" s="122" t="str">
        <f>VLOOKUP($C19&amp;$F19,'MARCH - VISIT DATA'!A:J, 9, FALSE)</f>
        <v>THOMAS</v>
      </c>
      <c r="J19" s="85" t="str">
        <f>VLOOKUP(C19&amp;F19,'MARCH - VISIT DATA'!A:O,10,FALSE)</f>
        <v>MEDICARE TEXAS</v>
      </c>
      <c r="K19" s="86"/>
      <c r="L19" s="86" t="s">
        <v>6559</v>
      </c>
      <c r="M19" s="86" t="s">
        <v>6559</v>
      </c>
      <c r="N19" s="86"/>
      <c r="O19" s="121" t="str">
        <f t="shared" si="2"/>
        <v>✓</v>
      </c>
      <c r="P19" s="79" t="str">
        <f t="shared" si="3"/>
        <v>#VALUE!</v>
      </c>
      <c r="Q19" s="123" t="str">
        <f t="shared" si="4"/>
        <v>#VALUE!</v>
      </c>
      <c r="R19" s="124" t="str">
        <f t="shared" si="5"/>
        <v>#VALUE!</v>
      </c>
      <c r="S19" s="125" t="str">
        <f t="shared" si="6"/>
        <v>#VALUE!</v>
      </c>
      <c r="T19" s="125" t="str">
        <f t="shared" si="7"/>
        <v>#VALUE!</v>
      </c>
      <c r="U19" s="83">
        <f t="shared" si="8"/>
        <v>0</v>
      </c>
      <c r="V19" s="88" t="str">
        <f>ifs($N19="",VLOOKUP($C19&amp;$F19,'MARCH - VISIT DATA'!$A$2:$J600,7,FALSE), $N19="SWAB","OUTSA-RW",$N19="SWQU","OUTSA-SaQu", AND($L19="X",$M19="X",$N19="QUEST"),"OUT-UAQPre",$N19="QUEST","OUT-UAQ", $N19="Walk in","ColUATele")</f>
        <v>UA-Prelim</v>
      </c>
      <c r="W19" s="70" t="str">
        <f t="shared" si="9"/>
        <v>UA-Prelim : Preliminary UA Test</v>
      </c>
      <c r="X19" s="64" t="str">
        <f t="shared" si="10"/>
        <v>UA-Prelim : Preliminary UA Test</v>
      </c>
      <c r="Y19" s="64" t="str">
        <f t="shared" si="11"/>
        <v>MATCH</v>
      </c>
      <c r="Z19" s="66" t="str">
        <f t="shared" si="12"/>
        <v> </v>
      </c>
      <c r="AA19" s="71"/>
    </row>
    <row r="20" ht="15.75" customHeight="1">
      <c r="A20" s="56" t="str">
        <f t="shared" si="1"/>
        <v>1373444621</v>
      </c>
      <c r="B20" s="56" t="str">
        <f>IFS($C20=FALSE,"",$C20,VLOOKUP($C20,'PATIENT DATA (072721)'!A:C, 2, 0))</f>
        <v>SCHOOP, MARIE</v>
      </c>
      <c r="C20" s="57">
        <v>13734.0</v>
      </c>
      <c r="D20" s="127" t="str">
        <f>IF(COUNTIF('PATIENT DATA (072721)'!A:A, C20)=0, "X","✓")</f>
        <v>✓</v>
      </c>
      <c r="E20" s="79">
        <f>IFS($C20=FALSE,"",$C20,VLOOKUP($C20,'PATIENT DATA (072721)'!A:C, 3, 0))</f>
        <v>26521</v>
      </c>
      <c r="F20" s="80">
        <v>44621.0</v>
      </c>
      <c r="G20" s="81">
        <f>ifs($C20="","",$C20, VLOOKUP($C20&amp;$F20, 'MARCH - VISIT DATA'!A:O,3,0))</f>
        <v>0.5625</v>
      </c>
      <c r="H20" s="83" t="s">
        <v>6561</v>
      </c>
      <c r="I20" s="122" t="str">
        <f>VLOOKUP($C20&amp;$F20,'MARCH - VISIT DATA'!A:J, 9, FALSE)</f>
        <v>LOPEZ</v>
      </c>
      <c r="J20" s="85" t="str">
        <f>VLOOKUP(C20&amp;F20,'MARCH - VISIT DATA'!A:O,10,FALSE)</f>
        <v>CIGNA</v>
      </c>
      <c r="K20" s="86" t="s">
        <v>6559</v>
      </c>
      <c r="L20" s="86"/>
      <c r="M20" s="86"/>
      <c r="N20" s="86"/>
      <c r="O20" s="121" t="str">
        <f t="shared" si="2"/>
        <v>✓</v>
      </c>
      <c r="P20" s="79" t="str">
        <f t="shared" si="3"/>
        <v>#VALUE!</v>
      </c>
      <c r="Q20" s="123" t="str">
        <f t="shared" si="4"/>
        <v>#VALUE!</v>
      </c>
      <c r="R20" s="124" t="str">
        <f t="shared" si="5"/>
        <v>#VALUE!</v>
      </c>
      <c r="S20" s="125" t="str">
        <f t="shared" si="6"/>
        <v>#VALUE!</v>
      </c>
      <c r="T20" s="125" t="str">
        <f t="shared" si="7"/>
        <v>#VALUE!</v>
      </c>
      <c r="U20" s="83">
        <f t="shared" si="8"/>
        <v>0</v>
      </c>
      <c r="V20" s="88" t="str">
        <f>ifs($N20="",VLOOKUP($C20&amp;$F20,'MARCH - VISIT DATA'!$A$2:$J600,7,FALSE), $N20="SWAB","OUTSA-RW",$N20="SWQU","OUTSA-SaQu", AND($L20="X",$M20="X",$N20="QUEST"),"OUT-UAQPre",$N20="QUEST","OUT-UAQ", $N20="Walk in","ColUATele")</f>
        <v>UA-NWPT</v>
      </c>
      <c r="W20" s="70" t="str">
        <f t="shared" si="9"/>
        <v>UA-NWPT : UA New Patient</v>
      </c>
      <c r="X20" s="64" t="str">
        <f t="shared" si="10"/>
        <v>UA-NWPT : UA New Patient</v>
      </c>
      <c r="Y20" s="64" t="str">
        <f t="shared" si="11"/>
        <v>MATCH</v>
      </c>
      <c r="Z20" s="66" t="str">
        <f t="shared" si="12"/>
        <v> </v>
      </c>
      <c r="AA20" s="71"/>
    </row>
    <row r="21" ht="15.75" hidden="1" customHeight="1">
      <c r="A21" s="56" t="str">
        <f t="shared" si="1"/>
        <v>1472944621</v>
      </c>
      <c r="B21" s="56" t="str">
        <f>IFS($C21=FALSE,"",$C21,VLOOKUP($C21,'PATIENT DATA (072721)'!A:C, 2, 0))</f>
        <v>OLIVER, TIFFANY G</v>
      </c>
      <c r="C21" s="57">
        <v>14729.0</v>
      </c>
      <c r="D21" s="127" t="str">
        <f>IF(COUNTIF('PATIENT DATA (072721)'!A:A, C21)=0, "X","✓")</f>
        <v>✓</v>
      </c>
      <c r="E21" s="79">
        <f>IFS($C21=FALSE,"",$C21,VLOOKUP($C21,'PATIENT DATA (072721)'!A:C, 3, 0))</f>
        <v>30461</v>
      </c>
      <c r="F21" s="80">
        <v>44621.0</v>
      </c>
      <c r="G21" s="81">
        <f>ifs($C21="","",$C21, VLOOKUP($C21&amp;$F21, 'MARCH - VISIT DATA'!A:O,3,0))</f>
        <v>0.5625</v>
      </c>
      <c r="H21" s="83" t="s">
        <v>6560</v>
      </c>
      <c r="I21" s="122" t="str">
        <f>VLOOKUP($C21&amp;$F21,'MARCH - VISIT DATA'!A:J, 9, FALSE)</f>
        <v>TORRES</v>
      </c>
      <c r="J21" s="85" t="str">
        <f>VLOOKUP(C21&amp;F21,'MARCH - VISIT DATA'!A:O,10,FALSE)</f>
        <v>TRICARE PRIME</v>
      </c>
      <c r="K21" s="86"/>
      <c r="L21" s="86" t="s">
        <v>6559</v>
      </c>
      <c r="M21" s="86" t="s">
        <v>6559</v>
      </c>
      <c r="N21" s="86"/>
      <c r="O21" s="121" t="str">
        <f t="shared" si="2"/>
        <v>✓</v>
      </c>
      <c r="P21" s="79" t="str">
        <f t="shared" si="3"/>
        <v>#VALUE!</v>
      </c>
      <c r="Q21" s="123" t="str">
        <f t="shared" si="4"/>
        <v>#VALUE!</v>
      </c>
      <c r="R21" s="124" t="str">
        <f t="shared" si="5"/>
        <v>#VALUE!</v>
      </c>
      <c r="S21" s="125" t="str">
        <f t="shared" si="6"/>
        <v>#VALUE!</v>
      </c>
      <c r="T21" s="125" t="str">
        <f t="shared" si="7"/>
        <v>#VALUE!</v>
      </c>
      <c r="U21" s="83">
        <f t="shared" si="8"/>
        <v>0</v>
      </c>
      <c r="V21" s="88" t="str">
        <f>ifs($N21="",VLOOKUP($C21&amp;$F21,'MARCH - VISIT DATA'!$A$2:$J600,7,FALSE), $N21="SWAB","OUTSA-RW",$N21="SWQU","OUTSA-SaQu", AND($L21="X",$M21="X",$N21="QUEST"),"OUT-UAQPre",$N21="QUEST","OUT-UAQ", $N21="Walk in","ColUATele")</f>
        <v>UA-Prelim</v>
      </c>
      <c r="W21" s="70" t="str">
        <f t="shared" si="9"/>
        <v>UA-Prelim : Preliminary UA Test</v>
      </c>
      <c r="X21" s="64" t="str">
        <f t="shared" si="10"/>
        <v>UA-Prelim : Preliminary UA Test</v>
      </c>
      <c r="Y21" s="64" t="str">
        <f t="shared" si="11"/>
        <v>MATCH</v>
      </c>
      <c r="Z21" s="66" t="str">
        <f t="shared" si="12"/>
        <v> </v>
      </c>
      <c r="AA21" s="71"/>
    </row>
    <row r="22" ht="15.75" customHeight="1">
      <c r="A22" s="56" t="str">
        <f t="shared" si="1"/>
        <v>1695844621</v>
      </c>
      <c r="B22" s="56" t="str">
        <f>IFS($C22=FALSE,"",$C22,VLOOKUP($C22,'PATIENT DATA (072721)'!A:C, 2, 0))</f>
        <v>FIORE, ALBERTO</v>
      </c>
      <c r="C22" s="57">
        <v>16958.0</v>
      </c>
      <c r="D22" s="127" t="str">
        <f>IF(COUNTIF('PATIENT DATA (072721)'!A:A, C22)=0, "X","✓")</f>
        <v>✓</v>
      </c>
      <c r="E22" s="79">
        <f>IFS($C22=FALSE,"",$C22,VLOOKUP($C22,'PATIENT DATA (072721)'!A:C, 3, 0))</f>
        <v>24294</v>
      </c>
      <c r="F22" s="80">
        <v>44621.0</v>
      </c>
      <c r="G22" s="81">
        <f>ifs($C22="","",$C22, VLOOKUP($C22&amp;$F22, 'MARCH - VISIT DATA'!A:O,3,0))</f>
        <v>0.5625</v>
      </c>
      <c r="H22" s="83" t="s">
        <v>6558</v>
      </c>
      <c r="I22" s="122" t="str">
        <f>VLOOKUP($C22&amp;$F22,'MARCH - VISIT DATA'!A:J, 9, FALSE)</f>
        <v>MARTINEZ</v>
      </c>
      <c r="J22" s="85" t="str">
        <f>VLOOKUP(C22&amp;F22,'MARCH - VISIT DATA'!A:O,10,FALSE)</f>
        <v>AMERIGROUP</v>
      </c>
      <c r="K22" s="86"/>
      <c r="L22" s="86" t="s">
        <v>6559</v>
      </c>
      <c r="M22" s="86"/>
      <c r="N22" s="86"/>
      <c r="O22" s="121" t="str">
        <f t="shared" si="2"/>
        <v>✓</v>
      </c>
      <c r="P22" s="79" t="str">
        <f t="shared" si="3"/>
        <v>#VALUE!</v>
      </c>
      <c r="Q22" s="123" t="str">
        <f t="shared" si="4"/>
        <v>#VALUE!</v>
      </c>
      <c r="R22" s="124" t="str">
        <f t="shared" si="5"/>
        <v>#VALUE!</v>
      </c>
      <c r="S22" s="125" t="str">
        <f t="shared" si="6"/>
        <v>#VALUE!</v>
      </c>
      <c r="T22" s="125" t="str">
        <f t="shared" si="7"/>
        <v>#VALUE!</v>
      </c>
      <c r="U22" s="83">
        <f t="shared" si="8"/>
        <v>0</v>
      </c>
      <c r="V22" s="88" t="str">
        <f>ifs($N22="",VLOOKUP($C22&amp;$F22,'MARCH - VISIT DATA'!$A$2:$J600,7,FALSE), $N22="SWAB","OUTSA-RW",$N22="SWQU","OUTSA-SaQu", AND($L22="X",$M22="X",$N22="QUEST"),"OUT-UAQPre",$N22="QUEST","OUT-UAQ", $N22="Walk in","ColUATele")</f>
        <v>UA</v>
      </c>
      <c r="W22" s="70" t="str">
        <f t="shared" si="9"/>
        <v>UA : Urine Analysis In House</v>
      </c>
      <c r="X22" s="64" t="str">
        <f t="shared" si="10"/>
        <v>UA : Urine Analysis In House</v>
      </c>
      <c r="Y22" s="64" t="str">
        <f t="shared" si="11"/>
        <v>MATCH</v>
      </c>
      <c r="Z22" s="66" t="str">
        <f t="shared" si="12"/>
        <v> </v>
      </c>
      <c r="AA22" s="71"/>
    </row>
    <row r="23" ht="15.75" customHeight="1">
      <c r="A23" s="56" t="str">
        <f t="shared" si="1"/>
        <v>1815044621</v>
      </c>
      <c r="B23" s="56" t="str">
        <f>IFS($C23=FALSE,"",$C23,VLOOKUP($C23,'PATIENT DATA (072721)'!A:C, 2, 0))</f>
        <v>WARDOPPER, BENJAMIN J</v>
      </c>
      <c r="C23" s="57">
        <v>18150.0</v>
      </c>
      <c r="D23" s="127" t="str">
        <f>IF(COUNTIF('PATIENT DATA (072721)'!A:A, C23)=0, "X","✓")</f>
        <v>✓</v>
      </c>
      <c r="E23" s="79">
        <f>IFS($C23=FALSE,"",$C23,VLOOKUP($C23,'PATIENT DATA (072721)'!A:C, 3, 0))</f>
        <v>32275</v>
      </c>
      <c r="F23" s="80">
        <v>44621.0</v>
      </c>
      <c r="G23" s="81">
        <f>ifs($C23="","",$C23, VLOOKUP($C23&amp;$F23, 'MARCH - VISIT DATA'!A:O,3,0))</f>
        <v>0.5625</v>
      </c>
      <c r="H23" s="83" t="s">
        <v>6561</v>
      </c>
      <c r="I23" s="122" t="str">
        <f>VLOOKUP($C23&amp;$F23,'MARCH - VISIT DATA'!A:J, 9, FALSE)</f>
        <v>LOPEZ</v>
      </c>
      <c r="J23" s="85" t="str">
        <f>VLOOKUP(C23&amp;F23,'MARCH - VISIT DATA'!A:O,10,FALSE)</f>
        <v>EL PASO VA</v>
      </c>
      <c r="K23" s="86" t="s">
        <v>6559</v>
      </c>
      <c r="L23" s="86"/>
      <c r="M23" s="86"/>
      <c r="N23" s="86"/>
      <c r="O23" s="121" t="str">
        <f t="shared" si="2"/>
        <v>✓</v>
      </c>
      <c r="P23" s="79" t="str">
        <f t="shared" si="3"/>
        <v>#VALUE!</v>
      </c>
      <c r="Q23" s="123" t="str">
        <f t="shared" si="4"/>
        <v>#VALUE!</v>
      </c>
      <c r="R23" s="124" t="str">
        <f t="shared" si="5"/>
        <v>#VALUE!</v>
      </c>
      <c r="S23" s="125" t="str">
        <f t="shared" si="6"/>
        <v>#VALUE!</v>
      </c>
      <c r="T23" s="125" t="str">
        <f t="shared" si="7"/>
        <v>#VALUE!</v>
      </c>
      <c r="U23" s="83">
        <f t="shared" si="8"/>
        <v>0</v>
      </c>
      <c r="V23" s="88" t="str">
        <f>ifs($N23="",VLOOKUP($C23&amp;$F23,'MARCH - VISIT DATA'!$A$2:$J600,7,FALSE), $N23="SWAB","OUTSA-RW",$N23="SWQU","OUTSA-SaQu", AND($L23="X",$M23="X",$N23="QUEST"),"OUT-UAQPre",$N23="QUEST","OUT-UAQ", $N23="Walk in","ColUATele")</f>
        <v>UA-NWPT</v>
      </c>
      <c r="W23" s="70" t="str">
        <f t="shared" si="9"/>
        <v>UA-NWPT : UA New Patient</v>
      </c>
      <c r="X23" s="64" t="str">
        <f t="shared" si="10"/>
        <v>UA-NWPT : UA New Patient</v>
      </c>
      <c r="Y23" s="64" t="str">
        <f t="shared" si="11"/>
        <v>MATCH</v>
      </c>
      <c r="Z23" s="66" t="str">
        <f t="shared" si="12"/>
        <v> </v>
      </c>
      <c r="AA23" s="71"/>
    </row>
    <row r="24" ht="15.75" customHeight="1">
      <c r="A24" s="56" t="str">
        <f t="shared" si="1"/>
        <v>1116244621</v>
      </c>
      <c r="B24" s="56" t="str">
        <f>IFS($C24=FALSE,"",$C24,VLOOKUP($C24,'PATIENT DATA (072721)'!A:C, 2, 0))</f>
        <v>WASHINGTON, VERNON M</v>
      </c>
      <c r="C24" s="57">
        <v>11162.0</v>
      </c>
      <c r="D24" s="127" t="str">
        <f>IF(COUNTIF('PATIENT DATA (072721)'!A:A, C24)=0, "X","✓")</f>
        <v>✓</v>
      </c>
      <c r="E24" s="79">
        <f>IFS($C24=FALSE,"",$C24,VLOOKUP($C24,'PATIENT DATA (072721)'!A:C, 3, 0))</f>
        <v>28616</v>
      </c>
      <c r="F24" s="80">
        <v>44621.0</v>
      </c>
      <c r="G24" s="81">
        <f>ifs($C24="","",$C24, VLOOKUP($C24&amp;$F24, 'MARCH - VISIT DATA'!A:O,3,0))</f>
        <v>0.5729166667</v>
      </c>
      <c r="H24" s="83" t="s">
        <v>6558</v>
      </c>
      <c r="I24" s="122" t="str">
        <f>VLOOKUP($C24&amp;$F24,'MARCH - VISIT DATA'!A:J, 9, FALSE)</f>
        <v>MARTINEZ</v>
      </c>
      <c r="J24" s="85" t="str">
        <f>VLOOKUP(C24&amp;F24,'MARCH - VISIT DATA'!A:O,10,FALSE)</f>
        <v>TRICARE PRIME</v>
      </c>
      <c r="K24" s="86"/>
      <c r="L24" s="86" t="s">
        <v>6559</v>
      </c>
      <c r="M24" s="86"/>
      <c r="N24" s="86"/>
      <c r="O24" s="121" t="str">
        <f t="shared" si="2"/>
        <v>✓</v>
      </c>
      <c r="P24" s="79" t="str">
        <f t="shared" si="3"/>
        <v>#VALUE!</v>
      </c>
      <c r="Q24" s="123" t="str">
        <f t="shared" si="4"/>
        <v>#VALUE!</v>
      </c>
      <c r="R24" s="124" t="str">
        <f t="shared" si="5"/>
        <v>#VALUE!</v>
      </c>
      <c r="S24" s="125" t="str">
        <f t="shared" si="6"/>
        <v>#VALUE!</v>
      </c>
      <c r="T24" s="125" t="str">
        <f t="shared" si="7"/>
        <v>#VALUE!</v>
      </c>
      <c r="U24" s="83">
        <f t="shared" si="8"/>
        <v>0</v>
      </c>
      <c r="V24" s="88" t="str">
        <f>ifs($N24="",VLOOKUP($C24&amp;$F24,'MARCH - VISIT DATA'!$A$2:$J600,7,FALSE), $N24="SWAB","OUTSA-RW",$N24="SWQU","OUTSA-SaQu", AND($L24="X",$M24="X",$N24="QUEST"),"OUT-UAQPre",$N24="QUEST","OUT-UAQ", $N24="Walk in","ColUATele")</f>
        <v>UA</v>
      </c>
      <c r="W24" s="70" t="str">
        <f t="shared" si="9"/>
        <v>UA : Urine Analysis In House</v>
      </c>
      <c r="X24" s="64" t="str">
        <f t="shared" si="10"/>
        <v>UA : Urine Analysis In House</v>
      </c>
      <c r="Y24" s="64" t="str">
        <f t="shared" si="11"/>
        <v>MATCH</v>
      </c>
      <c r="Z24" s="66" t="str">
        <f t="shared" si="12"/>
        <v> </v>
      </c>
      <c r="AA24" s="71"/>
    </row>
    <row r="25" ht="15.75" customHeight="1">
      <c r="A25" s="56" t="str">
        <f t="shared" si="1"/>
        <v>1427644621</v>
      </c>
      <c r="B25" s="56" t="str">
        <f>IFS($C25=FALSE,"",$C25,VLOOKUP($C25,'PATIENT DATA (072721)'!A:C, 2, 0))</f>
        <v>ESQUIVEL, ARMANDO</v>
      </c>
      <c r="C25" s="57">
        <v>14276.0</v>
      </c>
      <c r="D25" s="127" t="str">
        <f>IF(COUNTIF('PATIENT DATA (072721)'!A:A, C25)=0, "X","✓")</f>
        <v>✓</v>
      </c>
      <c r="E25" s="79">
        <f>IFS($C25=FALSE,"",$C25,VLOOKUP($C25,'PATIENT DATA (072721)'!A:C, 3, 0))</f>
        <v>27880</v>
      </c>
      <c r="F25" s="80">
        <v>44621.0</v>
      </c>
      <c r="G25" s="81">
        <f>ifs($C25="","",$C25, VLOOKUP($C25&amp;$F25, 'MARCH - VISIT DATA'!A:O,3,0))</f>
        <v>0.59375</v>
      </c>
      <c r="H25" s="83" t="s">
        <v>6562</v>
      </c>
      <c r="I25" s="122" t="str">
        <f>VLOOKUP($C25&amp;$F25,'MARCH - VISIT DATA'!A:J, 9, FALSE)</f>
        <v>THOMAS</v>
      </c>
      <c r="J25" s="85" t="str">
        <f>VLOOKUP(C25&amp;F25,'MARCH - VISIT DATA'!A:O,10,FALSE)</f>
        <v>MEDICARE TEXAS</v>
      </c>
      <c r="K25" s="86"/>
      <c r="L25" s="86" t="s">
        <v>6559</v>
      </c>
      <c r="M25" s="86"/>
      <c r="N25" s="86"/>
      <c r="O25" s="121" t="str">
        <f t="shared" si="2"/>
        <v>✓</v>
      </c>
      <c r="P25" s="79" t="str">
        <f t="shared" si="3"/>
        <v>#VALUE!</v>
      </c>
      <c r="Q25" s="123" t="str">
        <f t="shared" si="4"/>
        <v>#VALUE!</v>
      </c>
      <c r="R25" s="124" t="str">
        <f t="shared" si="5"/>
        <v>#VALUE!</v>
      </c>
      <c r="S25" s="125" t="str">
        <f t="shared" si="6"/>
        <v>#VALUE!</v>
      </c>
      <c r="T25" s="125" t="str">
        <f t="shared" si="7"/>
        <v>#VALUE!</v>
      </c>
      <c r="U25" s="83">
        <f t="shared" si="8"/>
        <v>0</v>
      </c>
      <c r="V25" s="88" t="str">
        <f>ifs($N25="",VLOOKUP($C25&amp;$F25,'MARCH - VISIT DATA'!$A$2:$J600,7,FALSE), $N25="SWAB","OUTSA-RW",$N25="SWQU","OUTSA-SaQu", AND($L25="X",$M25="X",$N25="QUEST"),"OUT-UAQPre",$N25="QUEST","OUT-UAQ", $N25="Walk in","ColUATele")</f>
        <v>UA</v>
      </c>
      <c r="W25" s="70" t="str">
        <f t="shared" si="9"/>
        <v>UA : Urine Analysis In House</v>
      </c>
      <c r="X25" s="64" t="str">
        <f t="shared" si="10"/>
        <v>UA : Urine Analysis In House</v>
      </c>
      <c r="Y25" s="64" t="str">
        <f t="shared" si="11"/>
        <v>MATCH</v>
      </c>
      <c r="Z25" s="66" t="str">
        <f t="shared" si="12"/>
        <v> </v>
      </c>
      <c r="AA25" s="71"/>
    </row>
    <row r="26" ht="15.75" customHeight="1">
      <c r="A26" s="56" t="str">
        <f t="shared" si="1"/>
        <v>1603944621</v>
      </c>
      <c r="B26" s="56" t="str">
        <f>IFS($C26=FALSE,"",$C26,VLOOKUP($C26,'PATIENT DATA (072721)'!A:C, 2, 0))</f>
        <v>HERNANDEZ RIVERA, LETICIA M</v>
      </c>
      <c r="C26" s="57">
        <v>16039.0</v>
      </c>
      <c r="D26" s="127" t="str">
        <f>IF(COUNTIF('PATIENT DATA (072721)'!A:A, C26)=0, "X","✓")</f>
        <v>✓</v>
      </c>
      <c r="E26" s="79">
        <f>IFS($C26=FALSE,"",$C26,VLOOKUP($C26,'PATIENT DATA (072721)'!A:C, 3, 0))</f>
        <v>23742</v>
      </c>
      <c r="F26" s="80">
        <v>44621.0</v>
      </c>
      <c r="G26" s="81">
        <f>ifs($C26="","",$C26, VLOOKUP($C26&amp;$F26, 'MARCH - VISIT DATA'!A:O,3,0))</f>
        <v>0.59375</v>
      </c>
      <c r="H26" s="83" t="s">
        <v>6561</v>
      </c>
      <c r="I26" s="122" t="str">
        <f>VLOOKUP($C26&amp;$F26,'MARCH - VISIT DATA'!A:J, 9, FALSE)</f>
        <v>LOPEZ</v>
      </c>
      <c r="J26" s="85" t="str">
        <f>VLOOKUP(C26&amp;F26,'MARCH - VISIT DATA'!A:O,10,FALSE)</f>
        <v>FRIDAY HEALTH PLAN</v>
      </c>
      <c r="K26" s="86"/>
      <c r="L26" s="86" t="s">
        <v>6559</v>
      </c>
      <c r="M26" s="86"/>
      <c r="N26" s="86"/>
      <c r="O26" s="121" t="str">
        <f t="shared" si="2"/>
        <v>✓</v>
      </c>
      <c r="P26" s="79" t="str">
        <f t="shared" si="3"/>
        <v>#VALUE!</v>
      </c>
      <c r="Q26" s="123" t="str">
        <f t="shared" si="4"/>
        <v>#VALUE!</v>
      </c>
      <c r="R26" s="124" t="str">
        <f t="shared" si="5"/>
        <v>#VALUE!</v>
      </c>
      <c r="S26" s="125" t="str">
        <f t="shared" si="6"/>
        <v>#VALUE!</v>
      </c>
      <c r="T26" s="125" t="str">
        <f t="shared" si="7"/>
        <v>#VALUE!</v>
      </c>
      <c r="U26" s="83">
        <f t="shared" si="8"/>
        <v>0</v>
      </c>
      <c r="V26" s="88" t="str">
        <f>ifs($N26="",VLOOKUP($C26&amp;$F26,'MARCH - VISIT DATA'!$A$2:$J600,7,FALSE), $N26="SWAB","OUTSA-RW",$N26="SWQU","OUTSA-SaQu", AND($L26="X",$M26="X",$N26="QUEST"),"OUT-UAQPre",$N26="QUEST","OUT-UAQ", $N26="Walk in","ColUATele")</f>
        <v>UA</v>
      </c>
      <c r="W26" s="70" t="str">
        <f t="shared" si="9"/>
        <v>UA : Urine Analysis In House</v>
      </c>
      <c r="X26" s="64" t="str">
        <f t="shared" si="10"/>
        <v>UA : Urine Analysis In House</v>
      </c>
      <c r="Y26" s="64" t="str">
        <f t="shared" si="11"/>
        <v>MATCH</v>
      </c>
      <c r="Z26" s="66" t="str">
        <f t="shared" si="12"/>
        <v> </v>
      </c>
      <c r="AA26" s="71"/>
    </row>
    <row r="27" ht="15.75" customHeight="1">
      <c r="A27" s="56" t="str">
        <f t="shared" si="1"/>
        <v>1822044621</v>
      </c>
      <c r="B27" s="56" t="str">
        <f>IFS($C27=FALSE,"",$C27,VLOOKUP($C27,'PATIENT DATA (072721)'!A:C, 2, 0))</f>
        <v>DOLZINBYRD, MARTHA M.</v>
      </c>
      <c r="C27" s="57">
        <v>18220.0</v>
      </c>
      <c r="D27" s="127" t="str">
        <f>IF(COUNTIF('PATIENT DATA (072721)'!A:A, C27)=0, "X","✓")</f>
        <v>✓</v>
      </c>
      <c r="E27" s="79">
        <f>IFS($C27=FALSE,"",$C27,VLOOKUP($C27,'PATIENT DATA (072721)'!A:C, 3, 0))</f>
        <v>28560</v>
      </c>
      <c r="F27" s="80">
        <v>44621.0</v>
      </c>
      <c r="G27" s="81">
        <f>ifs($C27="","",$C27, VLOOKUP($C27&amp;$F27, 'MARCH - VISIT DATA'!A:O,3,0))</f>
        <v>0.59375</v>
      </c>
      <c r="H27" s="83" t="s">
        <v>6561</v>
      </c>
      <c r="I27" s="122" t="str">
        <f>VLOOKUP($C27&amp;$F27,'MARCH - VISIT DATA'!A:J, 9, FALSE)</f>
        <v>LOPEZ</v>
      </c>
      <c r="J27" s="85" t="str">
        <f>VLOOKUP(C27&amp;F27,'MARCH - VISIT DATA'!A:O,10,FALSE)</f>
        <v>TRICARE PRIME</v>
      </c>
      <c r="K27" s="86" t="s">
        <v>6559</v>
      </c>
      <c r="L27" s="86"/>
      <c r="M27" s="86"/>
      <c r="N27" s="86"/>
      <c r="O27" s="121" t="str">
        <f t="shared" si="2"/>
        <v>✓</v>
      </c>
      <c r="P27" s="79" t="str">
        <f t="shared" si="3"/>
        <v>#VALUE!</v>
      </c>
      <c r="Q27" s="123" t="str">
        <f t="shared" si="4"/>
        <v>#VALUE!</v>
      </c>
      <c r="R27" s="124" t="str">
        <f t="shared" si="5"/>
        <v>#VALUE!</v>
      </c>
      <c r="S27" s="125" t="str">
        <f t="shared" si="6"/>
        <v>#VALUE!</v>
      </c>
      <c r="T27" s="125" t="str">
        <f t="shared" si="7"/>
        <v>#VALUE!</v>
      </c>
      <c r="U27" s="83">
        <f t="shared" si="8"/>
        <v>0</v>
      </c>
      <c r="V27" s="88" t="str">
        <f>ifs($N27="",VLOOKUP($C27&amp;$F27,'MARCH - VISIT DATA'!$A$2:$J600,7,FALSE), $N27="SWAB","OUTSA-RW",$N27="SWQU","OUTSA-SaQu", AND($L27="X",$M27="X",$N27="QUEST"),"OUT-UAQPre",$N27="QUEST","OUT-UAQ", $N27="Walk in","ColUATele")</f>
        <v>UA-NWPT</v>
      </c>
      <c r="W27" s="70" t="str">
        <f t="shared" si="9"/>
        <v>UA-NWPT : UA New Patient</v>
      </c>
      <c r="X27" s="64" t="str">
        <f t="shared" si="10"/>
        <v>UA-NWPT : UA New Patient</v>
      </c>
      <c r="Y27" s="64" t="str">
        <f t="shared" si="11"/>
        <v>MATCH</v>
      </c>
      <c r="Z27" s="66" t="str">
        <f t="shared" si="12"/>
        <v> </v>
      </c>
      <c r="AA27" s="71"/>
    </row>
    <row r="28" ht="15.75" customHeight="1">
      <c r="A28" s="56" t="str">
        <f t="shared" si="1"/>
        <v>1044444621</v>
      </c>
      <c r="B28" s="56" t="str">
        <f>IFS($C28=FALSE,"",$C28,VLOOKUP($C28,'PATIENT DATA (072721)'!A:C, 2, 0))</f>
        <v>BROOKS, MICHELLE</v>
      </c>
      <c r="C28" s="57">
        <v>10444.0</v>
      </c>
      <c r="D28" s="127" t="str">
        <f>IF(COUNTIF('PATIENT DATA (072721)'!A:A, C28)=0, "X","✓")</f>
        <v>✓</v>
      </c>
      <c r="E28" s="79">
        <f>IFS($C28=FALSE,"",$C28,VLOOKUP($C28,'PATIENT DATA (072721)'!A:C, 3, 0))</f>
        <v>26614</v>
      </c>
      <c r="F28" s="80">
        <v>44621.0</v>
      </c>
      <c r="G28" s="81">
        <f>ifs($C28="","",$C28, VLOOKUP($C28&amp;$F28, 'MARCH - VISIT DATA'!A:O,3,0))</f>
        <v>0.6041666667</v>
      </c>
      <c r="H28" s="83" t="s">
        <v>6558</v>
      </c>
      <c r="I28" s="122" t="str">
        <f>VLOOKUP($C28&amp;$F28,'MARCH - VISIT DATA'!A:J, 9, FALSE)</f>
        <v>MARTINEZ</v>
      </c>
      <c r="J28" s="85" t="str">
        <f>VLOOKUP(C28&amp;F28,'MARCH - VISIT DATA'!A:O,10,FALSE)</f>
        <v>AMERIVANTAGE DUAL</v>
      </c>
      <c r="K28" s="86"/>
      <c r="L28" s="86" t="s">
        <v>6559</v>
      </c>
      <c r="M28" s="86"/>
      <c r="N28" s="86"/>
      <c r="O28" s="121" t="str">
        <f t="shared" si="2"/>
        <v>✓</v>
      </c>
      <c r="P28" s="79" t="str">
        <f t="shared" si="3"/>
        <v>#VALUE!</v>
      </c>
      <c r="Q28" s="123" t="str">
        <f t="shared" si="4"/>
        <v>#VALUE!</v>
      </c>
      <c r="R28" s="124" t="str">
        <f t="shared" si="5"/>
        <v>#VALUE!</v>
      </c>
      <c r="S28" s="125" t="str">
        <f t="shared" si="6"/>
        <v>#VALUE!</v>
      </c>
      <c r="T28" s="125" t="str">
        <f t="shared" si="7"/>
        <v>#VALUE!</v>
      </c>
      <c r="U28" s="83">
        <f t="shared" si="8"/>
        <v>0</v>
      </c>
      <c r="V28" s="88" t="str">
        <f>ifs($N28="",VLOOKUP($C28&amp;$F28,'MARCH - VISIT DATA'!$A$2:$J600,7,FALSE), $N28="SWAB","OUTSA-RW",$N28="SWQU","OUTSA-SaQu", AND($L28="X",$M28="X",$N28="QUEST"),"OUT-UAQPre",$N28="QUEST","OUT-UAQ", $N28="Walk in","ColUATele")</f>
        <v>UA</v>
      </c>
      <c r="W28" s="70" t="str">
        <f t="shared" si="9"/>
        <v>UA : Urine Analysis In House</v>
      </c>
      <c r="X28" s="64" t="str">
        <f t="shared" si="10"/>
        <v>UA : Urine Analysis In House</v>
      </c>
      <c r="Y28" s="64" t="str">
        <f t="shared" si="11"/>
        <v>MATCH</v>
      </c>
      <c r="Z28" s="66" t="str">
        <f t="shared" si="12"/>
        <v> </v>
      </c>
      <c r="AA28" s="71"/>
    </row>
    <row r="29" ht="15.75" customHeight="1">
      <c r="A29" s="56" t="str">
        <f t="shared" si="1"/>
        <v>1385344621</v>
      </c>
      <c r="B29" s="56" t="str">
        <f>IFS($C29=FALSE,"",$C29,VLOOKUP($C29,'PATIENT DATA (072721)'!A:C, 2, 0))</f>
        <v>MORENO, DANIEL</v>
      </c>
      <c r="C29" s="57">
        <v>13853.0</v>
      </c>
      <c r="D29" s="127" t="str">
        <f>IF(COUNTIF('PATIENT DATA (072721)'!A:A, C29)=0, "X","✓")</f>
        <v>✓</v>
      </c>
      <c r="E29" s="79">
        <f>IFS($C29=FALSE,"",$C29,VLOOKUP($C29,'PATIENT DATA (072721)'!A:C, 3, 0))</f>
        <v>27275</v>
      </c>
      <c r="F29" s="80">
        <v>44621.0</v>
      </c>
      <c r="G29" s="81">
        <f>ifs($C29="","",$C29, VLOOKUP($C29&amp;$F29, 'MARCH - VISIT DATA'!A:O,3,0))</f>
        <v>0.6354166667</v>
      </c>
      <c r="H29" s="83" t="s">
        <v>6558</v>
      </c>
      <c r="I29" s="122" t="str">
        <f>VLOOKUP($C29&amp;$F29,'MARCH - VISIT DATA'!A:J, 9, FALSE)</f>
        <v>MARTINEZ</v>
      </c>
      <c r="J29" s="85" t="str">
        <f>VLOOKUP(C29&amp;F29,'MARCH - VISIT DATA'!A:O,10,FALSE)</f>
        <v>HUMANA MEDICARE PPO</v>
      </c>
      <c r="K29" s="86"/>
      <c r="L29" s="86" t="s">
        <v>6559</v>
      </c>
      <c r="M29" s="86"/>
      <c r="N29" s="86"/>
      <c r="O29" s="121" t="str">
        <f t="shared" si="2"/>
        <v>✓</v>
      </c>
      <c r="P29" s="79" t="str">
        <f t="shared" si="3"/>
        <v>#VALUE!</v>
      </c>
      <c r="Q29" s="123" t="str">
        <f t="shared" si="4"/>
        <v>#VALUE!</v>
      </c>
      <c r="R29" s="124" t="str">
        <f t="shared" si="5"/>
        <v>#VALUE!</v>
      </c>
      <c r="S29" s="125" t="str">
        <f t="shared" si="6"/>
        <v>#VALUE!</v>
      </c>
      <c r="T29" s="125" t="str">
        <f t="shared" si="7"/>
        <v>#VALUE!</v>
      </c>
      <c r="U29" s="83">
        <f t="shared" si="8"/>
        <v>0</v>
      </c>
      <c r="V29" s="88" t="str">
        <f>ifs($N29="",VLOOKUP($C29&amp;$F29,'MARCH - VISIT DATA'!$A$2:$J600,7,FALSE), $N29="SWAB","OUTSA-RW",$N29="SWQU","OUTSA-SaQu", AND($L29="X",$M29="X",$N29="QUEST"),"OUT-UAQPre",$N29="QUEST","OUT-UAQ", $N29="Walk in","ColUATele")</f>
        <v>UA</v>
      </c>
      <c r="W29" s="70" t="str">
        <f t="shared" si="9"/>
        <v>UA : Urine Analysis In House</v>
      </c>
      <c r="X29" s="64" t="str">
        <f t="shared" si="10"/>
        <v>UA : Urine Analysis In House</v>
      </c>
      <c r="Y29" s="64" t="str">
        <f t="shared" si="11"/>
        <v>MATCH</v>
      </c>
      <c r="Z29" s="66" t="str">
        <f t="shared" si="12"/>
        <v> </v>
      </c>
      <c r="AA29" s="71"/>
    </row>
    <row r="30" ht="15.75" customHeight="1">
      <c r="A30" s="56" t="str">
        <f t="shared" si="1"/>
        <v>982044621</v>
      </c>
      <c r="B30" s="56" t="str">
        <f>IFS($C30=FALSE,"",$C30,VLOOKUP($C30,'PATIENT DATA (072721)'!A:C, 2, 0))</f>
        <v>SANCHEZ, MONIQUE</v>
      </c>
      <c r="C30" s="57">
        <v>9820.0</v>
      </c>
      <c r="D30" s="127" t="str">
        <f>IF(COUNTIF('PATIENT DATA (072721)'!A:A, C30)=0, "X","✓")</f>
        <v>✓</v>
      </c>
      <c r="E30" s="79">
        <f>IFS($C30=FALSE,"",$C30,VLOOKUP($C30,'PATIENT DATA (072721)'!A:C, 3, 0))</f>
        <v>31343</v>
      </c>
      <c r="F30" s="80">
        <v>44621.0</v>
      </c>
      <c r="G30" s="81">
        <f>ifs($C30="","",$C30, VLOOKUP($C30&amp;$F30, 'MARCH - VISIT DATA'!A:O,3,0))</f>
        <v>0.6458333333</v>
      </c>
      <c r="H30" s="83" t="s">
        <v>6560</v>
      </c>
      <c r="I30" s="122" t="str">
        <f>VLOOKUP($C30&amp;$F30,'MARCH - VISIT DATA'!A:J, 9, FALSE)</f>
        <v>TORRES</v>
      </c>
      <c r="J30" s="85" t="str">
        <f>VLOOKUP(C30&amp;F30,'MARCH - VISIT DATA'!A:O,10,FALSE)</f>
        <v>PREFERRED ADMINISTRATORS</v>
      </c>
      <c r="K30" s="86"/>
      <c r="L30" s="86" t="s">
        <v>6559</v>
      </c>
      <c r="M30" s="86"/>
      <c r="N30" s="86"/>
      <c r="O30" s="121" t="str">
        <f t="shared" si="2"/>
        <v>✓</v>
      </c>
      <c r="P30" s="79" t="str">
        <f t="shared" si="3"/>
        <v>#VALUE!</v>
      </c>
      <c r="Q30" s="123" t="str">
        <f t="shared" si="4"/>
        <v>#VALUE!</v>
      </c>
      <c r="R30" s="124" t="str">
        <f t="shared" si="5"/>
        <v>#VALUE!</v>
      </c>
      <c r="S30" s="125" t="str">
        <f t="shared" si="6"/>
        <v>#VALUE!</v>
      </c>
      <c r="T30" s="125" t="str">
        <f t="shared" si="7"/>
        <v>#VALUE!</v>
      </c>
      <c r="U30" s="83">
        <f t="shared" si="8"/>
        <v>0</v>
      </c>
      <c r="V30" s="88" t="str">
        <f>ifs($N30="",VLOOKUP($C30&amp;$F30,'MARCH - VISIT DATA'!$A$2:$J600,7,FALSE), $N30="SWAB","OUTSA-RW",$N30="SWQU","OUTSA-SaQu", AND($L30="X",$M30="X",$N30="QUEST"),"OUT-UAQPre",$N30="QUEST","OUT-UAQ", $N30="Walk in","ColUATele")</f>
        <v>UA</v>
      </c>
      <c r="W30" s="70" t="str">
        <f t="shared" si="9"/>
        <v>UA : Urine Analysis In House</v>
      </c>
      <c r="X30" s="64" t="str">
        <f t="shared" si="10"/>
        <v>UA : Urine Analysis In House</v>
      </c>
      <c r="Y30" s="64" t="str">
        <f t="shared" si="11"/>
        <v>MATCH</v>
      </c>
      <c r="Z30" s="66" t="str">
        <f t="shared" si="12"/>
        <v> </v>
      </c>
      <c r="AA30" s="71"/>
    </row>
    <row r="31" ht="15.75" customHeight="1">
      <c r="A31" s="56" t="str">
        <f t="shared" si="1"/>
        <v>995044621</v>
      </c>
      <c r="B31" s="56" t="str">
        <f>IFS($C31=FALSE,"",$C31,VLOOKUP($C31,'PATIENT DATA (072721)'!A:C, 2, 0))</f>
        <v>GONZALEZ, RENE</v>
      </c>
      <c r="C31" s="57">
        <v>9950.0</v>
      </c>
      <c r="D31" s="127" t="str">
        <f>IF(COUNTIF('PATIENT DATA (072721)'!A:A, C31)=0, "X","✓")</f>
        <v>✓</v>
      </c>
      <c r="E31" s="79">
        <f>IFS($C31=FALSE,"",$C31,VLOOKUP($C31,'PATIENT DATA (072721)'!A:C, 3, 0))</f>
        <v>31754</v>
      </c>
      <c r="F31" s="80">
        <v>44621.0</v>
      </c>
      <c r="G31" s="81">
        <f>ifs($C31="","",$C31, VLOOKUP($C31&amp;$F31, 'MARCH - VISIT DATA'!A:O,3,0))</f>
        <v>0.6458333333</v>
      </c>
      <c r="H31" s="83" t="s">
        <v>6558</v>
      </c>
      <c r="I31" s="122" t="str">
        <f>VLOOKUP($C31&amp;$F31,'MARCH - VISIT DATA'!A:J, 9, FALSE)</f>
        <v>MARTINEZ</v>
      </c>
      <c r="J31" s="85" t="str">
        <f>VLOOKUP(C31&amp;F31,'MARCH - VISIT DATA'!A:O,10,FALSE)</f>
        <v>WPS VA - COMMUNITY CARE</v>
      </c>
      <c r="K31" s="86"/>
      <c r="L31" s="86" t="s">
        <v>6559</v>
      </c>
      <c r="M31" s="86"/>
      <c r="N31" s="86"/>
      <c r="O31" s="121" t="str">
        <f t="shared" si="2"/>
        <v>✓</v>
      </c>
      <c r="P31" s="79" t="str">
        <f t="shared" si="3"/>
        <v>#VALUE!</v>
      </c>
      <c r="Q31" s="123" t="str">
        <f t="shared" si="4"/>
        <v>#VALUE!</v>
      </c>
      <c r="R31" s="124" t="str">
        <f t="shared" si="5"/>
        <v>#VALUE!</v>
      </c>
      <c r="S31" s="125" t="str">
        <f t="shared" si="6"/>
        <v>#VALUE!</v>
      </c>
      <c r="T31" s="125" t="str">
        <f t="shared" si="7"/>
        <v>#VALUE!</v>
      </c>
      <c r="U31" s="83">
        <f t="shared" si="8"/>
        <v>0</v>
      </c>
      <c r="V31" s="88" t="str">
        <f>ifs($N31="",VLOOKUP($C31&amp;$F31,'MARCH - VISIT DATA'!$A$2:$J600,7,FALSE), $N31="SWAB","OUTSA-RW",$N31="SWQU","OUTSA-SaQu", AND($L31="X",$M31="X",$N31="QUEST"),"OUT-UAQPre",$N31="QUEST","OUT-UAQ", $N31="Walk in","ColUATele")</f>
        <v>UA</v>
      </c>
      <c r="W31" s="70" t="str">
        <f t="shared" si="9"/>
        <v>UA : Urine Analysis In House</v>
      </c>
      <c r="X31" s="64" t="str">
        <f t="shared" si="10"/>
        <v>UA : Urine Analysis In House</v>
      </c>
      <c r="Y31" s="64" t="str">
        <f t="shared" si="11"/>
        <v>MATCH</v>
      </c>
      <c r="Z31" s="66" t="str">
        <f t="shared" si="12"/>
        <v> </v>
      </c>
      <c r="AA31" s="71"/>
    </row>
    <row r="32" ht="15.75" hidden="1" customHeight="1">
      <c r="A32" s="56" t="str">
        <f t="shared" si="1"/>
        <v>1136544621</v>
      </c>
      <c r="B32" s="56" t="str">
        <f>IFS($C32=FALSE,"",$C32,VLOOKUP($C32,'PATIENT DATA (072721)'!A:C, 2, 0))</f>
        <v>ARCOS, LUIS</v>
      </c>
      <c r="C32" s="57">
        <v>11365.0</v>
      </c>
      <c r="D32" s="127" t="str">
        <f>IF(COUNTIF('PATIENT DATA (072721)'!A:A, C32)=0, "X","✓")</f>
        <v>✓</v>
      </c>
      <c r="E32" s="79">
        <f>IFS($C32=FALSE,"",$C32,VLOOKUP($C32,'PATIENT DATA (072721)'!A:C, 3, 0))</f>
        <v>26273</v>
      </c>
      <c r="F32" s="80">
        <v>44621.0</v>
      </c>
      <c r="G32" s="81">
        <f>ifs($C32="","",$C32, VLOOKUP($C32&amp;$F32, 'MARCH - VISIT DATA'!A:O,3,0))</f>
        <v>0.6458333333</v>
      </c>
      <c r="H32" s="83" t="s">
        <v>6561</v>
      </c>
      <c r="I32" s="122" t="str">
        <f>VLOOKUP($C32&amp;$F32,'MARCH - VISIT DATA'!A:J, 9, FALSE)</f>
        <v>LOPEZ</v>
      </c>
      <c r="J32" s="85" t="str">
        <f>VLOOKUP(C32&amp;F32,'MARCH - VISIT DATA'!A:O,10,FALSE)</f>
        <v>AMERIGROUP</v>
      </c>
      <c r="K32" s="86"/>
      <c r="L32" s="86" t="s">
        <v>6559</v>
      </c>
      <c r="M32" s="86" t="s">
        <v>6559</v>
      </c>
      <c r="N32" s="86"/>
      <c r="O32" s="121" t="str">
        <f t="shared" si="2"/>
        <v>✓</v>
      </c>
      <c r="P32" s="79" t="str">
        <f t="shared" si="3"/>
        <v>#VALUE!</v>
      </c>
      <c r="Q32" s="123" t="str">
        <f t="shared" si="4"/>
        <v>#VALUE!</v>
      </c>
      <c r="R32" s="124" t="str">
        <f t="shared" si="5"/>
        <v>#VALUE!</v>
      </c>
      <c r="S32" s="125" t="str">
        <f t="shared" si="6"/>
        <v>#VALUE!</v>
      </c>
      <c r="T32" s="125" t="str">
        <f t="shared" si="7"/>
        <v>#VALUE!</v>
      </c>
      <c r="U32" s="83">
        <f t="shared" si="8"/>
        <v>0</v>
      </c>
      <c r="V32" s="88" t="str">
        <f>ifs($N32="",VLOOKUP($C32&amp;$F32,'MARCH - VISIT DATA'!$A$2:$J600,7,FALSE), $N32="SWAB","OUTSA-RW",$N32="SWQU","OUTSA-SaQu", AND($L32="X",$M32="X",$N32="QUEST"),"OUT-UAQPre",$N32="QUEST","OUT-UAQ", $N32="Walk in","ColUATele")</f>
        <v>UA-Prelim</v>
      </c>
      <c r="W32" s="70" t="str">
        <f t="shared" si="9"/>
        <v>UA-Prelim : Preliminary UA Test</v>
      </c>
      <c r="X32" s="64" t="str">
        <f t="shared" si="10"/>
        <v>UA-Prelim : Preliminary UA Test</v>
      </c>
      <c r="Y32" s="64" t="str">
        <f t="shared" si="11"/>
        <v>MATCH</v>
      </c>
      <c r="Z32" s="66" t="str">
        <f t="shared" si="12"/>
        <v> </v>
      </c>
      <c r="AA32" s="71"/>
    </row>
    <row r="33" ht="15.75" customHeight="1">
      <c r="A33" s="56" t="str">
        <f t="shared" si="1"/>
        <v>1616344623</v>
      </c>
      <c r="B33" s="56" t="str">
        <f>IFS($C33=FALSE,"",$C33,VLOOKUP($C33,'PATIENT DATA (072721)'!A:C, 2, 0))</f>
        <v>PIERCE, ANDREW S</v>
      </c>
      <c r="C33" s="57">
        <v>16163.0</v>
      </c>
      <c r="D33" s="127" t="str">
        <f>IF(COUNTIF('PATIENT DATA (072721)'!A:A, C33)=0, "X","✓")</f>
        <v>✓</v>
      </c>
      <c r="E33" s="79">
        <f>IFS($C33=FALSE,"",$C33,VLOOKUP($C33,'PATIENT DATA (072721)'!A:C, 3, 0))</f>
        <v>30495</v>
      </c>
      <c r="F33" s="80">
        <v>44623.0</v>
      </c>
      <c r="G33" s="81">
        <f>ifs($C33="","",$C33, VLOOKUP($C33&amp;$F33, 'MARCH - VISIT DATA'!A:O,3,0))</f>
        <v>0.3229166667</v>
      </c>
      <c r="H33" s="83" t="s">
        <v>6561</v>
      </c>
      <c r="I33" s="122" t="str">
        <f>VLOOKUP($C33&amp;$F33,'MARCH - VISIT DATA'!A:J, 9, FALSE)</f>
        <v>LOPEZ</v>
      </c>
      <c r="J33" s="85" t="str">
        <f>VLOOKUP(C33&amp;F33,'MARCH - VISIT DATA'!A:O,10,FALSE)</f>
        <v>TRICARE PRIME</v>
      </c>
      <c r="K33" s="86"/>
      <c r="L33" s="86" t="s">
        <v>6559</v>
      </c>
      <c r="M33" s="86"/>
      <c r="N33" s="86"/>
      <c r="O33" s="121" t="str">
        <f t="shared" si="2"/>
        <v>✓</v>
      </c>
      <c r="P33" s="79" t="str">
        <f t="shared" si="3"/>
        <v>#VALUE!</v>
      </c>
      <c r="Q33" s="123" t="str">
        <f t="shared" si="4"/>
        <v>#VALUE!</v>
      </c>
      <c r="R33" s="124" t="str">
        <f t="shared" si="5"/>
        <v>#VALUE!</v>
      </c>
      <c r="S33" s="125" t="str">
        <f t="shared" si="6"/>
        <v>#VALUE!</v>
      </c>
      <c r="T33" s="125" t="str">
        <f t="shared" si="7"/>
        <v>#VALUE!</v>
      </c>
      <c r="U33" s="83">
        <f t="shared" si="8"/>
        <v>0</v>
      </c>
      <c r="V33" s="88" t="str">
        <f>ifs($N33="",VLOOKUP($C33&amp;$F33,'MARCH - VISIT DATA'!$A$2:$J600,7,FALSE), $N33="SWAB","OUTSA-RW",$N33="SWQU","OUTSA-SaQu", AND($L33="X",$M33="X",$N33="QUEST"),"OUT-UAQPre",$N33="QUEST","OUT-UAQ", $N33="Walk in","ColUATele")</f>
        <v>UA</v>
      </c>
      <c r="W33" s="70" t="str">
        <f t="shared" si="9"/>
        <v>UA : Urine Analysis In House</v>
      </c>
      <c r="X33" s="64" t="str">
        <f t="shared" si="10"/>
        <v>UA : Urine Analysis In House</v>
      </c>
      <c r="Y33" s="64" t="str">
        <f t="shared" si="11"/>
        <v>MATCH</v>
      </c>
      <c r="Z33" s="66" t="str">
        <f t="shared" si="12"/>
        <v> </v>
      </c>
      <c r="AA33" s="71"/>
    </row>
    <row r="34" ht="15.75" hidden="1" customHeight="1">
      <c r="A34" s="56" t="str">
        <f t="shared" si="1"/>
        <v>1421944623</v>
      </c>
      <c r="B34" s="56" t="str">
        <f>IFS($C34=FALSE,"",$C34,VLOOKUP($C34,'PATIENT DATA (072721)'!A:C, 2, 0))</f>
        <v>VARGAS, JUAN D</v>
      </c>
      <c r="C34" s="57">
        <v>14219.0</v>
      </c>
      <c r="D34" s="127" t="str">
        <f>IF(COUNTIF('PATIENT DATA (072721)'!A:A, C34)=0, "X","✓")</f>
        <v>✓</v>
      </c>
      <c r="E34" s="79">
        <f>IFS($C34=FALSE,"",$C34,VLOOKUP($C34,'PATIENT DATA (072721)'!A:C, 3, 0))</f>
        <v>24977</v>
      </c>
      <c r="F34" s="80">
        <v>44623.0</v>
      </c>
      <c r="G34" s="81">
        <f>ifs($C34="","",$C34, VLOOKUP($C34&amp;$F34, 'MARCH - VISIT DATA'!A:O,3,0))</f>
        <v>0.3541666667</v>
      </c>
      <c r="H34" s="83" t="s">
        <v>6560</v>
      </c>
      <c r="I34" s="122" t="str">
        <f>VLOOKUP($C34&amp;$F34,'MARCH - VISIT DATA'!A:J, 9, FALSE)</f>
        <v>TORRES</v>
      </c>
      <c r="J34" s="85" t="str">
        <f>VLOOKUP(C34&amp;F34,'MARCH - VISIT DATA'!A:O,10,FALSE)</f>
        <v>AMERIGROUP</v>
      </c>
      <c r="K34" s="86"/>
      <c r="L34" s="86" t="s">
        <v>6559</v>
      </c>
      <c r="M34" s="86" t="s">
        <v>6559</v>
      </c>
      <c r="N34" s="86"/>
      <c r="O34" s="121" t="str">
        <f t="shared" si="2"/>
        <v>✓</v>
      </c>
      <c r="P34" s="79" t="str">
        <f t="shared" si="3"/>
        <v>#VALUE!</v>
      </c>
      <c r="Q34" s="123" t="str">
        <f t="shared" si="4"/>
        <v>#VALUE!</v>
      </c>
      <c r="R34" s="124" t="str">
        <f t="shared" si="5"/>
        <v>#VALUE!</v>
      </c>
      <c r="S34" s="125" t="str">
        <f t="shared" si="6"/>
        <v>#VALUE!</v>
      </c>
      <c r="T34" s="125" t="str">
        <f t="shared" si="7"/>
        <v>#VALUE!</v>
      </c>
      <c r="U34" s="83">
        <f t="shared" si="8"/>
        <v>0</v>
      </c>
      <c r="V34" s="88" t="str">
        <f>ifs($N34="",VLOOKUP($C34&amp;$F34,'MARCH - VISIT DATA'!$A$2:$J600,7,FALSE), $N34="SWAB","OUTSA-RW",$N34="SWQU","OUTSA-SaQu", AND($L34="X",$M34="X",$N34="QUEST"),"OUT-UAQPre",$N34="QUEST","OUT-UAQ", $N34="Walk in","ColUATele")</f>
        <v>UA-Prelim</v>
      </c>
      <c r="W34" s="70" t="str">
        <f t="shared" si="9"/>
        <v>UA-Prelim : Preliminary UA Test</v>
      </c>
      <c r="X34" s="64" t="str">
        <f t="shared" si="10"/>
        <v>UA-Prelim : Preliminary UA Test</v>
      </c>
      <c r="Y34" s="64" t="str">
        <f t="shared" si="11"/>
        <v>MATCH</v>
      </c>
      <c r="Z34" s="66" t="str">
        <f t="shared" si="12"/>
        <v> </v>
      </c>
      <c r="AA34" s="71"/>
    </row>
    <row r="35" ht="15.75" customHeight="1">
      <c r="A35" s="56" t="str">
        <f t="shared" si="1"/>
        <v>1573944623</v>
      </c>
      <c r="B35" s="56" t="str">
        <f>IFS($C35=FALSE,"",$C35,VLOOKUP($C35,'PATIENT DATA (072721)'!A:C, 2, 0))</f>
        <v>GONZALEZ, GRACIELA C</v>
      </c>
      <c r="C35" s="57">
        <v>15739.0</v>
      </c>
      <c r="D35" s="127" t="str">
        <f>IF(COUNTIF('PATIENT DATA (072721)'!A:A, C35)=0, "X","✓")</f>
        <v>✓</v>
      </c>
      <c r="E35" s="79">
        <f>IFS($C35=FALSE,"",$C35,VLOOKUP($C35,'PATIENT DATA (072721)'!A:C, 3, 0))</f>
        <v>22716</v>
      </c>
      <c r="F35" s="80">
        <v>44623.0</v>
      </c>
      <c r="G35" s="81">
        <f>ifs($C35="","",$C35, VLOOKUP($C35&amp;$F35, 'MARCH - VISIT DATA'!A:O,3,0))</f>
        <v>0.375</v>
      </c>
      <c r="H35" s="83" t="s">
        <v>6560</v>
      </c>
      <c r="I35" s="122" t="str">
        <f>VLOOKUP($C35&amp;$F35,'MARCH - VISIT DATA'!A:J, 9, FALSE)</f>
        <v>TORRES</v>
      </c>
      <c r="J35" s="85" t="str">
        <f>VLOOKUP(C35&amp;F35,'MARCH - VISIT DATA'!A:O,10,FALSE)</f>
        <v>BCBSTX PPO</v>
      </c>
      <c r="K35" s="86"/>
      <c r="L35" s="86" t="s">
        <v>6559</v>
      </c>
      <c r="M35" s="86"/>
      <c r="N35" s="86"/>
      <c r="O35" s="121" t="str">
        <f t="shared" si="2"/>
        <v>✓</v>
      </c>
      <c r="P35" s="79" t="str">
        <f t="shared" si="3"/>
        <v>#VALUE!</v>
      </c>
      <c r="Q35" s="123" t="str">
        <f t="shared" si="4"/>
        <v>#VALUE!</v>
      </c>
      <c r="R35" s="124" t="str">
        <f t="shared" si="5"/>
        <v>#VALUE!</v>
      </c>
      <c r="S35" s="125" t="str">
        <f t="shared" si="6"/>
        <v>#VALUE!</v>
      </c>
      <c r="T35" s="125" t="str">
        <f t="shared" si="7"/>
        <v>#VALUE!</v>
      </c>
      <c r="U35" s="83">
        <f t="shared" si="8"/>
        <v>0</v>
      </c>
      <c r="V35" s="88" t="str">
        <f>ifs($N35="",VLOOKUP($C35&amp;$F35,'MARCH - VISIT DATA'!$A$2:$J600,7,FALSE), $N35="SWAB","OUTSA-RW",$N35="SWQU","OUTSA-SaQu", AND($L35="X",$M35="X",$N35="QUEST"),"OUT-UAQPre",$N35="QUEST","OUT-UAQ", $N35="Walk in","ColUATele")</f>
        <v>UA</v>
      </c>
      <c r="W35" s="70" t="str">
        <f t="shared" si="9"/>
        <v>UA : Urine Analysis In House</v>
      </c>
      <c r="X35" s="64" t="str">
        <f t="shared" si="10"/>
        <v>UA : Urine Analysis In House</v>
      </c>
      <c r="Y35" s="64" t="str">
        <f t="shared" si="11"/>
        <v>MATCH</v>
      </c>
      <c r="Z35" s="66" t="str">
        <f t="shared" si="12"/>
        <v> </v>
      </c>
      <c r="AA35" s="71"/>
    </row>
    <row r="36" ht="15.75" hidden="1" customHeight="1">
      <c r="A36" s="56" t="str">
        <f t="shared" si="1"/>
        <v>1421244623</v>
      </c>
      <c r="B36" s="56" t="str">
        <f>IFS($C36=FALSE,"",$C36,VLOOKUP($C36,'PATIENT DATA (072721)'!A:C, 2, 0))</f>
        <v>ZUNIGA, ROSAURA G</v>
      </c>
      <c r="C36" s="57">
        <v>14212.0</v>
      </c>
      <c r="D36" s="127" t="str">
        <f>IF(COUNTIF('PATIENT DATA (072721)'!A:A, C36)=0, "X","✓")</f>
        <v>✓</v>
      </c>
      <c r="E36" s="79">
        <f>IFS($C36=FALSE,"",$C36,VLOOKUP($C36,'PATIENT DATA (072721)'!A:C, 3, 0))</f>
        <v>21952</v>
      </c>
      <c r="F36" s="80">
        <v>44623.0</v>
      </c>
      <c r="G36" s="81">
        <f>ifs($C36="","",$C36, VLOOKUP($C36&amp;$F36, 'MARCH - VISIT DATA'!A:O,3,0))</f>
        <v>0.3854166667</v>
      </c>
      <c r="H36" s="83" t="s">
        <v>6558</v>
      </c>
      <c r="I36" s="122" t="str">
        <f>VLOOKUP($C36&amp;$F36,'MARCH - VISIT DATA'!A:J, 9, FALSE)</f>
        <v>MARTINEZ</v>
      </c>
      <c r="J36" s="85" t="str">
        <f>VLOOKUP(C36&amp;F36,'MARCH - VISIT DATA'!A:O,10,FALSE)</f>
        <v>AMERIGROUP</v>
      </c>
      <c r="K36" s="86"/>
      <c r="L36" s="86" t="s">
        <v>6559</v>
      </c>
      <c r="M36" s="86" t="s">
        <v>6559</v>
      </c>
      <c r="N36" s="86"/>
      <c r="O36" s="121" t="str">
        <f t="shared" si="2"/>
        <v>✓</v>
      </c>
      <c r="P36" s="79" t="str">
        <f t="shared" si="3"/>
        <v>#VALUE!</v>
      </c>
      <c r="Q36" s="123" t="str">
        <f t="shared" si="4"/>
        <v>#VALUE!</v>
      </c>
      <c r="R36" s="124" t="str">
        <f t="shared" si="5"/>
        <v>#VALUE!</v>
      </c>
      <c r="S36" s="125" t="str">
        <f t="shared" si="6"/>
        <v>#VALUE!</v>
      </c>
      <c r="T36" s="125" t="str">
        <f t="shared" si="7"/>
        <v>#VALUE!</v>
      </c>
      <c r="U36" s="83">
        <f t="shared" si="8"/>
        <v>0</v>
      </c>
      <c r="V36" s="88" t="str">
        <f>ifs($N36="",VLOOKUP($C36&amp;$F36,'MARCH - VISIT DATA'!$A$2:$J600,7,FALSE), $N36="SWAB","OUTSA-RW",$N36="SWQU","OUTSA-SaQu", AND($L36="X",$M36="X",$N36="QUEST"),"OUT-UAQPre",$N36="QUEST","OUT-UAQ", $N36="Walk in","ColUATele")</f>
        <v>UA-Prelim</v>
      </c>
      <c r="W36" s="70" t="str">
        <f t="shared" si="9"/>
        <v>UA-Prelim : Preliminary UA Test</v>
      </c>
      <c r="X36" s="64" t="str">
        <f t="shared" si="10"/>
        <v>UA-Prelim : Preliminary UA Test</v>
      </c>
      <c r="Y36" s="64" t="str">
        <f t="shared" si="11"/>
        <v>MATCH</v>
      </c>
      <c r="Z36" s="66" t="str">
        <f t="shared" si="12"/>
        <v> </v>
      </c>
      <c r="AA36" s="71"/>
    </row>
    <row r="37" ht="15.75" customHeight="1">
      <c r="A37" s="56" t="str">
        <f t="shared" si="1"/>
        <v>1716244623</v>
      </c>
      <c r="B37" s="56" t="str">
        <f>IFS($C37=FALSE,"",$C37,VLOOKUP($C37,'PATIENT DATA (072721)'!A:C, 2, 0))</f>
        <v>GUTIERREZ, AGRIPIN</v>
      </c>
      <c r="C37" s="57">
        <v>17162.0</v>
      </c>
      <c r="D37" s="127" t="str">
        <f>IF(COUNTIF('PATIENT DATA (072721)'!A:A, C37)=0, "X","✓")</f>
        <v>✓</v>
      </c>
      <c r="E37" s="79">
        <f>IFS($C37=FALSE,"",$C37,VLOOKUP($C37,'PATIENT DATA (072721)'!A:C, 3, 0))</f>
        <v>22211</v>
      </c>
      <c r="F37" s="80">
        <v>44623.0</v>
      </c>
      <c r="G37" s="81">
        <f>ifs($C37="","",$C37, VLOOKUP($C37&amp;$F37, 'MARCH - VISIT DATA'!A:O,3,0))</f>
        <v>0.3958333333</v>
      </c>
      <c r="H37" s="83" t="s">
        <v>6558</v>
      </c>
      <c r="I37" s="122" t="str">
        <f>VLOOKUP($C37&amp;$F37,'MARCH - VISIT DATA'!A:J, 9, FALSE)</f>
        <v>MARTINEZ</v>
      </c>
      <c r="J37" s="85" t="str">
        <f>VLOOKUP(C37&amp;F37,'MARCH - VISIT DATA'!A:O,10,FALSE)</f>
        <v>AMERIVANTAGE DUAL</v>
      </c>
      <c r="K37" s="86"/>
      <c r="L37" s="86" t="s">
        <v>6559</v>
      </c>
      <c r="M37" s="86"/>
      <c r="N37" s="86"/>
      <c r="O37" s="121" t="str">
        <f t="shared" si="2"/>
        <v>✓</v>
      </c>
      <c r="P37" s="79" t="str">
        <f t="shared" si="3"/>
        <v>#VALUE!</v>
      </c>
      <c r="Q37" s="123" t="str">
        <f t="shared" si="4"/>
        <v>#VALUE!</v>
      </c>
      <c r="R37" s="124" t="str">
        <f t="shared" si="5"/>
        <v>#VALUE!</v>
      </c>
      <c r="S37" s="125" t="str">
        <f t="shared" si="6"/>
        <v>#VALUE!</v>
      </c>
      <c r="T37" s="125" t="str">
        <f t="shared" si="7"/>
        <v>#VALUE!</v>
      </c>
      <c r="U37" s="83">
        <f t="shared" si="8"/>
        <v>0</v>
      </c>
      <c r="V37" s="88" t="str">
        <f>ifs($N37="",VLOOKUP($C37&amp;$F37,'MARCH - VISIT DATA'!$A$2:$J600,7,FALSE), $N37="SWAB","OUTSA-RW",$N37="SWQU","OUTSA-SaQu", AND($L37="X",$M37="X",$N37="QUEST"),"OUT-UAQPre",$N37="QUEST","OUT-UAQ", $N37="Walk in","ColUATele")</f>
        <v>UA</v>
      </c>
      <c r="W37" s="70" t="str">
        <f t="shared" si="9"/>
        <v>UA : Urine Analysis In House</v>
      </c>
      <c r="X37" s="64" t="str">
        <f t="shared" si="10"/>
        <v>UA : Urine Analysis In House</v>
      </c>
      <c r="Y37" s="64" t="str">
        <f t="shared" si="11"/>
        <v>MATCH</v>
      </c>
      <c r="Z37" s="66" t="str">
        <f t="shared" si="12"/>
        <v> </v>
      </c>
      <c r="AA37" s="71"/>
    </row>
    <row r="38" ht="15.75" customHeight="1">
      <c r="A38" s="56" t="str">
        <f t="shared" si="1"/>
        <v>1769644623</v>
      </c>
      <c r="B38" s="56" t="str">
        <f>IFS($C38=FALSE,"",$C38,VLOOKUP($C38,'PATIENT DATA (072721)'!A:C, 2, 0))</f>
        <v>CISNEROS, JAVIER</v>
      </c>
      <c r="C38" s="57">
        <v>17696.0</v>
      </c>
      <c r="D38" s="127" t="str">
        <f>IF(COUNTIF('PATIENT DATA (072721)'!A:A, C38)=0, "X","✓")</f>
        <v>✓</v>
      </c>
      <c r="E38" s="79">
        <f>IFS($C38=FALSE,"",$C38,VLOOKUP($C38,'PATIENT DATA (072721)'!A:C, 3, 0))</f>
        <v>21984</v>
      </c>
      <c r="F38" s="80">
        <v>44623.0</v>
      </c>
      <c r="G38" s="81">
        <f>ifs($C38="","",$C38, VLOOKUP($C38&amp;$F38, 'MARCH - VISIT DATA'!A:O,3,0))</f>
        <v>0.3958333333</v>
      </c>
      <c r="H38" s="83" t="s">
        <v>6562</v>
      </c>
      <c r="I38" s="122" t="str">
        <f>VLOOKUP($C38&amp;$F38,'MARCH - VISIT DATA'!A:J, 9, FALSE)</f>
        <v>THOMAS</v>
      </c>
      <c r="J38" s="85" t="str">
        <f>VLOOKUP(C38&amp;F38,'MARCH - VISIT DATA'!A:O,10,FALSE)</f>
        <v>BCBSTX PPO</v>
      </c>
      <c r="K38" s="86"/>
      <c r="L38" s="86" t="s">
        <v>6559</v>
      </c>
      <c r="M38" s="86"/>
      <c r="N38" s="86"/>
      <c r="O38" s="121" t="str">
        <f t="shared" si="2"/>
        <v>✓</v>
      </c>
      <c r="P38" s="79" t="str">
        <f t="shared" si="3"/>
        <v>#VALUE!</v>
      </c>
      <c r="Q38" s="123" t="str">
        <f t="shared" si="4"/>
        <v>#VALUE!</v>
      </c>
      <c r="R38" s="124" t="str">
        <f t="shared" si="5"/>
        <v>#VALUE!</v>
      </c>
      <c r="S38" s="125" t="str">
        <f t="shared" si="6"/>
        <v>#VALUE!</v>
      </c>
      <c r="T38" s="125" t="str">
        <f t="shared" si="7"/>
        <v>#VALUE!</v>
      </c>
      <c r="U38" s="83">
        <f t="shared" si="8"/>
        <v>0</v>
      </c>
      <c r="V38" s="88" t="str">
        <f>ifs($N38="",VLOOKUP($C38&amp;$F38,'MARCH - VISIT DATA'!$A$2:$J600,7,FALSE), $N38="SWAB","OUTSA-RW",$N38="SWQU","OUTSA-SaQu", AND($L38="X",$M38="X",$N38="QUEST"),"OUT-UAQPre",$N38="QUEST","OUT-UAQ", $N38="Walk in","ColUATele")</f>
        <v>UA</v>
      </c>
      <c r="W38" s="70" t="str">
        <f t="shared" si="9"/>
        <v>UA : Urine Analysis In House</v>
      </c>
      <c r="X38" s="64" t="str">
        <f t="shared" si="10"/>
        <v>UA : Urine Analysis In House</v>
      </c>
      <c r="Y38" s="64" t="str">
        <f t="shared" si="11"/>
        <v>MATCH</v>
      </c>
      <c r="Z38" s="66" t="str">
        <f t="shared" si="12"/>
        <v> </v>
      </c>
      <c r="AA38" s="71"/>
    </row>
    <row r="39" ht="15.75" customHeight="1">
      <c r="A39" s="56" t="str">
        <f t="shared" si="1"/>
        <v>1305344623</v>
      </c>
      <c r="B39" s="56" t="str">
        <f>IFS($C39=FALSE,"",$C39,VLOOKUP($C39,'PATIENT DATA (072721)'!A:C, 2, 0))</f>
        <v>GRADY, MICHELLE</v>
      </c>
      <c r="C39" s="57">
        <v>13053.0</v>
      </c>
      <c r="D39" s="127" t="str">
        <f>IF(COUNTIF('PATIENT DATA (072721)'!A:A, C39)=0, "X","✓")</f>
        <v>✓</v>
      </c>
      <c r="E39" s="79">
        <f>IFS($C39=FALSE,"",$C39,VLOOKUP($C39,'PATIENT DATA (072721)'!A:C, 3, 0))</f>
        <v>31604</v>
      </c>
      <c r="F39" s="80">
        <v>44623.0</v>
      </c>
      <c r="G39" s="81">
        <f>ifs($C39="","",$C39, VLOOKUP($C39&amp;$F39, 'MARCH - VISIT DATA'!A:O,3,0))</f>
        <v>0.40625</v>
      </c>
      <c r="H39" s="83" t="s">
        <v>6558</v>
      </c>
      <c r="I39" s="122" t="str">
        <f>VLOOKUP($C39&amp;$F39,'MARCH - VISIT DATA'!A:J, 9, FALSE)</f>
        <v>MARTINEZ</v>
      </c>
      <c r="J39" s="85" t="str">
        <f>VLOOKUP(C39&amp;F39,'MARCH - VISIT DATA'!A:O,10,FALSE)</f>
        <v>BCBSTX PPO</v>
      </c>
      <c r="K39" s="86"/>
      <c r="L39" s="86" t="s">
        <v>6559</v>
      </c>
      <c r="M39" s="86"/>
      <c r="N39" s="86"/>
      <c r="O39" s="121" t="str">
        <f t="shared" si="2"/>
        <v>✓</v>
      </c>
      <c r="P39" s="79" t="str">
        <f t="shared" si="3"/>
        <v>#VALUE!</v>
      </c>
      <c r="Q39" s="123" t="str">
        <f t="shared" si="4"/>
        <v>#VALUE!</v>
      </c>
      <c r="R39" s="124" t="str">
        <f t="shared" si="5"/>
        <v>#VALUE!</v>
      </c>
      <c r="S39" s="125" t="str">
        <f t="shared" si="6"/>
        <v>#VALUE!</v>
      </c>
      <c r="T39" s="125" t="str">
        <f t="shared" si="7"/>
        <v>#VALUE!</v>
      </c>
      <c r="U39" s="83">
        <f t="shared" si="8"/>
        <v>0</v>
      </c>
      <c r="V39" s="88" t="str">
        <f>ifs($N39="",VLOOKUP($C39&amp;$F39,'MARCH - VISIT DATA'!$A$2:$J600,7,FALSE), $N39="SWAB","OUTSA-RW",$N39="SWQU","OUTSA-SaQu", AND($L39="X",$M39="X",$N39="QUEST"),"OUT-UAQPre",$N39="QUEST","OUT-UAQ", $N39="Walk in","ColUATele")</f>
        <v>UA</v>
      </c>
      <c r="W39" s="70" t="str">
        <f t="shared" si="9"/>
        <v>UA : Urine Analysis In House</v>
      </c>
      <c r="X39" s="64" t="str">
        <f t="shared" si="10"/>
        <v>UA : Urine Analysis In House</v>
      </c>
      <c r="Y39" s="64" t="str">
        <f t="shared" si="11"/>
        <v>MATCH</v>
      </c>
      <c r="Z39" s="66" t="str">
        <f t="shared" si="12"/>
        <v> </v>
      </c>
      <c r="AA39" s="71"/>
    </row>
    <row r="40" ht="15.75" customHeight="1">
      <c r="A40" s="56" t="str">
        <f t="shared" si="1"/>
        <v>1008444623</v>
      </c>
      <c r="B40" s="56" t="str">
        <f>IFS($C40=FALSE,"",$C40,VLOOKUP($C40,'PATIENT DATA (072721)'!A:C, 2, 0))</f>
        <v>SCHMIDT, CHRISTOPHER M</v>
      </c>
      <c r="C40" s="57">
        <v>10084.0</v>
      </c>
      <c r="D40" s="127" t="str">
        <f>IF(COUNTIF('PATIENT DATA (072721)'!A:A, C40)=0, "X","✓")</f>
        <v>✓</v>
      </c>
      <c r="E40" s="79">
        <f>IFS($C40=FALSE,"",$C40,VLOOKUP($C40,'PATIENT DATA (072721)'!A:C, 3, 0))</f>
        <v>27338</v>
      </c>
      <c r="F40" s="80">
        <v>44623.0</v>
      </c>
      <c r="G40" s="81">
        <f>ifs($C40="","",$C40, VLOOKUP($C40&amp;$F40, 'MARCH - VISIT DATA'!A:O,3,0))</f>
        <v>0.4375</v>
      </c>
      <c r="H40" s="83" t="s">
        <v>6558</v>
      </c>
      <c r="I40" s="122" t="str">
        <f>VLOOKUP($C40&amp;$F40,'MARCH - VISIT DATA'!A:J, 9, FALSE)</f>
        <v>MARTINEZ</v>
      </c>
      <c r="J40" s="85" t="str">
        <f>VLOOKUP(C40&amp;F40,'MARCH - VISIT DATA'!A:O,10,FALSE)</f>
        <v>WPS VA - COMMUNITY CARE</v>
      </c>
      <c r="K40" s="86"/>
      <c r="L40" s="86" t="s">
        <v>6559</v>
      </c>
      <c r="M40" s="86"/>
      <c r="N40" s="86"/>
      <c r="O40" s="121" t="str">
        <f t="shared" si="2"/>
        <v>✓</v>
      </c>
      <c r="P40" s="79" t="str">
        <f t="shared" si="3"/>
        <v>#VALUE!</v>
      </c>
      <c r="Q40" s="123" t="str">
        <f t="shared" si="4"/>
        <v>#VALUE!</v>
      </c>
      <c r="R40" s="124" t="str">
        <f t="shared" si="5"/>
        <v>#VALUE!</v>
      </c>
      <c r="S40" s="125" t="str">
        <f t="shared" si="6"/>
        <v>#VALUE!</v>
      </c>
      <c r="T40" s="125" t="str">
        <f t="shared" si="7"/>
        <v>#VALUE!</v>
      </c>
      <c r="U40" s="83">
        <f t="shared" si="8"/>
        <v>0</v>
      </c>
      <c r="V40" s="88" t="str">
        <f>ifs($N40="",VLOOKUP($C40&amp;$F40,'MARCH - VISIT DATA'!$A$2:$J600,7,FALSE), $N40="SWAB","OUTSA-RW",$N40="SWQU","OUTSA-SaQu", AND($L40="X",$M40="X",$N40="QUEST"),"OUT-UAQPre",$N40="QUEST","OUT-UAQ", $N40="Walk in","ColUATele")</f>
        <v>UA</v>
      </c>
      <c r="W40" s="70" t="str">
        <f t="shared" si="9"/>
        <v>UA : Urine Analysis In House</v>
      </c>
      <c r="X40" s="64" t="str">
        <f t="shared" si="10"/>
        <v>UA : Urine Analysis In House</v>
      </c>
      <c r="Y40" s="64" t="str">
        <f t="shared" si="11"/>
        <v>MATCH</v>
      </c>
      <c r="Z40" s="66" t="str">
        <f t="shared" si="12"/>
        <v> </v>
      </c>
      <c r="AA40" s="71"/>
    </row>
    <row r="41" ht="15.75" customHeight="1">
      <c r="A41" s="56" t="str">
        <f t="shared" si="1"/>
        <v>1212444623</v>
      </c>
      <c r="B41" s="56" t="str">
        <f>IFS($C41=FALSE,"",$C41,VLOOKUP($C41,'PATIENT DATA (072721)'!A:C, 2, 0))</f>
        <v>ACOSTA, TERESA P</v>
      </c>
      <c r="C41" s="57">
        <v>12124.0</v>
      </c>
      <c r="D41" s="127" t="str">
        <f>IF(COUNTIF('PATIENT DATA (072721)'!A:A, C41)=0, "X","✓")</f>
        <v>✓</v>
      </c>
      <c r="E41" s="79">
        <f>IFS($C41=FALSE,"",$C41,VLOOKUP($C41,'PATIENT DATA (072721)'!A:C, 3, 0))</f>
        <v>13850</v>
      </c>
      <c r="F41" s="80">
        <v>44623.0</v>
      </c>
      <c r="G41" s="81">
        <f>ifs($C41="","",$C41, VLOOKUP($C41&amp;$F41, 'MARCH - VISIT DATA'!A:O,3,0))</f>
        <v>0.4375</v>
      </c>
      <c r="H41" s="83" t="s">
        <v>6560</v>
      </c>
      <c r="I41" s="122" t="str">
        <f>VLOOKUP($C41&amp;$F41,'MARCH - VISIT DATA'!A:J, 9, FALSE)</f>
        <v>TORRES</v>
      </c>
      <c r="J41" s="85" t="str">
        <f>VLOOKUP(C41&amp;F41,'MARCH - VISIT DATA'!A:O,10,FALSE)</f>
        <v>HUMANA GOLD PLUS HMO</v>
      </c>
      <c r="K41" s="86"/>
      <c r="L41" s="86" t="s">
        <v>6559</v>
      </c>
      <c r="M41" s="86"/>
      <c r="N41" s="86"/>
      <c r="O41" s="121" t="str">
        <f t="shared" si="2"/>
        <v>✓</v>
      </c>
      <c r="P41" s="79" t="str">
        <f t="shared" si="3"/>
        <v>#VALUE!</v>
      </c>
      <c r="Q41" s="123" t="str">
        <f t="shared" si="4"/>
        <v>#VALUE!</v>
      </c>
      <c r="R41" s="124" t="str">
        <f t="shared" si="5"/>
        <v>#VALUE!</v>
      </c>
      <c r="S41" s="125" t="str">
        <f t="shared" si="6"/>
        <v>#VALUE!</v>
      </c>
      <c r="T41" s="125" t="str">
        <f t="shared" si="7"/>
        <v>#VALUE!</v>
      </c>
      <c r="U41" s="83">
        <f t="shared" si="8"/>
        <v>0</v>
      </c>
      <c r="V41" s="88" t="str">
        <f>ifs($N41="",VLOOKUP($C41&amp;$F41,'MARCH - VISIT DATA'!$A$2:$J600,7,FALSE), $N41="SWAB","OUTSA-RW",$N41="SWQU","OUTSA-SaQu", AND($L41="X",$M41="X",$N41="QUEST"),"OUT-UAQPre",$N41="QUEST","OUT-UAQ", $N41="Walk in","ColUATele")</f>
        <v>UA</v>
      </c>
      <c r="W41" s="70" t="str">
        <f t="shared" si="9"/>
        <v>UA : Urine Analysis In House</v>
      </c>
      <c r="X41" s="64" t="str">
        <f t="shared" si="10"/>
        <v>UA : Urine Analysis In House</v>
      </c>
      <c r="Y41" s="64" t="str">
        <f t="shared" si="11"/>
        <v>MATCH</v>
      </c>
      <c r="Z41" s="66" t="str">
        <f t="shared" si="12"/>
        <v> </v>
      </c>
      <c r="AA41" s="71"/>
    </row>
    <row r="42" ht="15.75" customHeight="1">
      <c r="A42" s="56" t="str">
        <f t="shared" si="1"/>
        <v>1015744623</v>
      </c>
      <c r="B42" s="56" t="str">
        <f>IFS($C42=FALSE,"",$C42,VLOOKUP($C42,'PATIENT DATA (072721)'!A:C, 2, 0))</f>
        <v>DALY, DONNA</v>
      </c>
      <c r="C42" s="57">
        <v>10157.0</v>
      </c>
      <c r="D42" s="127" t="str">
        <f>IF(COUNTIF('PATIENT DATA (072721)'!A:A, C42)=0, "X","✓")</f>
        <v>✓</v>
      </c>
      <c r="E42" s="79">
        <f>IFS($C42=FALSE,"",$C42,VLOOKUP($C42,'PATIENT DATA (072721)'!A:C, 3, 0))</f>
        <v>23341</v>
      </c>
      <c r="F42" s="80">
        <v>44623.0</v>
      </c>
      <c r="G42" s="81">
        <f>ifs($C42="","",$C42, VLOOKUP($C42&amp;$F42, 'MARCH - VISIT DATA'!A:O,3,0))</f>
        <v>0.4479166667</v>
      </c>
      <c r="H42" s="83" t="s">
        <v>6561</v>
      </c>
      <c r="I42" s="122" t="str">
        <f>VLOOKUP($C42&amp;$F42,'MARCH - VISIT DATA'!A:J, 9, FALSE)</f>
        <v>LOPEZ</v>
      </c>
      <c r="J42" s="85" t="str">
        <f>VLOOKUP(C42&amp;F42,'MARCH - VISIT DATA'!A:O,10,FALSE)</f>
        <v>AMERIGROUP</v>
      </c>
      <c r="K42" s="86"/>
      <c r="L42" s="86" t="s">
        <v>6559</v>
      </c>
      <c r="M42" s="86"/>
      <c r="N42" s="86"/>
      <c r="O42" s="121" t="str">
        <f t="shared" si="2"/>
        <v>✓</v>
      </c>
      <c r="P42" s="79" t="str">
        <f t="shared" si="3"/>
        <v>#VALUE!</v>
      </c>
      <c r="Q42" s="123" t="str">
        <f t="shared" si="4"/>
        <v>#VALUE!</v>
      </c>
      <c r="R42" s="124" t="str">
        <f t="shared" si="5"/>
        <v>#VALUE!</v>
      </c>
      <c r="S42" s="125" t="str">
        <f t="shared" si="6"/>
        <v>#VALUE!</v>
      </c>
      <c r="T42" s="125" t="str">
        <f t="shared" si="7"/>
        <v>#VALUE!</v>
      </c>
      <c r="U42" s="83">
        <f t="shared" si="8"/>
        <v>0</v>
      </c>
      <c r="V42" s="88" t="str">
        <f>ifs($N42="",VLOOKUP($C42&amp;$F42,'MARCH - VISIT DATA'!$A$2:$J600,7,FALSE), $N42="SWAB","OUTSA-RW",$N42="SWQU","OUTSA-SaQu", AND($L42="X",$M42="X",$N42="QUEST"),"OUT-UAQPre",$N42="QUEST","OUT-UAQ", $N42="Walk in","ColUATele")</f>
        <v>UA</v>
      </c>
      <c r="W42" s="70" t="str">
        <f t="shared" si="9"/>
        <v>UA : Urine Analysis In House</v>
      </c>
      <c r="X42" s="64" t="str">
        <f t="shared" si="10"/>
        <v>UA : Urine Analysis In House</v>
      </c>
      <c r="Y42" s="64" t="str">
        <f t="shared" si="11"/>
        <v>MATCH</v>
      </c>
      <c r="Z42" s="66" t="str">
        <f t="shared" si="12"/>
        <v> </v>
      </c>
      <c r="AA42" s="71"/>
    </row>
    <row r="43" ht="15.75" customHeight="1">
      <c r="A43" s="56" t="str">
        <f t="shared" si="1"/>
        <v>1163744623</v>
      </c>
      <c r="B43" s="56" t="str">
        <f>IFS($C43=FALSE,"",$C43,VLOOKUP($C43,'PATIENT DATA (072721)'!A:C, 2, 0))</f>
        <v>GARNICA, PATRICIA</v>
      </c>
      <c r="C43" s="77">
        <v>11637.0</v>
      </c>
      <c r="D43" s="127" t="str">
        <f>IF(COUNTIF('PATIENT DATA (072721)'!A:A, C43)=0, "X","✓")</f>
        <v>✓</v>
      </c>
      <c r="E43" s="79">
        <f>IFS($C43=FALSE,"",$C43,VLOOKUP($C43,'PATIENT DATA (072721)'!A:C, 3, 0))</f>
        <v>21657</v>
      </c>
      <c r="F43" s="80">
        <v>44623.0</v>
      </c>
      <c r="G43" s="81">
        <f>ifs($C43="","",$C43, VLOOKUP($C43&amp;$F43, 'MARCH - VISIT DATA'!A:O,3,0))</f>
        <v>0.4479166667</v>
      </c>
      <c r="H43" s="83" t="s">
        <v>6560</v>
      </c>
      <c r="I43" s="122" t="str">
        <f>VLOOKUP($C43&amp;$F43,'MARCH - VISIT DATA'!A:J, 9, FALSE)</f>
        <v>TORRES</v>
      </c>
      <c r="J43" s="85" t="str">
        <f>VLOOKUP(C43&amp;F43,'MARCH - VISIT DATA'!A:O,10,FALSE)</f>
        <v>AMBETTER - SUPERIOR</v>
      </c>
      <c r="K43" s="86"/>
      <c r="L43" s="86" t="s">
        <v>6559</v>
      </c>
      <c r="M43" s="86"/>
      <c r="N43" s="86"/>
      <c r="O43" s="121" t="str">
        <f t="shared" si="2"/>
        <v>✓</v>
      </c>
      <c r="P43" s="79" t="str">
        <f t="shared" si="3"/>
        <v>#VALUE!</v>
      </c>
      <c r="Q43" s="123" t="str">
        <f t="shared" si="4"/>
        <v>#VALUE!</v>
      </c>
      <c r="R43" s="124" t="str">
        <f t="shared" si="5"/>
        <v>#VALUE!</v>
      </c>
      <c r="S43" s="125" t="str">
        <f t="shared" si="6"/>
        <v>#VALUE!</v>
      </c>
      <c r="T43" s="125" t="str">
        <f t="shared" si="7"/>
        <v>#VALUE!</v>
      </c>
      <c r="U43" s="83">
        <f t="shared" si="8"/>
        <v>0</v>
      </c>
      <c r="V43" s="88" t="str">
        <f>ifs($N43="",VLOOKUP($C43&amp;$F43,'MARCH - VISIT DATA'!$A$2:$J600,7,FALSE), $N43="SWAB","OUTSA-RW",$N43="SWQU","OUTSA-SaQu", AND($L43="X",$M43="X",$N43="QUEST"),"OUT-UAQPre",$N43="QUEST","OUT-UAQ", $N43="Walk in","ColUATele")</f>
        <v>UA</v>
      </c>
      <c r="W43" s="70" t="str">
        <f t="shared" si="9"/>
        <v>UA : Urine Analysis In House</v>
      </c>
      <c r="X43" s="64" t="str">
        <f t="shared" si="10"/>
        <v>UA : Urine Analysis In House</v>
      </c>
      <c r="Y43" s="64" t="str">
        <f t="shared" si="11"/>
        <v>MATCH</v>
      </c>
      <c r="Z43" s="66" t="str">
        <f t="shared" si="12"/>
        <v> </v>
      </c>
      <c r="AA43" s="71"/>
    </row>
    <row r="44" ht="15.75" customHeight="1">
      <c r="A44" s="56" t="str">
        <f t="shared" si="1"/>
        <v>1498644623</v>
      </c>
      <c r="B44" s="56" t="str">
        <f>IFS($C44=FALSE,"",$C44,VLOOKUP($C44,'PATIENT DATA (072721)'!A:C, 2, 0))</f>
        <v>UBANYIONWU, GODWIN I</v>
      </c>
      <c r="C44" s="57">
        <v>14986.0</v>
      </c>
      <c r="D44" s="127" t="str">
        <f>IF(COUNTIF('PATIENT DATA (072721)'!A:A, C44)=0, "X","✓")</f>
        <v>✓</v>
      </c>
      <c r="E44" s="79">
        <f>IFS($C44=FALSE,"",$C44,VLOOKUP($C44,'PATIENT DATA (072721)'!A:C, 3, 0))</f>
        <v>20985</v>
      </c>
      <c r="F44" s="80">
        <v>44623.0</v>
      </c>
      <c r="G44" s="81">
        <f>ifs($C44="","",$C44, VLOOKUP($C44&amp;$F44, 'MARCH - VISIT DATA'!A:O,3,0))</f>
        <v>0.4479166667</v>
      </c>
      <c r="H44" s="83" t="s">
        <v>6561</v>
      </c>
      <c r="I44" s="122" t="str">
        <f>VLOOKUP($C44&amp;$F44,'MARCH - VISIT DATA'!A:J, 9, FALSE)</f>
        <v>LOPEZ</v>
      </c>
      <c r="J44" s="85" t="str">
        <f>VLOOKUP(C44&amp;F44,'MARCH - VISIT DATA'!A:O,10,FALSE)</f>
        <v>BCBS HEALTH SELECT</v>
      </c>
      <c r="K44" s="86"/>
      <c r="L44" s="86" t="s">
        <v>6559</v>
      </c>
      <c r="M44" s="86"/>
      <c r="N44" s="86"/>
      <c r="O44" s="121" t="str">
        <f t="shared" si="2"/>
        <v>✓</v>
      </c>
      <c r="P44" s="79" t="str">
        <f t="shared" si="3"/>
        <v>#VALUE!</v>
      </c>
      <c r="Q44" s="123" t="str">
        <f t="shared" si="4"/>
        <v>#VALUE!</v>
      </c>
      <c r="R44" s="124" t="str">
        <f t="shared" si="5"/>
        <v>#VALUE!</v>
      </c>
      <c r="S44" s="125" t="str">
        <f t="shared" si="6"/>
        <v>#VALUE!</v>
      </c>
      <c r="T44" s="125" t="str">
        <f t="shared" si="7"/>
        <v>#VALUE!</v>
      </c>
      <c r="U44" s="83">
        <f t="shared" si="8"/>
        <v>0</v>
      </c>
      <c r="V44" s="88" t="str">
        <f>ifs($N44="",VLOOKUP($C44&amp;$F44,'MARCH - VISIT DATA'!$A$2:$J600,7,FALSE), $N44="SWAB","OUTSA-RW",$N44="SWQU","OUTSA-SaQu", AND($L44="X",$M44="X",$N44="QUEST"),"OUT-UAQPre",$N44="QUEST","OUT-UAQ", $N44="Walk in","ColUATele")</f>
        <v>UA</v>
      </c>
      <c r="W44" s="70" t="str">
        <f t="shared" si="9"/>
        <v>UA : Urine Analysis In House</v>
      </c>
      <c r="X44" s="64" t="str">
        <f t="shared" si="10"/>
        <v>UA : Urine Analysis In House</v>
      </c>
      <c r="Y44" s="64" t="str">
        <f t="shared" si="11"/>
        <v>MATCH</v>
      </c>
      <c r="Z44" s="66" t="str">
        <f t="shared" si="12"/>
        <v> </v>
      </c>
      <c r="AA44" s="71"/>
    </row>
    <row r="45" ht="15.75" customHeight="1">
      <c r="A45" s="56" t="str">
        <f t="shared" si="1"/>
        <v>1655444623</v>
      </c>
      <c r="B45" s="56" t="str">
        <f>IFS($C45=FALSE,"",$C45,VLOOKUP($C45,'PATIENT DATA (072721)'!A:C, 2, 0))</f>
        <v>ARVIZU, RODRIGO</v>
      </c>
      <c r="C45" s="57">
        <v>16554.0</v>
      </c>
      <c r="D45" s="127" t="str">
        <f>IF(COUNTIF('PATIENT DATA (072721)'!A:A, C45)=0, "X","✓")</f>
        <v>✓</v>
      </c>
      <c r="E45" s="79">
        <f>IFS($C45=FALSE,"",$C45,VLOOKUP($C45,'PATIENT DATA (072721)'!A:C, 3, 0))</f>
        <v>28107</v>
      </c>
      <c r="F45" s="80">
        <v>44623.0</v>
      </c>
      <c r="G45" s="81">
        <f>ifs($C45="","",$C45, VLOOKUP($C45&amp;$F45, 'MARCH - VISIT DATA'!A:O,3,0))</f>
        <v>0.4479166667</v>
      </c>
      <c r="H45" s="83" t="s">
        <v>6558</v>
      </c>
      <c r="I45" s="122" t="str">
        <f>VLOOKUP($C45&amp;$F45,'MARCH - VISIT DATA'!A:J, 9, FALSE)</f>
        <v>MARTINEZ</v>
      </c>
      <c r="J45" s="85" t="str">
        <f>VLOOKUP(C45&amp;F45,'MARCH - VISIT DATA'!A:O,10,FALSE)</f>
        <v>TRICARE PRIME</v>
      </c>
      <c r="K45" s="86"/>
      <c r="L45" s="86" t="s">
        <v>6559</v>
      </c>
      <c r="M45" s="86"/>
      <c r="N45" s="86"/>
      <c r="O45" s="121" t="str">
        <f t="shared" si="2"/>
        <v>✓</v>
      </c>
      <c r="P45" s="79" t="str">
        <f t="shared" si="3"/>
        <v>#VALUE!</v>
      </c>
      <c r="Q45" s="123" t="str">
        <f t="shared" si="4"/>
        <v>#VALUE!</v>
      </c>
      <c r="R45" s="124" t="str">
        <f t="shared" si="5"/>
        <v>#VALUE!</v>
      </c>
      <c r="S45" s="125" t="str">
        <f t="shared" si="6"/>
        <v>#VALUE!</v>
      </c>
      <c r="T45" s="125" t="str">
        <f t="shared" si="7"/>
        <v>#VALUE!</v>
      </c>
      <c r="U45" s="83">
        <f t="shared" si="8"/>
        <v>0</v>
      </c>
      <c r="V45" s="88" t="str">
        <f>ifs($N45="",VLOOKUP($C45&amp;$F45,'MARCH - VISIT DATA'!$A$2:$J600,7,FALSE), $N45="SWAB","OUTSA-RW",$N45="SWQU","OUTSA-SaQu", AND($L45="X",$M45="X",$N45="QUEST"),"OUT-UAQPre",$N45="QUEST","OUT-UAQ", $N45="Walk in","ColUATele")</f>
        <v>UA</v>
      </c>
      <c r="W45" s="70" t="str">
        <f t="shared" si="9"/>
        <v>UA : Urine Analysis In House</v>
      </c>
      <c r="X45" s="64" t="str">
        <f t="shared" si="10"/>
        <v>UA : Urine Analysis In House</v>
      </c>
      <c r="Y45" s="64" t="str">
        <f t="shared" si="11"/>
        <v>MATCH</v>
      </c>
      <c r="Z45" s="66" t="str">
        <f t="shared" si="12"/>
        <v> </v>
      </c>
      <c r="AA45" s="71"/>
    </row>
    <row r="46" ht="15.75" customHeight="1">
      <c r="A46" s="56" t="str">
        <f t="shared" si="1"/>
        <v>943344623</v>
      </c>
      <c r="B46" s="56" t="str">
        <f>IFS($C46=FALSE,"",$C46,VLOOKUP($C46,'PATIENT DATA (072721)'!A:C, 2, 0))</f>
        <v>AVILA, MARIA</v>
      </c>
      <c r="C46" s="57">
        <v>9433.0</v>
      </c>
      <c r="D46" s="127" t="str">
        <f>IF(COUNTIF('PATIENT DATA (072721)'!A:A, C46)=0, "X","✓")</f>
        <v>✓</v>
      </c>
      <c r="E46" s="79">
        <f>IFS($C46=FALSE,"",$C46,VLOOKUP($C46,'PATIENT DATA (072721)'!A:C, 3, 0))</f>
        <v>20435</v>
      </c>
      <c r="F46" s="80">
        <v>44623.0</v>
      </c>
      <c r="G46" s="81">
        <f>ifs($C46="","",$C46, VLOOKUP($C46&amp;$F46, 'MARCH - VISIT DATA'!A:O,3,0))</f>
        <v>0.4583333333</v>
      </c>
      <c r="H46" s="83" t="s">
        <v>6560</v>
      </c>
      <c r="I46" s="122" t="str">
        <f>VLOOKUP($C46&amp;$F46,'MARCH - VISIT DATA'!A:J, 9, FALSE)</f>
        <v>TORRES</v>
      </c>
      <c r="J46" s="85" t="str">
        <f>VLOOKUP(C46&amp;F46,'MARCH - VISIT DATA'!A:O,10,FALSE)</f>
        <v>WELLCARE OF TEXAS HMO</v>
      </c>
      <c r="K46" s="86"/>
      <c r="L46" s="86" t="s">
        <v>6559</v>
      </c>
      <c r="M46" s="86"/>
      <c r="N46" s="86"/>
      <c r="O46" s="121" t="str">
        <f t="shared" si="2"/>
        <v>✓</v>
      </c>
      <c r="P46" s="79" t="str">
        <f t="shared" si="3"/>
        <v>#VALUE!</v>
      </c>
      <c r="Q46" s="123" t="str">
        <f t="shared" si="4"/>
        <v>#VALUE!</v>
      </c>
      <c r="R46" s="124" t="str">
        <f t="shared" si="5"/>
        <v>#VALUE!</v>
      </c>
      <c r="S46" s="125" t="str">
        <f t="shared" si="6"/>
        <v>#VALUE!</v>
      </c>
      <c r="T46" s="125" t="str">
        <f t="shared" si="7"/>
        <v>#VALUE!</v>
      </c>
      <c r="U46" s="83">
        <f t="shared" si="8"/>
        <v>0</v>
      </c>
      <c r="V46" s="88" t="str">
        <f>ifs($N46="",VLOOKUP($C46&amp;$F46,'MARCH - VISIT DATA'!$A$2:$J600,7,FALSE), $N46="SWAB","OUTSA-RW",$N46="SWQU","OUTSA-SaQu", AND($L46="X",$M46="X",$N46="QUEST"),"OUT-UAQPre",$N46="QUEST","OUT-UAQ", $N46="Walk in","ColUATele")</f>
        <v>UA</v>
      </c>
      <c r="W46" s="70" t="str">
        <f t="shared" si="9"/>
        <v>UA : Urine Analysis In House</v>
      </c>
      <c r="X46" s="64" t="str">
        <f t="shared" si="10"/>
        <v>UA : Urine Analysis In House</v>
      </c>
      <c r="Y46" s="64" t="str">
        <f t="shared" si="11"/>
        <v>MATCH</v>
      </c>
      <c r="Z46" s="66" t="str">
        <f t="shared" si="12"/>
        <v> </v>
      </c>
      <c r="AA46" s="71"/>
    </row>
    <row r="47" ht="15.75" customHeight="1">
      <c r="A47" s="56" t="str">
        <f t="shared" si="1"/>
        <v>1344244623</v>
      </c>
      <c r="B47" s="56" t="str">
        <f>IFS($C47=FALSE,"",$C47,VLOOKUP($C47,'PATIENT DATA (072721)'!A:C, 2, 0))</f>
        <v>MORALES, FRANK T</v>
      </c>
      <c r="C47" s="57">
        <v>13442.0</v>
      </c>
      <c r="D47" s="127" t="str">
        <f>IF(COUNTIF('PATIENT DATA (072721)'!A:A, C47)=0, "X","✓")</f>
        <v>✓</v>
      </c>
      <c r="E47" s="79">
        <f>IFS($C47=FALSE,"",$C47,VLOOKUP($C47,'PATIENT DATA (072721)'!A:C, 3, 0))</f>
        <v>19087</v>
      </c>
      <c r="F47" s="80">
        <v>44623.0</v>
      </c>
      <c r="G47" s="81">
        <f>ifs($C47="","",$C47, VLOOKUP($C47&amp;$F47, 'MARCH - VISIT DATA'!A:O,3,0))</f>
        <v>0.4583333333</v>
      </c>
      <c r="H47" s="83" t="s">
        <v>6561</v>
      </c>
      <c r="I47" s="122" t="str">
        <f>VLOOKUP($C47&amp;$F47,'MARCH - VISIT DATA'!A:J, 9, FALSE)</f>
        <v>LOPEZ</v>
      </c>
      <c r="J47" s="85" t="str">
        <f>VLOOKUP(C47&amp;F47,'MARCH - VISIT DATA'!A:O,10,FALSE)</f>
        <v>WPS VA - COMMUNITY CARE</v>
      </c>
      <c r="K47" s="86"/>
      <c r="L47" s="86" t="s">
        <v>6559</v>
      </c>
      <c r="M47" s="86"/>
      <c r="N47" s="86"/>
      <c r="O47" s="121" t="str">
        <f t="shared" si="2"/>
        <v>✓</v>
      </c>
      <c r="P47" s="79" t="str">
        <f t="shared" si="3"/>
        <v>#VALUE!</v>
      </c>
      <c r="Q47" s="123" t="str">
        <f t="shared" si="4"/>
        <v>#VALUE!</v>
      </c>
      <c r="R47" s="124" t="str">
        <f t="shared" si="5"/>
        <v>#VALUE!</v>
      </c>
      <c r="S47" s="125" t="str">
        <f t="shared" si="6"/>
        <v>#VALUE!</v>
      </c>
      <c r="T47" s="125" t="str">
        <f t="shared" si="7"/>
        <v>#VALUE!</v>
      </c>
      <c r="U47" s="83">
        <f t="shared" si="8"/>
        <v>0</v>
      </c>
      <c r="V47" s="88" t="str">
        <f>ifs($N47="",VLOOKUP($C47&amp;$F47,'MARCH - VISIT DATA'!$A$2:$J600,7,FALSE), $N47="SWAB","OUTSA-RW",$N47="SWQU","OUTSA-SaQu", AND($L47="X",$M47="X",$N47="QUEST"),"OUT-UAQPre",$N47="QUEST","OUT-UAQ", $N47="Walk in","ColUATele")</f>
        <v>UA</v>
      </c>
      <c r="W47" s="70" t="str">
        <f t="shared" si="9"/>
        <v>UA : Urine Analysis In House</v>
      </c>
      <c r="X47" s="64" t="str">
        <f t="shared" si="10"/>
        <v>UA : Urine Analysis In House</v>
      </c>
      <c r="Y47" s="64" t="str">
        <f t="shared" si="11"/>
        <v>MATCH</v>
      </c>
      <c r="Z47" s="66" t="str">
        <f t="shared" si="12"/>
        <v> </v>
      </c>
      <c r="AA47" s="71"/>
    </row>
    <row r="48" ht="15.75" customHeight="1">
      <c r="A48" s="56" t="str">
        <f t="shared" si="1"/>
        <v>1748144623</v>
      </c>
      <c r="B48" s="56" t="str">
        <f>IFS($C48=FALSE,"",$C48,VLOOKUP($C48,'PATIENT DATA (072721)'!A:C, 2, 0))</f>
        <v>ARNAL, TORIBIA</v>
      </c>
      <c r="C48" s="57">
        <v>17481.0</v>
      </c>
      <c r="D48" s="127" t="str">
        <f>IF(COUNTIF('PATIENT DATA (072721)'!A:A, C48)=0, "X","✓")</f>
        <v>✓</v>
      </c>
      <c r="E48" s="79">
        <f>IFS($C48=FALSE,"",$C48,VLOOKUP($C48,'PATIENT DATA (072721)'!A:C, 3, 0))</f>
        <v>22479</v>
      </c>
      <c r="F48" s="80">
        <v>44623.0</v>
      </c>
      <c r="G48" s="81">
        <f>ifs($C48="","",$C48, VLOOKUP($C48&amp;$F48, 'MARCH - VISIT DATA'!A:O,3,0))</f>
        <v>0.46875</v>
      </c>
      <c r="H48" s="83" t="s">
        <v>6561</v>
      </c>
      <c r="I48" s="122" t="str">
        <f>VLOOKUP($C48&amp;$F48,'MARCH - VISIT DATA'!A:J, 9, FALSE)</f>
        <v>LOPEZ</v>
      </c>
      <c r="J48" s="85" t="str">
        <f>VLOOKUP(C48&amp;F48,'MARCH - VISIT DATA'!A:O,10,FALSE)</f>
        <v>AETNA</v>
      </c>
      <c r="K48" s="86"/>
      <c r="L48" s="86" t="s">
        <v>6559</v>
      </c>
      <c r="M48" s="86"/>
      <c r="N48" s="86"/>
      <c r="O48" s="121" t="str">
        <f t="shared" si="2"/>
        <v>✓</v>
      </c>
      <c r="P48" s="79" t="str">
        <f t="shared" si="3"/>
        <v>#VALUE!</v>
      </c>
      <c r="Q48" s="123" t="str">
        <f t="shared" si="4"/>
        <v>#VALUE!</v>
      </c>
      <c r="R48" s="124" t="str">
        <f t="shared" si="5"/>
        <v>#VALUE!</v>
      </c>
      <c r="S48" s="125" t="str">
        <f t="shared" si="6"/>
        <v>#VALUE!</v>
      </c>
      <c r="T48" s="125" t="str">
        <f t="shared" si="7"/>
        <v>#VALUE!</v>
      </c>
      <c r="U48" s="83">
        <f t="shared" si="8"/>
        <v>0</v>
      </c>
      <c r="V48" s="88" t="str">
        <f>ifs($N48="",VLOOKUP($C48&amp;$F48,'MARCH - VISIT DATA'!$A$2:$J600,7,FALSE), $N48="SWAB","OUTSA-RW",$N48="SWQU","OUTSA-SaQu", AND($L48="X",$M48="X",$N48="QUEST"),"OUT-UAQPre",$N48="QUEST","OUT-UAQ", $N48="Walk in","ColUATele")</f>
        <v>UA</v>
      </c>
      <c r="W48" s="70" t="str">
        <f t="shared" si="9"/>
        <v>UA : Urine Analysis In House</v>
      </c>
      <c r="X48" s="64" t="str">
        <f t="shared" si="10"/>
        <v>UA : Urine Analysis In House</v>
      </c>
      <c r="Y48" s="64" t="str">
        <f t="shared" si="11"/>
        <v>MATCH</v>
      </c>
      <c r="Z48" s="66" t="str">
        <f t="shared" si="12"/>
        <v> </v>
      </c>
      <c r="AA48" s="71"/>
    </row>
    <row r="49" ht="15.75" customHeight="1">
      <c r="A49" s="56" t="str">
        <f t="shared" si="1"/>
        <v>1250944623</v>
      </c>
      <c r="B49" s="56" t="str">
        <f>IFS($C49=FALSE,"",$C49,VLOOKUP($C49,'PATIENT DATA (072721)'!A:C, 2, 0))</f>
        <v>SILERIO ENRIQUEZ, MARIA C</v>
      </c>
      <c r="C49" s="57">
        <v>12509.0</v>
      </c>
      <c r="D49" s="127" t="str">
        <f>IF(COUNTIF('PATIENT DATA (072721)'!A:A, C49)=0, "X","✓")</f>
        <v>✓</v>
      </c>
      <c r="E49" s="79">
        <f>IFS($C49=FALSE,"",$C49,VLOOKUP($C49,'PATIENT DATA (072721)'!A:C, 3, 0))</f>
        <v>19482</v>
      </c>
      <c r="F49" s="80">
        <v>44623.0</v>
      </c>
      <c r="G49" s="81">
        <f>ifs($C49="","",$C49, VLOOKUP($C49&amp;$F49, 'MARCH - VISIT DATA'!A:O,3,0))</f>
        <v>0.4791666667</v>
      </c>
      <c r="H49" s="83" t="s">
        <v>6561</v>
      </c>
      <c r="I49" s="122" t="str">
        <f>VLOOKUP($C49&amp;$F49,'MARCH - VISIT DATA'!A:J, 9, FALSE)</f>
        <v>LOPEZ</v>
      </c>
      <c r="J49" s="85" t="str">
        <f>VLOOKUP(C49&amp;F49,'MARCH - VISIT DATA'!A:O,10,FALSE)</f>
        <v>WELLCARE OF TEXAS</v>
      </c>
      <c r="K49" s="86"/>
      <c r="L49" s="86" t="s">
        <v>6559</v>
      </c>
      <c r="M49" s="86"/>
      <c r="N49" s="86"/>
      <c r="O49" s="121" t="str">
        <f t="shared" si="2"/>
        <v>✓</v>
      </c>
      <c r="P49" s="79" t="str">
        <f t="shared" si="3"/>
        <v>#VALUE!</v>
      </c>
      <c r="Q49" s="123" t="str">
        <f t="shared" si="4"/>
        <v>#VALUE!</v>
      </c>
      <c r="R49" s="124" t="str">
        <f t="shared" si="5"/>
        <v>#VALUE!</v>
      </c>
      <c r="S49" s="125" t="str">
        <f t="shared" si="6"/>
        <v>#VALUE!</v>
      </c>
      <c r="T49" s="125" t="str">
        <f t="shared" si="7"/>
        <v>#VALUE!</v>
      </c>
      <c r="U49" s="83">
        <f t="shared" si="8"/>
        <v>0</v>
      </c>
      <c r="V49" s="88" t="str">
        <f>ifs($N49="",VLOOKUP($C49&amp;$F49,'MARCH - VISIT DATA'!$A$2:$J600,7,FALSE), $N49="SWAB","OUTSA-RW",$N49="SWQU","OUTSA-SaQu", AND($L49="X",$M49="X",$N49="QUEST"),"OUT-UAQPre",$N49="QUEST","OUT-UAQ", $N49="Walk in","ColUATele")</f>
        <v>UA</v>
      </c>
      <c r="W49" s="70" t="str">
        <f t="shared" si="9"/>
        <v>UA : Urine Analysis In House</v>
      </c>
      <c r="X49" s="64" t="str">
        <f t="shared" si="10"/>
        <v>UA : Urine Analysis In House</v>
      </c>
      <c r="Y49" s="64" t="str">
        <f t="shared" si="11"/>
        <v>MATCH</v>
      </c>
      <c r="Z49" s="66" t="str">
        <f t="shared" si="12"/>
        <v> </v>
      </c>
      <c r="AA49" s="71"/>
    </row>
    <row r="50" ht="15.75" customHeight="1">
      <c r="A50" s="56" t="str">
        <f t="shared" si="1"/>
        <v>1580644623</v>
      </c>
      <c r="B50" s="76" t="str">
        <f>IFS($C50=FALSE,"",$C50,VLOOKUP($C50,'PATIENT DATA (072721)'!A:C, 2, 0))</f>
        <v>MATA, ROLAND</v>
      </c>
      <c r="C50" s="77">
        <v>15806.0</v>
      </c>
      <c r="D50" s="127" t="str">
        <f>IF(COUNTIF('PATIENT DATA (072721)'!A:A, C50)=0, "X","✓")</f>
        <v>✓</v>
      </c>
      <c r="E50" s="79">
        <f>IFS($C50=FALSE,"",$C50,VLOOKUP($C50,'PATIENT DATA (072721)'!A:C, 3, 0))</f>
        <v>18664</v>
      </c>
      <c r="F50" s="80">
        <v>44623.0</v>
      </c>
      <c r="G50" s="81">
        <f>ifs($C50="","",$C50, VLOOKUP($C50&amp;$F50, 'MARCH - VISIT DATA'!A:O,3,0))</f>
        <v>0.4791666667</v>
      </c>
      <c r="H50" s="83" t="s">
        <v>6561</v>
      </c>
      <c r="I50" s="122" t="str">
        <f>VLOOKUP($C50&amp;$F50,'MARCH - VISIT DATA'!A:J, 9, FALSE)</f>
        <v>LOPEZ</v>
      </c>
      <c r="J50" s="85" t="str">
        <f>VLOOKUP(C50&amp;F50,'MARCH - VISIT DATA'!A:O,10,FALSE)</f>
        <v>MEDICARE TEXAS</v>
      </c>
      <c r="K50" s="86"/>
      <c r="L50" s="86" t="s">
        <v>6559</v>
      </c>
      <c r="M50" s="86"/>
      <c r="N50" s="86"/>
      <c r="O50" s="121" t="str">
        <f t="shared" si="2"/>
        <v>✓</v>
      </c>
      <c r="P50" s="79" t="str">
        <f t="shared" si="3"/>
        <v>#VALUE!</v>
      </c>
      <c r="Q50" s="123" t="str">
        <f t="shared" si="4"/>
        <v>#VALUE!</v>
      </c>
      <c r="R50" s="124" t="str">
        <f t="shared" si="5"/>
        <v>#VALUE!</v>
      </c>
      <c r="S50" s="125" t="str">
        <f t="shared" si="6"/>
        <v>#VALUE!</v>
      </c>
      <c r="T50" s="125" t="str">
        <f t="shared" si="7"/>
        <v>#VALUE!</v>
      </c>
      <c r="U50" s="83">
        <f t="shared" si="8"/>
        <v>0</v>
      </c>
      <c r="V50" s="88" t="str">
        <f>ifs($N50="",VLOOKUP($C50&amp;$F50,'MARCH - VISIT DATA'!$A$2:$J600,7,FALSE), $N50="SWAB","OUTSA-RW",$N50="SWQU","OUTSA-SaQu", AND($L50="X",$M50="X",$N50="QUEST"),"OUT-UAQPre",$N50="QUEST","OUT-UAQ", $N50="Walk in","ColUATele")</f>
        <v>UA</v>
      </c>
      <c r="W50" s="70" t="str">
        <f t="shared" si="9"/>
        <v>UA : Urine Analysis In House</v>
      </c>
      <c r="X50" s="64" t="str">
        <f t="shared" si="10"/>
        <v>UA : Urine Analysis In House</v>
      </c>
      <c r="Y50" s="64" t="str">
        <f t="shared" si="11"/>
        <v>MATCH</v>
      </c>
      <c r="Z50" s="66" t="str">
        <f t="shared" si="12"/>
        <v> </v>
      </c>
      <c r="AA50" s="71"/>
    </row>
    <row r="51" ht="15.75" hidden="1" customHeight="1">
      <c r="A51" s="56" t="str">
        <f t="shared" si="1"/>
        <v>985444623</v>
      </c>
      <c r="B51" s="56" t="str">
        <f>IFS($C51=FALSE,"",$C51,VLOOKUP($C51,'PATIENT DATA (072721)'!A:C, 2, 0))</f>
        <v>BROWN, REGINALD</v>
      </c>
      <c r="C51" s="57">
        <v>9854.0</v>
      </c>
      <c r="D51" s="127" t="str">
        <f>IF(COUNTIF('PATIENT DATA (072721)'!A:A, C51)=0, "X","✓")</f>
        <v>✓</v>
      </c>
      <c r="E51" s="79">
        <f>IFS($C51=FALSE,"",$C51,VLOOKUP($C51,'PATIENT DATA (072721)'!A:C, 3, 0))</f>
        <v>21614</v>
      </c>
      <c r="F51" s="80">
        <v>44623.0</v>
      </c>
      <c r="G51" s="81">
        <f>ifs($C51="","",$C51, VLOOKUP($C51&amp;$F51, 'MARCH - VISIT DATA'!A:O,3,0))</f>
        <v>0.5416666667</v>
      </c>
      <c r="H51" s="83" t="s">
        <v>6560</v>
      </c>
      <c r="I51" s="122" t="str">
        <f>VLOOKUP($C51&amp;$F51,'MARCH - VISIT DATA'!A:J, 9, FALSE)</f>
        <v>TORRES</v>
      </c>
      <c r="J51" s="85" t="str">
        <f>VLOOKUP(C51&amp;F51,'MARCH - VISIT DATA'!A:O,10,FALSE)</f>
        <v>MEDICARE TEXAS</v>
      </c>
      <c r="K51" s="86"/>
      <c r="L51" s="86" t="s">
        <v>6559</v>
      </c>
      <c r="M51" s="86" t="s">
        <v>6559</v>
      </c>
      <c r="N51" s="86"/>
      <c r="O51" s="121" t="str">
        <f t="shared" si="2"/>
        <v>✓</v>
      </c>
      <c r="P51" s="79" t="str">
        <f t="shared" si="3"/>
        <v>#VALUE!</v>
      </c>
      <c r="Q51" s="123" t="str">
        <f t="shared" si="4"/>
        <v>#VALUE!</v>
      </c>
      <c r="R51" s="124" t="str">
        <f t="shared" si="5"/>
        <v>#VALUE!</v>
      </c>
      <c r="S51" s="125" t="str">
        <f t="shared" si="6"/>
        <v>#VALUE!</v>
      </c>
      <c r="T51" s="125" t="str">
        <f t="shared" si="7"/>
        <v>#VALUE!</v>
      </c>
      <c r="U51" s="83">
        <f t="shared" si="8"/>
        <v>0</v>
      </c>
      <c r="V51" s="88" t="str">
        <f>ifs($N51="",VLOOKUP($C51&amp;$F51,'MARCH - VISIT DATA'!$A$2:$J600,7,FALSE), $N51="SWAB","OUTSA-RW",$N51="SWQU","OUTSA-SaQu", AND($L51="X",$M51="X",$N51="QUEST"),"OUT-UAQPre",$N51="QUEST","OUT-UAQ", $N51="Walk in","ColUATele")</f>
        <v>UA-Prelim</v>
      </c>
      <c r="W51" s="70" t="str">
        <f t="shared" si="9"/>
        <v>UA-Prelim : Preliminary UA Test</v>
      </c>
      <c r="X51" s="64" t="str">
        <f t="shared" si="10"/>
        <v>UA-Prelim : Preliminary UA Test</v>
      </c>
      <c r="Y51" s="64" t="str">
        <f t="shared" si="11"/>
        <v>MATCH</v>
      </c>
      <c r="Z51" s="66" t="str">
        <f t="shared" si="12"/>
        <v> </v>
      </c>
      <c r="AA51" s="71"/>
    </row>
    <row r="52" ht="15.75" hidden="1" customHeight="1">
      <c r="A52" s="56" t="str">
        <f t="shared" si="1"/>
        <v>928644623</v>
      </c>
      <c r="B52" s="56" t="str">
        <f>IFS($C52=FALSE,"",$C52,VLOOKUP($C52,'PATIENT DATA (072721)'!A:C, 2, 0))</f>
        <v>MOSS, JENNIE G</v>
      </c>
      <c r="C52" s="57">
        <v>9286.0</v>
      </c>
      <c r="D52" s="127" t="str">
        <f>IF(COUNTIF('PATIENT DATA (072721)'!A:A, C52)=0, "X","✓")</f>
        <v>✓</v>
      </c>
      <c r="E52" s="79">
        <f>IFS($C52=FALSE,"",$C52,VLOOKUP($C52,'PATIENT DATA (072721)'!A:C, 3, 0))</f>
        <v>14829</v>
      </c>
      <c r="F52" s="80">
        <v>44623.0</v>
      </c>
      <c r="G52" s="81">
        <f>ifs($C52="","",$C52, VLOOKUP($C52&amp;$F52, 'MARCH - VISIT DATA'!A:O,3,0))</f>
        <v>0.5625</v>
      </c>
      <c r="H52" s="83" t="s">
        <v>6561</v>
      </c>
      <c r="I52" s="122" t="str">
        <f>VLOOKUP($C52&amp;$F52,'MARCH - VISIT DATA'!A:J, 9, FALSE)</f>
        <v>LOPEZ</v>
      </c>
      <c r="J52" s="85" t="str">
        <f>VLOOKUP(C52&amp;F52,'MARCH - VISIT DATA'!A:O,10,FALSE)</f>
        <v>MEDICARE TEXAS</v>
      </c>
      <c r="K52" s="86"/>
      <c r="L52" s="86" t="s">
        <v>6559</v>
      </c>
      <c r="M52" s="86" t="s">
        <v>6559</v>
      </c>
      <c r="N52" s="86"/>
      <c r="O52" s="121" t="str">
        <f t="shared" si="2"/>
        <v>✓</v>
      </c>
      <c r="P52" s="79" t="str">
        <f t="shared" si="3"/>
        <v>#VALUE!</v>
      </c>
      <c r="Q52" s="123" t="str">
        <f t="shared" si="4"/>
        <v>#VALUE!</v>
      </c>
      <c r="R52" s="124" t="str">
        <f t="shared" si="5"/>
        <v>#VALUE!</v>
      </c>
      <c r="S52" s="125" t="str">
        <f t="shared" si="6"/>
        <v>#VALUE!</v>
      </c>
      <c r="T52" s="125" t="str">
        <f t="shared" si="7"/>
        <v>#VALUE!</v>
      </c>
      <c r="U52" s="83">
        <f t="shared" si="8"/>
        <v>0</v>
      </c>
      <c r="V52" s="88" t="str">
        <f>ifs($N52="",VLOOKUP($C52&amp;$F52,'MARCH - VISIT DATA'!$A$2:$J600,7,FALSE), $N52="SWAB","OUTSA-RW",$N52="SWQU","OUTSA-SaQu", AND($L52="X",$M52="X",$N52="QUEST"),"OUT-UAQPre",$N52="QUEST","OUT-UAQ", $N52="Walk in","ColUATele")</f>
        <v>UA-Prelim</v>
      </c>
      <c r="W52" s="70" t="str">
        <f t="shared" si="9"/>
        <v>UA-Prelim : Preliminary UA Test</v>
      </c>
      <c r="X52" s="64" t="str">
        <f t="shared" si="10"/>
        <v>UA-Prelim : Preliminary UA Test</v>
      </c>
      <c r="Y52" s="64" t="str">
        <f t="shared" si="11"/>
        <v>MATCH</v>
      </c>
      <c r="Z52" s="66" t="str">
        <f t="shared" si="12"/>
        <v> </v>
      </c>
      <c r="AA52" s="71"/>
    </row>
    <row r="53" ht="15.75" hidden="1" customHeight="1">
      <c r="A53" s="56" t="str">
        <f t="shared" si="1"/>
        <v>1640444623</v>
      </c>
      <c r="B53" s="56" t="str">
        <f>IFS($C53=FALSE,"",$C53,VLOOKUP($C53,'PATIENT DATA (072721)'!A:C, 2, 0))</f>
        <v>ORRANTIA, GERARDO R</v>
      </c>
      <c r="C53" s="57">
        <v>16404.0</v>
      </c>
      <c r="D53" s="127" t="str">
        <f>IF(COUNTIF('PATIENT DATA (072721)'!A:A, C53)=0, "X","✓")</f>
        <v>✓</v>
      </c>
      <c r="E53" s="79">
        <f>IFS($C53=FALSE,"",$C53,VLOOKUP($C53,'PATIENT DATA (072721)'!A:C, 3, 0))</f>
        <v>21743</v>
      </c>
      <c r="F53" s="80">
        <v>44623.0</v>
      </c>
      <c r="G53" s="81">
        <f>ifs($C53="","",$C53, VLOOKUP($C53&amp;$F53, 'MARCH - VISIT DATA'!A:O,3,0))</f>
        <v>0.5625</v>
      </c>
      <c r="H53" s="83" t="s">
        <v>6558</v>
      </c>
      <c r="I53" s="122" t="str">
        <f>VLOOKUP($C53&amp;$F53,'MARCH - VISIT DATA'!A:J, 9, FALSE)</f>
        <v>MARTINEZ</v>
      </c>
      <c r="J53" s="85" t="str">
        <f>VLOOKUP(C53&amp;F53,'MARCH - VISIT DATA'!A:O,10,FALSE)</f>
        <v>WPS VA - COMMUNITY CARE</v>
      </c>
      <c r="K53" s="86"/>
      <c r="L53" s="86" t="s">
        <v>6559</v>
      </c>
      <c r="M53" s="86" t="s">
        <v>6559</v>
      </c>
      <c r="N53" s="86"/>
      <c r="O53" s="121" t="str">
        <f t="shared" si="2"/>
        <v>✓</v>
      </c>
      <c r="P53" s="79" t="str">
        <f t="shared" si="3"/>
        <v>#VALUE!</v>
      </c>
      <c r="Q53" s="123" t="str">
        <f t="shared" si="4"/>
        <v>#VALUE!</v>
      </c>
      <c r="R53" s="124" t="str">
        <f t="shared" si="5"/>
        <v>#VALUE!</v>
      </c>
      <c r="S53" s="125" t="str">
        <f t="shared" si="6"/>
        <v>#VALUE!</v>
      </c>
      <c r="T53" s="125" t="str">
        <f t="shared" si="7"/>
        <v>#VALUE!</v>
      </c>
      <c r="U53" s="83">
        <f t="shared" si="8"/>
        <v>0</v>
      </c>
      <c r="V53" s="88" t="str">
        <f>ifs($N53="",VLOOKUP($C53&amp;$F53,'MARCH - VISIT DATA'!$A$2:$J600,7,FALSE), $N53="SWAB","OUTSA-RW",$N53="SWQU","OUTSA-SaQu", AND($L53="X",$M53="X",$N53="QUEST"),"OUT-UAQPre",$N53="QUEST","OUT-UAQ", $N53="Walk in","ColUATele")</f>
        <v>UA-Prelim</v>
      </c>
      <c r="W53" s="70" t="str">
        <f t="shared" si="9"/>
        <v>UA-Prelim : Preliminary UA Test</v>
      </c>
      <c r="X53" s="64" t="str">
        <f t="shared" si="10"/>
        <v>UA-Prelim : Preliminary UA Test</v>
      </c>
      <c r="Y53" s="64" t="str">
        <f t="shared" si="11"/>
        <v>MATCH</v>
      </c>
      <c r="Z53" s="66" t="str">
        <f t="shared" si="12"/>
        <v> </v>
      </c>
      <c r="AA53" s="71"/>
    </row>
    <row r="54" ht="15.75" customHeight="1">
      <c r="A54" s="56" t="str">
        <f t="shared" si="1"/>
        <v>1757544623</v>
      </c>
      <c r="B54" s="56" t="str">
        <f>IFS($C54=FALSE,"",$C54,VLOOKUP($C54,'PATIENT DATA (072721)'!A:C, 2, 0))</f>
        <v>BURTON, MARY</v>
      </c>
      <c r="C54" s="57">
        <v>17575.0</v>
      </c>
      <c r="D54" s="127" t="str">
        <f>IF(COUNTIF('PATIENT DATA (072721)'!A:A, C54)=0, "X","✓")</f>
        <v>✓</v>
      </c>
      <c r="E54" s="79">
        <f>IFS($C54=FALSE,"",$C54,VLOOKUP($C54,'PATIENT DATA (072721)'!A:C, 3, 0))</f>
        <v>30266</v>
      </c>
      <c r="F54" s="80">
        <v>44623.0</v>
      </c>
      <c r="G54" s="81">
        <f>ifs($C54="","",$C54, VLOOKUP($C54&amp;$F54, 'MARCH - VISIT DATA'!A:O,3,0))</f>
        <v>0.5625</v>
      </c>
      <c r="H54" s="83" t="s">
        <v>6558</v>
      </c>
      <c r="I54" s="122" t="str">
        <f>VLOOKUP($C54&amp;$F54,'MARCH - VISIT DATA'!A:J, 9, FALSE)</f>
        <v>MARTINEZ</v>
      </c>
      <c r="J54" s="85" t="str">
        <f>VLOOKUP(C54&amp;F54,'MARCH - VISIT DATA'!A:O,10,FALSE)</f>
        <v>TRICARE PRIME</v>
      </c>
      <c r="K54" s="86"/>
      <c r="L54" s="86" t="s">
        <v>6559</v>
      </c>
      <c r="M54" s="86"/>
      <c r="N54" s="86"/>
      <c r="O54" s="121" t="str">
        <f t="shared" si="2"/>
        <v>✓</v>
      </c>
      <c r="P54" s="79" t="str">
        <f t="shared" si="3"/>
        <v>#VALUE!</v>
      </c>
      <c r="Q54" s="123" t="str">
        <f t="shared" si="4"/>
        <v>#VALUE!</v>
      </c>
      <c r="R54" s="124" t="str">
        <f t="shared" si="5"/>
        <v>#VALUE!</v>
      </c>
      <c r="S54" s="125" t="str">
        <f t="shared" si="6"/>
        <v>#VALUE!</v>
      </c>
      <c r="T54" s="125" t="str">
        <f t="shared" si="7"/>
        <v>#VALUE!</v>
      </c>
      <c r="U54" s="83">
        <f t="shared" si="8"/>
        <v>0</v>
      </c>
      <c r="V54" s="88" t="str">
        <f>ifs($N54="",VLOOKUP($C54&amp;$F54,'MARCH - VISIT DATA'!$A$2:$J600,7,FALSE), $N54="SWAB","OUTSA-RW",$N54="SWQU","OUTSA-SaQu", AND($L54="X",$M54="X",$N54="QUEST"),"OUT-UAQPre",$N54="QUEST","OUT-UAQ", $N54="Walk in","ColUATele")</f>
        <v>UA</v>
      </c>
      <c r="W54" s="70" t="str">
        <f t="shared" si="9"/>
        <v>UA : Urine Analysis In House</v>
      </c>
      <c r="X54" s="64" t="str">
        <f t="shared" si="10"/>
        <v>UA : Urine Analysis In House</v>
      </c>
      <c r="Y54" s="64" t="str">
        <f t="shared" si="11"/>
        <v>MATCH</v>
      </c>
      <c r="Z54" s="66" t="str">
        <f t="shared" si="12"/>
        <v> </v>
      </c>
      <c r="AA54" s="71"/>
    </row>
    <row r="55" ht="15.75" hidden="1" customHeight="1">
      <c r="A55" s="56" t="str">
        <f t="shared" si="1"/>
        <v>1794844623</v>
      </c>
      <c r="B55" s="56" t="str">
        <f>IFS($C55=FALSE,"",$C55,VLOOKUP($C55,'PATIENT DATA (072721)'!A:C, 2, 0))</f>
        <v>RODRIGUEZ, FERNANDA I</v>
      </c>
      <c r="C55" s="57">
        <v>17948.0</v>
      </c>
      <c r="D55" s="127" t="str">
        <f>IF(COUNTIF('PATIENT DATA (072721)'!A:A, C55)=0, "X","✓")</f>
        <v>✓</v>
      </c>
      <c r="E55" s="79">
        <f>IFS($C55=FALSE,"",$C55,VLOOKUP($C55,'PATIENT DATA (072721)'!A:C, 3, 0))</f>
        <v>21335</v>
      </c>
      <c r="F55" s="80">
        <v>44623.0</v>
      </c>
      <c r="G55" s="81">
        <f>ifs($C55="","",$C55, VLOOKUP($C55&amp;$F55, 'MARCH - VISIT DATA'!A:O,3,0))</f>
        <v>0.5625</v>
      </c>
      <c r="H55" s="83" t="s">
        <v>6560</v>
      </c>
      <c r="I55" s="122" t="str">
        <f>VLOOKUP($C55&amp;$F55,'MARCH - VISIT DATA'!A:J, 9, FALSE)</f>
        <v>TORRES</v>
      </c>
      <c r="J55" s="85" t="str">
        <f>VLOOKUP(C55&amp;F55,'MARCH - VISIT DATA'!A:O,10,FALSE)</f>
        <v>AMBETTER - SUPERIOR</v>
      </c>
      <c r="K55" s="86"/>
      <c r="L55" s="86" t="s">
        <v>6559</v>
      </c>
      <c r="M55" s="86" t="s">
        <v>6559</v>
      </c>
      <c r="N55" s="86"/>
      <c r="O55" s="121" t="str">
        <f t="shared" si="2"/>
        <v>✓</v>
      </c>
      <c r="P55" s="79" t="str">
        <f t="shared" si="3"/>
        <v>#VALUE!</v>
      </c>
      <c r="Q55" s="123" t="str">
        <f t="shared" si="4"/>
        <v>#VALUE!</v>
      </c>
      <c r="R55" s="124" t="str">
        <f t="shared" si="5"/>
        <v>#VALUE!</v>
      </c>
      <c r="S55" s="125" t="str">
        <f t="shared" si="6"/>
        <v>#VALUE!</v>
      </c>
      <c r="T55" s="125" t="str">
        <f t="shared" si="7"/>
        <v>#VALUE!</v>
      </c>
      <c r="U55" s="83">
        <f t="shared" si="8"/>
        <v>0</v>
      </c>
      <c r="V55" s="88" t="str">
        <f>ifs($N55="",VLOOKUP($C55&amp;$F55,'MARCH - VISIT DATA'!$A$2:$J600,7,FALSE), $N55="SWAB","OUTSA-RW",$N55="SWQU","OUTSA-SaQu", AND($L55="X",$M55="X",$N55="QUEST"),"OUT-UAQPre",$N55="QUEST","OUT-UAQ", $N55="Walk in","ColUATele")</f>
        <v>UA-Prelim</v>
      </c>
      <c r="W55" s="70" t="str">
        <f t="shared" si="9"/>
        <v>UA-Prelim : Preliminary UA Test</v>
      </c>
      <c r="X55" s="64" t="str">
        <f t="shared" si="10"/>
        <v>UA-Prelim : Preliminary UA Test</v>
      </c>
      <c r="Y55" s="64" t="str">
        <f t="shared" si="11"/>
        <v>MATCH</v>
      </c>
      <c r="Z55" s="66" t="str">
        <f t="shared" si="12"/>
        <v> </v>
      </c>
      <c r="AA55" s="71"/>
    </row>
    <row r="56" ht="15.75" customHeight="1">
      <c r="A56" s="56" t="str">
        <f t="shared" si="1"/>
        <v>1718244623</v>
      </c>
      <c r="B56" s="56" t="str">
        <f>IFS($C56=FALSE,"",$C56,VLOOKUP($C56,'PATIENT DATA (072721)'!A:C, 2, 0))</f>
        <v>BASS, CHARLES</v>
      </c>
      <c r="C56" s="57">
        <v>17182.0</v>
      </c>
      <c r="D56" s="127" t="str">
        <f>IF(COUNTIF('PATIENT DATA (072721)'!A:A, C56)=0, "X","✓")</f>
        <v>✓</v>
      </c>
      <c r="E56" s="79">
        <f>IFS($C56=FALSE,"",$C56,VLOOKUP($C56,'PATIENT DATA (072721)'!A:C, 3, 0))</f>
        <v>24399</v>
      </c>
      <c r="F56" s="80">
        <v>44623.0</v>
      </c>
      <c r="G56" s="81">
        <f>ifs($C56="","",$C56, VLOOKUP($C56&amp;$F56, 'MARCH - VISIT DATA'!A:O,3,0))</f>
        <v>0.5729166667</v>
      </c>
      <c r="H56" s="83" t="s">
        <v>6558</v>
      </c>
      <c r="I56" s="122" t="str">
        <f>VLOOKUP($C56&amp;$F56,'MARCH - VISIT DATA'!A:J, 9, FALSE)</f>
        <v>MARTINEZ</v>
      </c>
      <c r="J56" s="85" t="str">
        <f>VLOOKUP(C56&amp;F56,'MARCH - VISIT DATA'!A:O,10,FALSE)</f>
        <v>WPS VA - COMMUNITY CARE</v>
      </c>
      <c r="K56" s="86"/>
      <c r="L56" s="86" t="s">
        <v>6559</v>
      </c>
      <c r="M56" s="86"/>
      <c r="N56" s="86"/>
      <c r="O56" s="121" t="str">
        <f t="shared" si="2"/>
        <v>✓</v>
      </c>
      <c r="P56" s="79" t="str">
        <f t="shared" si="3"/>
        <v>#VALUE!</v>
      </c>
      <c r="Q56" s="123" t="str">
        <f t="shared" si="4"/>
        <v>#VALUE!</v>
      </c>
      <c r="R56" s="124" t="str">
        <f t="shared" si="5"/>
        <v>#VALUE!</v>
      </c>
      <c r="S56" s="125" t="str">
        <f t="shared" si="6"/>
        <v>#VALUE!</v>
      </c>
      <c r="T56" s="125" t="str">
        <f t="shared" si="7"/>
        <v>#VALUE!</v>
      </c>
      <c r="U56" s="83">
        <f t="shared" si="8"/>
        <v>0</v>
      </c>
      <c r="V56" s="88" t="str">
        <f>ifs($N56="",VLOOKUP($C56&amp;$F56,'MARCH - VISIT DATA'!$A$2:$J600,7,FALSE), $N56="SWAB","OUTSA-RW",$N56="SWQU","OUTSA-SaQu", AND($L56="X",$M56="X",$N56="QUEST"),"OUT-UAQPre",$N56="QUEST","OUT-UAQ", $N56="Walk in","ColUATele")</f>
        <v>UA</v>
      </c>
      <c r="W56" s="70" t="str">
        <f t="shared" si="9"/>
        <v>UA : Urine Analysis In House</v>
      </c>
      <c r="X56" s="64" t="str">
        <f t="shared" si="10"/>
        <v>UA : Urine Analysis In House</v>
      </c>
      <c r="Y56" s="64" t="str">
        <f t="shared" si="11"/>
        <v>MATCH</v>
      </c>
      <c r="Z56" s="66" t="str">
        <f t="shared" si="12"/>
        <v> </v>
      </c>
      <c r="AA56" s="71"/>
    </row>
    <row r="57" ht="15.75" customHeight="1">
      <c r="A57" s="56" t="str">
        <f t="shared" si="1"/>
        <v>1429344623</v>
      </c>
      <c r="B57" s="56" t="str">
        <f>IFS($C57=FALSE,"",$C57,VLOOKUP($C57,'PATIENT DATA (072721)'!A:C, 2, 0))</f>
        <v>RUSSELL, SHARON L</v>
      </c>
      <c r="C57" s="57">
        <v>14293.0</v>
      </c>
      <c r="D57" s="127" t="str">
        <f>IF(COUNTIF('PATIENT DATA (072721)'!A:A, C57)=0, "X","✓")</f>
        <v>✓</v>
      </c>
      <c r="E57" s="79">
        <f>IFS($C57=FALSE,"",$C57,VLOOKUP($C57,'PATIENT DATA (072721)'!A:C, 3, 0))</f>
        <v>15468</v>
      </c>
      <c r="F57" s="80">
        <v>44623.0</v>
      </c>
      <c r="G57" s="81">
        <f>ifs($C57="","",$C57, VLOOKUP($C57&amp;$F57, 'MARCH - VISIT DATA'!A:O,3,0))</f>
        <v>0.5833333333</v>
      </c>
      <c r="H57" s="83" t="s">
        <v>6558</v>
      </c>
      <c r="I57" s="122" t="str">
        <f>VLOOKUP($C57&amp;$F57,'MARCH - VISIT DATA'!A:J, 9, FALSE)</f>
        <v>MARTINEZ</v>
      </c>
      <c r="J57" s="85" t="str">
        <f>VLOOKUP(C57&amp;F57,'MARCH - VISIT DATA'!A:O,10,FALSE)</f>
        <v>HUMANA GOLD PLUS HMO</v>
      </c>
      <c r="K57" s="86"/>
      <c r="L57" s="86" t="s">
        <v>6559</v>
      </c>
      <c r="M57" s="86"/>
      <c r="N57" s="86"/>
      <c r="O57" s="121" t="str">
        <f t="shared" si="2"/>
        <v>✓</v>
      </c>
      <c r="P57" s="79" t="str">
        <f t="shared" si="3"/>
        <v>#VALUE!</v>
      </c>
      <c r="Q57" s="123" t="str">
        <f t="shared" si="4"/>
        <v>#VALUE!</v>
      </c>
      <c r="R57" s="124" t="str">
        <f t="shared" si="5"/>
        <v>#VALUE!</v>
      </c>
      <c r="S57" s="125" t="str">
        <f t="shared" si="6"/>
        <v>#VALUE!</v>
      </c>
      <c r="T57" s="125" t="str">
        <f t="shared" si="7"/>
        <v>#VALUE!</v>
      </c>
      <c r="U57" s="83">
        <f t="shared" si="8"/>
        <v>0</v>
      </c>
      <c r="V57" s="88" t="str">
        <f>ifs($N57="",VLOOKUP($C57&amp;$F57,'MARCH - VISIT DATA'!$A$2:$J600,7,FALSE), $N57="SWAB","OUTSA-RW",$N57="SWQU","OUTSA-SaQu", AND($L57="X",$M57="X",$N57="QUEST"),"OUT-UAQPre",$N57="QUEST","OUT-UAQ", $N57="Walk in","ColUATele")</f>
        <v>UA</v>
      </c>
      <c r="W57" s="70" t="str">
        <f t="shared" si="9"/>
        <v>UA : Urine Analysis In House</v>
      </c>
      <c r="X57" s="64" t="str">
        <f t="shared" si="10"/>
        <v>UA : Urine Analysis In House</v>
      </c>
      <c r="Y57" s="64" t="str">
        <f t="shared" si="11"/>
        <v>MATCH</v>
      </c>
      <c r="Z57" s="66" t="str">
        <f t="shared" si="12"/>
        <v> </v>
      </c>
      <c r="AA57" s="71"/>
    </row>
    <row r="58" ht="15.75" hidden="1" customHeight="1">
      <c r="A58" s="56" t="str">
        <f t="shared" si="1"/>
        <v>1687544623</v>
      </c>
      <c r="B58" s="56" t="str">
        <f>IFS($C58=FALSE,"",$C58,VLOOKUP($C58,'PATIENT DATA (072721)'!A:C, 2, 0))</f>
        <v>ROGERS, STEVEN R</v>
      </c>
      <c r="C58" s="57">
        <v>16875.0</v>
      </c>
      <c r="D58" s="127" t="str">
        <f>IF(COUNTIF('PATIENT DATA (072721)'!A:A, C58)=0, "X","✓")</f>
        <v>✓</v>
      </c>
      <c r="E58" s="79">
        <f>IFS($C58=FALSE,"",$C58,VLOOKUP($C58,'PATIENT DATA (072721)'!A:C, 3, 0))</f>
        <v>19869</v>
      </c>
      <c r="F58" s="80">
        <v>44623.0</v>
      </c>
      <c r="G58" s="81">
        <f>ifs($C58="","",$C58, VLOOKUP($C58&amp;$F58, 'MARCH - VISIT DATA'!A:O,3,0))</f>
        <v>0.5833333333</v>
      </c>
      <c r="H58" s="83" t="s">
        <v>6561</v>
      </c>
      <c r="I58" s="122" t="str">
        <f>VLOOKUP($C58&amp;$F58,'MARCH - VISIT DATA'!A:J, 9, FALSE)</f>
        <v>LOPEZ</v>
      </c>
      <c r="J58" s="85" t="str">
        <f>VLOOKUP(C58&amp;F58,'MARCH - VISIT DATA'!A:O,10,FALSE)</f>
        <v>WPS VA - COMMUNITY CARE</v>
      </c>
      <c r="K58" s="86"/>
      <c r="L58" s="86" t="s">
        <v>6559</v>
      </c>
      <c r="M58" s="86" t="s">
        <v>6559</v>
      </c>
      <c r="N58" s="86"/>
      <c r="O58" s="121" t="str">
        <f t="shared" si="2"/>
        <v>✓</v>
      </c>
      <c r="P58" s="79" t="str">
        <f t="shared" si="3"/>
        <v>#VALUE!</v>
      </c>
      <c r="Q58" s="123" t="str">
        <f t="shared" si="4"/>
        <v>#VALUE!</v>
      </c>
      <c r="R58" s="124" t="str">
        <f t="shared" si="5"/>
        <v>#VALUE!</v>
      </c>
      <c r="S58" s="125" t="str">
        <f t="shared" si="6"/>
        <v>#VALUE!</v>
      </c>
      <c r="T58" s="125" t="str">
        <f t="shared" si="7"/>
        <v>#VALUE!</v>
      </c>
      <c r="U58" s="83">
        <f t="shared" si="8"/>
        <v>0</v>
      </c>
      <c r="V58" s="88" t="str">
        <f>ifs($N58="",VLOOKUP($C58&amp;$F58,'MARCH - VISIT DATA'!$A$2:$J600,7,FALSE), $N58="SWAB","OUTSA-RW",$N58="SWQU","OUTSA-SaQu", AND($L58="X",$M58="X",$N58="QUEST"),"OUT-UAQPre",$N58="QUEST","OUT-UAQ", $N58="Walk in","ColUATele")</f>
        <v>UA-Prelim</v>
      </c>
      <c r="W58" s="70" t="str">
        <f t="shared" si="9"/>
        <v>UA-Prelim : Preliminary UA Test</v>
      </c>
      <c r="X58" s="64" t="str">
        <f t="shared" si="10"/>
        <v>UA-Prelim : Preliminary UA Test</v>
      </c>
      <c r="Y58" s="64" t="str">
        <f t="shared" si="11"/>
        <v>MATCH</v>
      </c>
      <c r="Z58" s="66" t="str">
        <f t="shared" si="12"/>
        <v> </v>
      </c>
      <c r="AA58" s="71"/>
    </row>
    <row r="59" ht="15.75" hidden="1" customHeight="1">
      <c r="A59" s="56" t="str">
        <f t="shared" si="1"/>
        <v>941644623</v>
      </c>
      <c r="B59" s="56" t="str">
        <f>IFS($C59=FALSE,"",$C59,VLOOKUP($C59,'PATIENT DATA (072721)'!A:C, 2, 0))</f>
        <v>DOHERTY, WILLIAM</v>
      </c>
      <c r="C59" s="57">
        <v>9416.0</v>
      </c>
      <c r="D59" s="127" t="str">
        <f>IF(COUNTIF('PATIENT DATA (072721)'!A:A, C59)=0, "X","✓")</f>
        <v>✓</v>
      </c>
      <c r="E59" s="79">
        <f>IFS($C59=FALSE,"",$C59,VLOOKUP($C59,'PATIENT DATA (072721)'!A:C, 3, 0))</f>
        <v>30339</v>
      </c>
      <c r="F59" s="80">
        <v>44623.0</v>
      </c>
      <c r="G59" s="81">
        <f>ifs($C59="","",$C59, VLOOKUP($C59&amp;$F59, 'MARCH - VISIT DATA'!A:O,3,0))</f>
        <v>0.6041666667</v>
      </c>
      <c r="H59" s="83" t="s">
        <v>6558</v>
      </c>
      <c r="I59" s="122" t="str">
        <f>VLOOKUP($C59&amp;$F59,'MARCH - VISIT DATA'!A:J, 9, FALSE)</f>
        <v>MARTINEZ</v>
      </c>
      <c r="J59" s="85" t="str">
        <f>VLOOKUP(C59&amp;F59,'MARCH - VISIT DATA'!A:O,10,FALSE)</f>
        <v>BCBSTX PPO</v>
      </c>
      <c r="K59" s="86"/>
      <c r="L59" s="86" t="s">
        <v>6559</v>
      </c>
      <c r="M59" s="86" t="s">
        <v>6559</v>
      </c>
      <c r="N59" s="86"/>
      <c r="O59" s="121" t="str">
        <f t="shared" si="2"/>
        <v>✓</v>
      </c>
      <c r="P59" s="79" t="str">
        <f t="shared" si="3"/>
        <v>#VALUE!</v>
      </c>
      <c r="Q59" s="123" t="str">
        <f t="shared" si="4"/>
        <v>#VALUE!</v>
      </c>
      <c r="R59" s="124" t="str">
        <f t="shared" si="5"/>
        <v>#VALUE!</v>
      </c>
      <c r="S59" s="125" t="str">
        <f t="shared" si="6"/>
        <v>#VALUE!</v>
      </c>
      <c r="T59" s="125" t="str">
        <f t="shared" si="7"/>
        <v>#VALUE!</v>
      </c>
      <c r="U59" s="83">
        <f t="shared" si="8"/>
        <v>0</v>
      </c>
      <c r="V59" s="88" t="str">
        <f>ifs($N59="",VLOOKUP($C59&amp;$F59,'MARCH - VISIT DATA'!$A$2:$J600,7,FALSE), $N59="SWAB","OUTSA-RW",$N59="SWQU","OUTSA-SaQu", AND($L59="X",$M59="X",$N59="QUEST"),"OUT-UAQPre",$N59="QUEST","OUT-UAQ", $N59="Walk in","ColUATele")</f>
        <v>UA-Prelim</v>
      </c>
      <c r="W59" s="70" t="str">
        <f t="shared" si="9"/>
        <v>UA-Prelim : Preliminary UA Test</v>
      </c>
      <c r="X59" s="64" t="str">
        <f t="shared" si="10"/>
        <v>UA-Prelim : Preliminary UA Test</v>
      </c>
      <c r="Y59" s="64" t="str">
        <f t="shared" si="11"/>
        <v>MATCH</v>
      </c>
      <c r="Z59" s="66" t="str">
        <f t="shared" si="12"/>
        <v> </v>
      </c>
      <c r="AA59" s="71"/>
    </row>
    <row r="60" ht="15.75" customHeight="1">
      <c r="A60" s="56" t="str">
        <f t="shared" si="1"/>
        <v>979444623</v>
      </c>
      <c r="B60" s="56" t="str">
        <f>IFS($C60=FALSE,"",$C60,VLOOKUP($C60,'PATIENT DATA (072721)'!A:C, 2, 0))</f>
        <v>RAMIREZ, RICARDO J</v>
      </c>
      <c r="C60" s="57">
        <v>9794.0</v>
      </c>
      <c r="D60" s="127" t="str">
        <f>IF(COUNTIF('PATIENT DATA (072721)'!A:A, C60)=0, "X","✓")</f>
        <v>✓</v>
      </c>
      <c r="E60" s="79">
        <f>IFS($C60=FALSE,"",$C60,VLOOKUP($C60,'PATIENT DATA (072721)'!A:C, 3, 0))</f>
        <v>24881</v>
      </c>
      <c r="F60" s="80">
        <v>44623.0</v>
      </c>
      <c r="G60" s="81">
        <f>ifs($C60="","",$C60, VLOOKUP($C60&amp;$F60, 'MARCH - VISIT DATA'!A:O,3,0))</f>
        <v>0.6041666667</v>
      </c>
      <c r="H60" s="83" t="s">
        <v>6558</v>
      </c>
      <c r="I60" s="122" t="str">
        <f>VLOOKUP($C60&amp;$F60,'MARCH - VISIT DATA'!A:J, 9, FALSE)</f>
        <v>MARTINEZ</v>
      </c>
      <c r="J60" s="85" t="str">
        <f>VLOOKUP(C60&amp;F60,'MARCH - VISIT DATA'!A:O,10,FALSE)</f>
        <v>AMBETTER - SUPERIOR</v>
      </c>
      <c r="K60" s="86"/>
      <c r="L60" s="86" t="s">
        <v>6559</v>
      </c>
      <c r="M60" s="86"/>
      <c r="N60" s="86"/>
      <c r="O60" s="121" t="str">
        <f t="shared" si="2"/>
        <v>✓</v>
      </c>
      <c r="P60" s="79" t="str">
        <f t="shared" si="3"/>
        <v>#VALUE!</v>
      </c>
      <c r="Q60" s="123" t="str">
        <f t="shared" si="4"/>
        <v>#VALUE!</v>
      </c>
      <c r="R60" s="124" t="str">
        <f t="shared" si="5"/>
        <v>#VALUE!</v>
      </c>
      <c r="S60" s="125" t="str">
        <f t="shared" si="6"/>
        <v>#VALUE!</v>
      </c>
      <c r="T60" s="125" t="str">
        <f t="shared" si="7"/>
        <v>#VALUE!</v>
      </c>
      <c r="U60" s="83">
        <f t="shared" si="8"/>
        <v>0</v>
      </c>
      <c r="V60" s="88" t="str">
        <f>ifs($N60="",VLOOKUP($C60&amp;$F60,'MARCH - VISIT DATA'!$A$2:$J600,7,FALSE), $N60="SWAB","OUTSA-RW",$N60="SWQU","OUTSA-SaQu", AND($L60="X",$M60="X",$N60="QUEST"),"OUT-UAQPre",$N60="QUEST","OUT-UAQ", $N60="Walk in","ColUATele")</f>
        <v>UA</v>
      </c>
      <c r="W60" s="70" t="str">
        <f t="shared" si="9"/>
        <v>UA : Urine Analysis In House</v>
      </c>
      <c r="X60" s="64" t="str">
        <f t="shared" si="10"/>
        <v>UA : Urine Analysis In House</v>
      </c>
      <c r="Y60" s="64" t="str">
        <f t="shared" si="11"/>
        <v>MATCH</v>
      </c>
      <c r="Z60" s="66" t="str">
        <f t="shared" si="12"/>
        <v> </v>
      </c>
      <c r="AA60" s="71"/>
    </row>
    <row r="61" ht="15.75" customHeight="1">
      <c r="A61" s="56" t="str">
        <f t="shared" si="1"/>
        <v>1634744623</v>
      </c>
      <c r="B61" s="56" t="str">
        <f>IFS($C61=FALSE,"",$C61,VLOOKUP($C61,'PATIENT DATA (072721)'!A:C, 2, 0))</f>
        <v>HERNANDEZ, ANA A</v>
      </c>
      <c r="C61" s="57">
        <v>16347.0</v>
      </c>
      <c r="D61" s="127" t="str">
        <f>IF(COUNTIF('PATIENT DATA (072721)'!A:A, C61)=0, "X","✓")</f>
        <v>✓</v>
      </c>
      <c r="E61" s="79">
        <f>IFS($C61=FALSE,"",$C61,VLOOKUP($C61,'PATIENT DATA (072721)'!A:C, 3, 0))</f>
        <v>21818</v>
      </c>
      <c r="F61" s="80">
        <v>44623.0</v>
      </c>
      <c r="G61" s="81">
        <f>ifs($C61="","",$C61, VLOOKUP($C61&amp;$F61, 'MARCH - VISIT DATA'!A:O,3,0))</f>
        <v>0.6041666667</v>
      </c>
      <c r="H61" s="83" t="s">
        <v>6560</v>
      </c>
      <c r="I61" s="122" t="str">
        <f>VLOOKUP($C61&amp;$F61,'MARCH - VISIT DATA'!A:J, 9, FALSE)</f>
        <v>TORRES</v>
      </c>
      <c r="J61" s="85" t="str">
        <f>VLOOKUP(C61&amp;F61,'MARCH - VISIT DATA'!A:O,10,FALSE)</f>
        <v>MEDICARE TEXAS</v>
      </c>
      <c r="K61" s="86"/>
      <c r="L61" s="86" t="s">
        <v>6559</v>
      </c>
      <c r="M61" s="86"/>
      <c r="N61" s="86"/>
      <c r="O61" s="121" t="str">
        <f t="shared" si="2"/>
        <v>✓</v>
      </c>
      <c r="P61" s="79" t="str">
        <f t="shared" si="3"/>
        <v>#VALUE!</v>
      </c>
      <c r="Q61" s="123" t="str">
        <f t="shared" si="4"/>
        <v>#VALUE!</v>
      </c>
      <c r="R61" s="124" t="str">
        <f t="shared" si="5"/>
        <v>#VALUE!</v>
      </c>
      <c r="S61" s="125" t="str">
        <f t="shared" si="6"/>
        <v>#VALUE!</v>
      </c>
      <c r="T61" s="125" t="str">
        <f t="shared" si="7"/>
        <v>#VALUE!</v>
      </c>
      <c r="U61" s="83">
        <f t="shared" si="8"/>
        <v>0</v>
      </c>
      <c r="V61" s="88" t="str">
        <f>ifs($N61="",VLOOKUP($C61&amp;$F61,'MARCH - VISIT DATA'!$A$2:$J600,7,FALSE), $N61="SWAB","OUTSA-RW",$N61="SWQU","OUTSA-SaQu", AND($L61="X",$M61="X",$N61="QUEST"),"OUT-UAQPre",$N61="QUEST","OUT-UAQ", $N61="Walk in","ColUATele")</f>
        <v>UA</v>
      </c>
      <c r="W61" s="70" t="str">
        <f t="shared" si="9"/>
        <v>UA : Urine Analysis In House</v>
      </c>
      <c r="X61" s="64" t="str">
        <f t="shared" si="10"/>
        <v>UA : Urine Analysis In House</v>
      </c>
      <c r="Y61" s="64" t="str">
        <f t="shared" si="11"/>
        <v>MATCH</v>
      </c>
      <c r="Z61" s="66" t="str">
        <f t="shared" si="12"/>
        <v> </v>
      </c>
      <c r="AA61" s="71"/>
    </row>
    <row r="62" ht="15.75" customHeight="1">
      <c r="A62" s="56" t="str">
        <f t="shared" si="1"/>
        <v>1287544623</v>
      </c>
      <c r="B62" s="56" t="str">
        <f>IFS($C62=FALSE,"",$C62,VLOOKUP($C62,'PATIENT DATA (072721)'!A:C, 2, 0))</f>
        <v>LARA, ANTONIO</v>
      </c>
      <c r="C62" s="57">
        <v>12875.0</v>
      </c>
      <c r="D62" s="127" t="str">
        <f>IF(COUNTIF('PATIENT DATA (072721)'!A:A, C62)=0, "X","✓")</f>
        <v>✓</v>
      </c>
      <c r="E62" s="79">
        <f>IFS($C62=FALSE,"",$C62,VLOOKUP($C62,'PATIENT DATA (072721)'!A:C, 3, 0))</f>
        <v>21789</v>
      </c>
      <c r="F62" s="80">
        <v>44623.0</v>
      </c>
      <c r="G62" s="81">
        <f>ifs($C62="","",$C62, VLOOKUP($C62&amp;$F62, 'MARCH - VISIT DATA'!A:O,3,0))</f>
        <v>0.6145833333</v>
      </c>
      <c r="H62" s="83" t="s">
        <v>6560</v>
      </c>
      <c r="I62" s="122" t="str">
        <f>VLOOKUP($C62&amp;$F62,'MARCH - VISIT DATA'!A:J, 9, FALSE)</f>
        <v>TORRES</v>
      </c>
      <c r="J62" s="85" t="str">
        <f>VLOOKUP(C62&amp;F62,'MARCH - VISIT DATA'!A:O,10,FALSE)</f>
        <v>AETNA</v>
      </c>
      <c r="K62" s="86"/>
      <c r="L62" s="86" t="s">
        <v>6559</v>
      </c>
      <c r="M62" s="86"/>
      <c r="N62" s="86"/>
      <c r="O62" s="121" t="str">
        <f t="shared" si="2"/>
        <v>✓</v>
      </c>
      <c r="P62" s="79" t="str">
        <f t="shared" si="3"/>
        <v>#VALUE!</v>
      </c>
      <c r="Q62" s="123" t="str">
        <f t="shared" si="4"/>
        <v>#VALUE!</v>
      </c>
      <c r="R62" s="124" t="str">
        <f t="shared" si="5"/>
        <v>#VALUE!</v>
      </c>
      <c r="S62" s="125" t="str">
        <f t="shared" si="6"/>
        <v>#VALUE!</v>
      </c>
      <c r="T62" s="125" t="str">
        <f t="shared" si="7"/>
        <v>#VALUE!</v>
      </c>
      <c r="U62" s="83">
        <f t="shared" si="8"/>
        <v>0</v>
      </c>
      <c r="V62" s="88" t="str">
        <f>ifs($N62="",VLOOKUP($C62&amp;$F62,'MARCH - VISIT DATA'!$A$2:$J600,7,FALSE), $N62="SWAB","OUTSA-RW",$N62="SWQU","OUTSA-SaQu", AND($L62="X",$M62="X",$N62="QUEST"),"OUT-UAQPre",$N62="QUEST","OUT-UAQ", $N62="Walk in","ColUATele")</f>
        <v>UA</v>
      </c>
      <c r="W62" s="70" t="str">
        <f t="shared" si="9"/>
        <v>UA : Urine Analysis In House</v>
      </c>
      <c r="X62" s="64" t="str">
        <f t="shared" si="10"/>
        <v>UA : Urine Analysis In House</v>
      </c>
      <c r="Y62" s="64" t="str">
        <f t="shared" si="11"/>
        <v>MATCH</v>
      </c>
      <c r="Z62" s="66" t="str">
        <f t="shared" si="12"/>
        <v> </v>
      </c>
      <c r="AA62" s="71"/>
    </row>
    <row r="63" ht="15.75" customHeight="1">
      <c r="A63" s="56" t="str">
        <f t="shared" si="1"/>
        <v>1183044623</v>
      </c>
      <c r="B63" s="56" t="str">
        <f>IFS($C63=FALSE,"",$C63,VLOOKUP($C63,'PATIENT DATA (072721)'!A:C, 2, 0))</f>
        <v>MARESTEIN, OSCAR A</v>
      </c>
      <c r="C63" s="57">
        <v>11830.0</v>
      </c>
      <c r="D63" s="127" t="str">
        <f>IF(COUNTIF('PATIENT DATA (072721)'!A:A, C63)=0, "X","✓")</f>
        <v>✓</v>
      </c>
      <c r="E63" s="79">
        <f>IFS($C63=FALSE,"",$C63,VLOOKUP($C63,'PATIENT DATA (072721)'!A:C, 3, 0))</f>
        <v>28760</v>
      </c>
      <c r="F63" s="80">
        <v>44623.0</v>
      </c>
      <c r="G63" s="81">
        <f>ifs($C63="","",$C63, VLOOKUP($C63&amp;$F63, 'MARCH - VISIT DATA'!A:O,3,0))</f>
        <v>0.625</v>
      </c>
      <c r="H63" s="83" t="s">
        <v>6561</v>
      </c>
      <c r="I63" s="122" t="str">
        <f>VLOOKUP($C63&amp;$F63,'MARCH - VISIT DATA'!A:J, 9, FALSE)</f>
        <v>LOPEZ</v>
      </c>
      <c r="J63" s="85" t="str">
        <f>VLOOKUP(C63&amp;F63,'MARCH - VISIT DATA'!A:O,10,FALSE)</f>
        <v>AMERIVANTAGE DUAL</v>
      </c>
      <c r="K63" s="86"/>
      <c r="L63" s="86" t="s">
        <v>6559</v>
      </c>
      <c r="M63" s="86"/>
      <c r="N63" s="86"/>
      <c r="O63" s="121" t="str">
        <f t="shared" si="2"/>
        <v>✓</v>
      </c>
      <c r="P63" s="79" t="str">
        <f t="shared" si="3"/>
        <v>#VALUE!</v>
      </c>
      <c r="Q63" s="123" t="str">
        <f t="shared" si="4"/>
        <v>#VALUE!</v>
      </c>
      <c r="R63" s="124" t="str">
        <f t="shared" si="5"/>
        <v>#VALUE!</v>
      </c>
      <c r="S63" s="125" t="str">
        <f t="shared" si="6"/>
        <v>#VALUE!</v>
      </c>
      <c r="T63" s="125" t="str">
        <f t="shared" si="7"/>
        <v>#VALUE!</v>
      </c>
      <c r="U63" s="83">
        <f t="shared" si="8"/>
        <v>0</v>
      </c>
      <c r="V63" s="88" t="str">
        <f>ifs($N63="",VLOOKUP($C63&amp;$F63,'MARCH - VISIT DATA'!$A$2:$J600,7,FALSE), $N63="SWAB","OUTSA-RW",$N63="SWQU","OUTSA-SaQu", AND($L63="X",$M63="X",$N63="QUEST"),"OUT-UAQPre",$N63="QUEST","OUT-UAQ", $N63="Walk in","ColUATele")</f>
        <v>UA</v>
      </c>
      <c r="W63" s="70" t="str">
        <f t="shared" si="9"/>
        <v>UA : Urine Analysis In House</v>
      </c>
      <c r="X63" s="64" t="str">
        <f t="shared" si="10"/>
        <v>UA : Urine Analysis In House</v>
      </c>
      <c r="Y63" s="64" t="str">
        <f t="shared" si="11"/>
        <v>MATCH</v>
      </c>
      <c r="Z63" s="66" t="str">
        <f t="shared" si="12"/>
        <v> </v>
      </c>
      <c r="AA63" s="71"/>
    </row>
    <row r="64" ht="15.75" customHeight="1">
      <c r="A64" s="56" t="str">
        <f t="shared" si="1"/>
        <v>937644623</v>
      </c>
      <c r="B64" s="56" t="str">
        <f>IFS($C64=FALSE,"",$C64,VLOOKUP($C64,'PATIENT DATA (072721)'!A:C, 2, 0))</f>
        <v>HERNANDEZ, ALICIA</v>
      </c>
      <c r="C64" s="57">
        <v>9376.0</v>
      </c>
      <c r="D64" s="127" t="str">
        <f>IF(COUNTIF('PATIENT DATA (072721)'!A:A, C64)=0, "X","✓")</f>
        <v>✓</v>
      </c>
      <c r="E64" s="79">
        <f>IFS($C64=FALSE,"",$C64,VLOOKUP($C64,'PATIENT DATA (072721)'!A:C, 3, 0))</f>
        <v>18198</v>
      </c>
      <c r="F64" s="80">
        <v>44623.0</v>
      </c>
      <c r="G64" s="81">
        <f>ifs($C64="","",$C64, VLOOKUP($C64&amp;$F64, 'MARCH - VISIT DATA'!A:O,3,0))</f>
        <v>0.6354166667</v>
      </c>
      <c r="H64" s="83" t="s">
        <v>6562</v>
      </c>
      <c r="I64" s="122" t="str">
        <f>VLOOKUP($C64&amp;$F64,'MARCH - VISIT DATA'!A:J, 9, FALSE)</f>
        <v>THOMAS</v>
      </c>
      <c r="J64" s="85" t="str">
        <f>VLOOKUP(C64&amp;F64,'MARCH - VISIT DATA'!A:O,10,FALSE)</f>
        <v>MEDICARE TEXAS</v>
      </c>
      <c r="K64" s="86"/>
      <c r="L64" s="86" t="s">
        <v>6559</v>
      </c>
      <c r="M64" s="86"/>
      <c r="N64" s="86"/>
      <c r="O64" s="121" t="str">
        <f t="shared" si="2"/>
        <v>✓</v>
      </c>
      <c r="P64" s="79" t="str">
        <f t="shared" si="3"/>
        <v>#VALUE!</v>
      </c>
      <c r="Q64" s="123" t="str">
        <f t="shared" si="4"/>
        <v>#VALUE!</v>
      </c>
      <c r="R64" s="124" t="str">
        <f t="shared" si="5"/>
        <v>#VALUE!</v>
      </c>
      <c r="S64" s="125" t="str">
        <f t="shared" si="6"/>
        <v>#VALUE!</v>
      </c>
      <c r="T64" s="125" t="str">
        <f t="shared" si="7"/>
        <v>#VALUE!</v>
      </c>
      <c r="U64" s="83">
        <f t="shared" si="8"/>
        <v>0</v>
      </c>
      <c r="V64" s="88" t="str">
        <f>ifs($N64="",VLOOKUP($C64&amp;$F64,'MARCH - VISIT DATA'!$A$2:$J600,7,FALSE), $N64="SWAB","OUTSA-RW",$N64="SWQU","OUTSA-SaQu", AND($L64="X",$M64="X",$N64="QUEST"),"OUT-UAQPre",$N64="QUEST","OUT-UAQ", $N64="Walk in","ColUATele")</f>
        <v>UA</v>
      </c>
      <c r="W64" s="70" t="str">
        <f t="shared" si="9"/>
        <v>UA : Urine Analysis In House</v>
      </c>
      <c r="X64" s="64" t="str">
        <f t="shared" si="10"/>
        <v>UA : Urine Analysis In House</v>
      </c>
      <c r="Y64" s="64" t="str">
        <f t="shared" si="11"/>
        <v>MATCH</v>
      </c>
      <c r="Z64" s="66" t="str">
        <f t="shared" si="12"/>
        <v> </v>
      </c>
      <c r="AA64" s="71"/>
    </row>
    <row r="65" ht="15.75" hidden="1" customHeight="1">
      <c r="A65" s="56" t="str">
        <f t="shared" si="1"/>
        <v>1266244623</v>
      </c>
      <c r="B65" s="56" t="str">
        <f>IFS($C65=FALSE,"",$C65,VLOOKUP($C65,'PATIENT DATA (072721)'!A:C, 2, 0))</f>
        <v>ZUBIA, ADRIANA</v>
      </c>
      <c r="C65" s="57">
        <v>12662.0</v>
      </c>
      <c r="D65" s="127" t="str">
        <f>IF(COUNTIF('PATIENT DATA (072721)'!A:A, C65)=0, "X","✓")</f>
        <v>✓</v>
      </c>
      <c r="E65" s="79">
        <f>IFS($C65=FALSE,"",$C65,VLOOKUP($C65,'PATIENT DATA (072721)'!A:C, 3, 0))</f>
        <v>25947</v>
      </c>
      <c r="F65" s="80">
        <v>44623.0</v>
      </c>
      <c r="G65" s="81">
        <f>ifs($C65="","",$C65, VLOOKUP($C65&amp;$F65, 'MARCH - VISIT DATA'!A:O,3,0))</f>
        <v>0.6458333333</v>
      </c>
      <c r="H65" s="83" t="s">
        <v>6558</v>
      </c>
      <c r="I65" s="122" t="str">
        <f>VLOOKUP($C65&amp;$F65,'MARCH - VISIT DATA'!A:J, 9, FALSE)</f>
        <v>MARTINEZ</v>
      </c>
      <c r="J65" s="85" t="str">
        <f>VLOOKUP(C65&amp;F65,'MARCH - VISIT DATA'!A:O,10,FALSE)</f>
        <v>AMERIGROUP</v>
      </c>
      <c r="K65" s="86"/>
      <c r="L65" s="86" t="s">
        <v>6559</v>
      </c>
      <c r="M65" s="86" t="s">
        <v>6559</v>
      </c>
      <c r="N65" s="86"/>
      <c r="O65" s="121" t="str">
        <f t="shared" si="2"/>
        <v>✓</v>
      </c>
      <c r="P65" s="79" t="str">
        <f t="shared" si="3"/>
        <v>#VALUE!</v>
      </c>
      <c r="Q65" s="123" t="str">
        <f t="shared" si="4"/>
        <v>#VALUE!</v>
      </c>
      <c r="R65" s="124" t="str">
        <f t="shared" si="5"/>
        <v>#VALUE!</v>
      </c>
      <c r="S65" s="125" t="str">
        <f t="shared" si="6"/>
        <v>#VALUE!</v>
      </c>
      <c r="T65" s="125" t="str">
        <f t="shared" si="7"/>
        <v>#VALUE!</v>
      </c>
      <c r="U65" s="83">
        <f t="shared" si="8"/>
        <v>0</v>
      </c>
      <c r="V65" s="88" t="str">
        <f>ifs($N65="",VLOOKUP($C65&amp;$F65,'MARCH - VISIT DATA'!$A$2:$J600,7,FALSE), $N65="SWAB","OUTSA-RW",$N65="SWQU","OUTSA-SaQu", AND($L65="X",$M65="X",$N65="QUEST"),"OUT-UAQPre",$N65="QUEST","OUT-UAQ", $N65="Walk in","ColUATele")</f>
        <v>UA-Prelim</v>
      </c>
      <c r="W65" s="70" t="str">
        <f t="shared" si="9"/>
        <v>UA-Prelim : Preliminary UA Test</v>
      </c>
      <c r="X65" s="64" t="str">
        <f t="shared" si="10"/>
        <v>UA-Prelim : Preliminary UA Test</v>
      </c>
      <c r="Y65" s="64" t="str">
        <f t="shared" si="11"/>
        <v>MATCH</v>
      </c>
      <c r="Z65" s="66" t="str">
        <f t="shared" si="12"/>
        <v> </v>
      </c>
      <c r="AA65" s="71"/>
    </row>
    <row r="66" ht="15.75" customHeight="1">
      <c r="A66" s="56" t="str">
        <f t="shared" si="1"/>
        <v>1397044627</v>
      </c>
      <c r="B66" s="56" t="str">
        <f>IFS($C66=FALSE,"",$C66,VLOOKUP($C66,'PATIENT DATA (072721)'!A:C, 2, 0))</f>
        <v>ARELLANO, VIRGINIA</v>
      </c>
      <c r="C66" s="57">
        <v>13970.0</v>
      </c>
      <c r="D66" s="127" t="str">
        <f>IF(COUNTIF('PATIENT DATA (072721)'!A:A, C66)=0, "X","✓")</f>
        <v>✓</v>
      </c>
      <c r="E66" s="79">
        <f>IFS($C66=FALSE,"",$C66,VLOOKUP($C66,'PATIENT DATA (072721)'!A:C, 3, 0))</f>
        <v>16671</v>
      </c>
      <c r="F66" s="80">
        <v>44627.0</v>
      </c>
      <c r="G66" s="81">
        <f>ifs($C66="","",$C66, VLOOKUP($C66&amp;$F66, 'MARCH - VISIT DATA'!A:O,3,0))</f>
        <v>0.3333333333</v>
      </c>
      <c r="H66" s="83" t="s">
        <v>6558</v>
      </c>
      <c r="I66" s="122" t="str">
        <f>VLOOKUP($C66&amp;$F66,'MARCH - VISIT DATA'!A:J, 9, FALSE)</f>
        <v>MARTINEZ</v>
      </c>
      <c r="J66" s="85" t="str">
        <f>VLOOKUP(C66&amp;F66,'MARCH - VISIT DATA'!A:O,10,FALSE)</f>
        <v>UHC MEDICARE COMPLETE</v>
      </c>
      <c r="K66" s="86"/>
      <c r="L66" s="86" t="s">
        <v>6559</v>
      </c>
      <c r="M66" s="86"/>
      <c r="N66" s="86"/>
      <c r="O66" s="121" t="str">
        <f t="shared" si="2"/>
        <v>✓</v>
      </c>
      <c r="P66" s="79" t="str">
        <f t="shared" si="3"/>
        <v>#VALUE!</v>
      </c>
      <c r="Q66" s="123" t="str">
        <f t="shared" si="4"/>
        <v>#VALUE!</v>
      </c>
      <c r="R66" s="124" t="str">
        <f t="shared" si="5"/>
        <v>#VALUE!</v>
      </c>
      <c r="S66" s="125" t="str">
        <f t="shared" si="6"/>
        <v>#VALUE!</v>
      </c>
      <c r="T66" s="125" t="str">
        <f t="shared" si="7"/>
        <v>#VALUE!</v>
      </c>
      <c r="U66" s="83">
        <f t="shared" si="8"/>
        <v>0</v>
      </c>
      <c r="V66" s="88" t="str">
        <f>ifs($N66="",VLOOKUP($C66&amp;$F66,'MARCH - VISIT DATA'!$A$2:$J600,7,FALSE), $N66="SWAB","OUTSA-RW",$N66="SWQU","OUTSA-SaQu", AND($L66="X",$M66="X",$N66="QUEST"),"OUT-UAQPre",$N66="QUEST","OUT-UAQ", $N66="Walk in","ColUATele")</f>
        <v>UA</v>
      </c>
      <c r="W66" s="70" t="str">
        <f t="shared" si="9"/>
        <v>UA : Urine Analysis In House</v>
      </c>
      <c r="X66" s="64" t="str">
        <f t="shared" si="10"/>
        <v>UA : Urine Analysis In House</v>
      </c>
      <c r="Y66" s="64" t="str">
        <f t="shared" si="11"/>
        <v>MATCH</v>
      </c>
      <c r="Z66" s="66" t="str">
        <f t="shared" si="12"/>
        <v> </v>
      </c>
      <c r="AA66" s="71"/>
    </row>
    <row r="67" ht="15.75" customHeight="1">
      <c r="A67" s="56" t="str">
        <f t="shared" si="1"/>
        <v>1486244627</v>
      </c>
      <c r="B67" s="56" t="str">
        <f>IFS($C67=FALSE,"",$C67,VLOOKUP($C67,'PATIENT DATA (072721)'!A:C, 2, 0))</f>
        <v>ARAIZA, GUADALUPE</v>
      </c>
      <c r="C67" s="57">
        <v>14862.0</v>
      </c>
      <c r="D67" s="127" t="str">
        <f>IF(COUNTIF('PATIENT DATA (072721)'!A:A, C67)=0, "X","✓")</f>
        <v>✓</v>
      </c>
      <c r="E67" s="79">
        <f>IFS($C67=FALSE,"",$C67,VLOOKUP($C67,'PATIENT DATA (072721)'!A:C, 3, 0))</f>
        <v>24183</v>
      </c>
      <c r="F67" s="80">
        <v>44627.0</v>
      </c>
      <c r="G67" s="81">
        <f>ifs($C67="","",$C67, VLOOKUP($C67&amp;$F67, 'MARCH - VISIT DATA'!A:O,3,0))</f>
        <v>0.34375</v>
      </c>
      <c r="H67" s="83" t="s">
        <v>6558</v>
      </c>
      <c r="I67" s="122" t="str">
        <f>VLOOKUP($C67&amp;$F67,'MARCH - VISIT DATA'!A:J, 9, FALSE)</f>
        <v>MARTINEZ</v>
      </c>
      <c r="J67" s="85" t="str">
        <f>VLOOKUP(C67&amp;F67,'MARCH - VISIT DATA'!A:O,10,FALSE)</f>
        <v>AMERIGROUP</v>
      </c>
      <c r="K67" s="86"/>
      <c r="L67" s="86" t="s">
        <v>6559</v>
      </c>
      <c r="M67" s="86"/>
      <c r="N67" s="86"/>
      <c r="O67" s="121" t="str">
        <f t="shared" si="2"/>
        <v>✓</v>
      </c>
      <c r="P67" s="79" t="str">
        <f t="shared" si="3"/>
        <v>#VALUE!</v>
      </c>
      <c r="Q67" s="123" t="str">
        <f t="shared" si="4"/>
        <v>#VALUE!</v>
      </c>
      <c r="R67" s="124" t="str">
        <f t="shared" si="5"/>
        <v>#VALUE!</v>
      </c>
      <c r="S67" s="125" t="str">
        <f t="shared" si="6"/>
        <v>#VALUE!</v>
      </c>
      <c r="T67" s="125" t="str">
        <f t="shared" si="7"/>
        <v>#VALUE!</v>
      </c>
      <c r="U67" s="83">
        <f t="shared" si="8"/>
        <v>0</v>
      </c>
      <c r="V67" s="88" t="str">
        <f>ifs($N67="",VLOOKUP($C67&amp;$F67,'MARCH - VISIT DATA'!$A$2:$J600,7,FALSE), $N67="SWAB","OUTSA-RW",$N67="SWQU","OUTSA-SaQu", AND($L67="X",$M67="X",$N67="QUEST"),"OUT-UAQPre",$N67="QUEST","OUT-UAQ", $N67="Walk in","ColUATele")</f>
        <v>UA</v>
      </c>
      <c r="W67" s="70" t="str">
        <f t="shared" si="9"/>
        <v>UA : Urine Analysis In House</v>
      </c>
      <c r="X67" s="64" t="str">
        <f t="shared" si="10"/>
        <v>UA : Urine Analysis In House</v>
      </c>
      <c r="Y67" s="64" t="str">
        <f t="shared" si="11"/>
        <v>MATCH</v>
      </c>
      <c r="Z67" s="66" t="str">
        <f t="shared" si="12"/>
        <v> </v>
      </c>
      <c r="AA67" s="71"/>
    </row>
    <row r="68" ht="15.75" customHeight="1">
      <c r="A68" s="56" t="str">
        <f t="shared" si="1"/>
        <v>1814544627</v>
      </c>
      <c r="B68" s="56" t="str">
        <f>IFS($C68=FALSE,"",$C68,VLOOKUP($C68,'PATIENT DATA (072721)'!A:C, 2, 0))</f>
        <v>BLOT, RICHARD M</v>
      </c>
      <c r="C68" s="57">
        <v>18145.0</v>
      </c>
      <c r="D68" s="127" t="str">
        <f>IF(COUNTIF('PATIENT DATA (072721)'!A:A, C68)=0, "X","✓")</f>
        <v>✓</v>
      </c>
      <c r="E68" s="79">
        <f>IFS($C68=FALSE,"",$C68,VLOOKUP($C68,'PATIENT DATA (072721)'!A:C, 3, 0))</f>
        <v>19197</v>
      </c>
      <c r="F68" s="80">
        <v>44627.0</v>
      </c>
      <c r="G68" s="81">
        <f>ifs($C68="","",$C68, VLOOKUP($C68&amp;$F68, 'MARCH - VISIT DATA'!A:O,3,0))</f>
        <v>0.34375</v>
      </c>
      <c r="H68" s="83" t="s">
        <v>6561</v>
      </c>
      <c r="I68" s="122" t="str">
        <f>VLOOKUP($C68&amp;$F68,'MARCH - VISIT DATA'!A:J, 9, FALSE)</f>
        <v>LOPEZ</v>
      </c>
      <c r="J68" s="85" t="str">
        <f>VLOOKUP(C68&amp;F68,'MARCH - VISIT DATA'!A:O,10,FALSE)</f>
        <v>MEDICARE TEXAS</v>
      </c>
      <c r="K68" s="86" t="s">
        <v>6559</v>
      </c>
      <c r="L68" s="86"/>
      <c r="M68" s="86"/>
      <c r="N68" s="86"/>
      <c r="O68" s="121" t="str">
        <f t="shared" si="2"/>
        <v>✓</v>
      </c>
      <c r="P68" s="79" t="str">
        <f t="shared" si="3"/>
        <v>#VALUE!</v>
      </c>
      <c r="Q68" s="123" t="str">
        <f t="shared" si="4"/>
        <v>#VALUE!</v>
      </c>
      <c r="R68" s="124" t="str">
        <f t="shared" si="5"/>
        <v>#VALUE!</v>
      </c>
      <c r="S68" s="125" t="str">
        <f t="shared" si="6"/>
        <v>#VALUE!</v>
      </c>
      <c r="T68" s="125" t="str">
        <f t="shared" si="7"/>
        <v>#VALUE!</v>
      </c>
      <c r="U68" s="83">
        <f t="shared" si="8"/>
        <v>0</v>
      </c>
      <c r="V68" s="88" t="str">
        <f>ifs($N68="",VLOOKUP($C68&amp;$F68,'MARCH - VISIT DATA'!$A$2:$J600,7,FALSE), $N68="SWAB","OUTSA-RW",$N68="SWQU","OUTSA-SaQu", AND($L68="X",$M68="X",$N68="QUEST"),"OUT-UAQPre",$N68="QUEST","OUT-UAQ", $N68="Walk in","ColUATele")</f>
        <v>UA-NWPT</v>
      </c>
      <c r="W68" s="70" t="str">
        <f t="shared" si="9"/>
        <v>UA-NWPT : UA New Patient</v>
      </c>
      <c r="X68" s="64" t="str">
        <f t="shared" si="10"/>
        <v>UA-NWPT : UA New Patient</v>
      </c>
      <c r="Y68" s="64" t="str">
        <f t="shared" si="11"/>
        <v>MATCH</v>
      </c>
      <c r="Z68" s="66" t="str">
        <f t="shared" si="12"/>
        <v> </v>
      </c>
      <c r="AA68" s="71"/>
    </row>
    <row r="69" ht="15.75" hidden="1" customHeight="1">
      <c r="A69" s="56" t="str">
        <f t="shared" si="1"/>
        <v>1579144627</v>
      </c>
      <c r="B69" s="56" t="str">
        <f>IFS($C69=FALSE,"",$C69,VLOOKUP($C69,'PATIENT DATA (072721)'!A:C, 2, 0))</f>
        <v>CHRISTMAS, KATHERINE</v>
      </c>
      <c r="C69" s="57">
        <v>15791.0</v>
      </c>
      <c r="D69" s="127" t="str">
        <f>IF(COUNTIF('PATIENT DATA (072721)'!A:A, C69)=0, "X","✓")</f>
        <v>✓</v>
      </c>
      <c r="E69" s="79">
        <f>IFS($C69=FALSE,"",$C69,VLOOKUP($C69,'PATIENT DATA (072721)'!A:C, 3, 0))</f>
        <v>21098</v>
      </c>
      <c r="F69" s="80">
        <v>44627.0</v>
      </c>
      <c r="G69" s="81">
        <f>ifs($C69="","",$C69, VLOOKUP($C69&amp;$F69, 'MARCH - VISIT DATA'!A:O,3,0))</f>
        <v>0.3541666667</v>
      </c>
      <c r="H69" s="83" t="s">
        <v>6560</v>
      </c>
      <c r="I69" s="122" t="str">
        <f>VLOOKUP($C69&amp;$F69,'MARCH - VISIT DATA'!A:J, 9, FALSE)</f>
        <v>TORRES</v>
      </c>
      <c r="J69" s="85" t="str">
        <f>VLOOKUP(C69&amp;F69,'MARCH - VISIT DATA'!A:O,10,FALSE)</f>
        <v>AMERIGROUP</v>
      </c>
      <c r="K69" s="86"/>
      <c r="L69" s="86" t="s">
        <v>6559</v>
      </c>
      <c r="M69" s="86" t="s">
        <v>6559</v>
      </c>
      <c r="N69" s="86"/>
      <c r="O69" s="121" t="str">
        <f t="shared" si="2"/>
        <v>✓</v>
      </c>
      <c r="P69" s="79" t="str">
        <f t="shared" si="3"/>
        <v>#VALUE!</v>
      </c>
      <c r="Q69" s="123" t="str">
        <f t="shared" si="4"/>
        <v>#VALUE!</v>
      </c>
      <c r="R69" s="124" t="str">
        <f t="shared" si="5"/>
        <v>#VALUE!</v>
      </c>
      <c r="S69" s="125" t="str">
        <f t="shared" si="6"/>
        <v>#VALUE!</v>
      </c>
      <c r="T69" s="125" t="str">
        <f t="shared" si="7"/>
        <v>#VALUE!</v>
      </c>
      <c r="U69" s="83">
        <f t="shared" si="8"/>
        <v>0</v>
      </c>
      <c r="V69" s="88" t="str">
        <f>ifs($N69="",VLOOKUP($C69&amp;$F69,'MARCH - VISIT DATA'!$A$2:$J600,7,FALSE), $N69="SWAB","OUTSA-RW",$N69="SWQU","OUTSA-SaQu", AND($L69="X",$M69="X",$N69="QUEST"),"OUT-UAQPre",$N69="QUEST","OUT-UAQ", $N69="Walk in","ColUATele")</f>
        <v>UA-Prelim</v>
      </c>
      <c r="W69" s="70" t="str">
        <f t="shared" si="9"/>
        <v>UA-Prelim : Preliminary UA Test</v>
      </c>
      <c r="X69" s="64" t="str">
        <f t="shared" si="10"/>
        <v>UA-Prelim : Preliminary UA Test</v>
      </c>
      <c r="Y69" s="64" t="str">
        <f t="shared" si="11"/>
        <v>MATCH</v>
      </c>
      <c r="Z69" s="66" t="str">
        <f t="shared" si="12"/>
        <v> </v>
      </c>
      <c r="AA69" s="71"/>
    </row>
    <row r="70" ht="15.75" customHeight="1">
      <c r="A70" s="56" t="str">
        <f t="shared" si="1"/>
        <v>1746144627</v>
      </c>
      <c r="B70" s="56" t="str">
        <f>IFS($C70=FALSE,"",$C70,VLOOKUP($C70,'PATIENT DATA (072721)'!A:C, 2, 0))</f>
        <v>HERAS, CLAUDIA VALENZUELA</v>
      </c>
      <c r="C70" s="57">
        <v>17461.0</v>
      </c>
      <c r="D70" s="127" t="str">
        <f>IF(COUNTIF('PATIENT DATA (072721)'!A:A, C70)=0, "X","✓")</f>
        <v>✓</v>
      </c>
      <c r="E70" s="79">
        <f>IFS($C70=FALSE,"",$C70,VLOOKUP($C70,'PATIENT DATA (072721)'!A:C, 3, 0))</f>
        <v>27036</v>
      </c>
      <c r="F70" s="80">
        <v>44627.0</v>
      </c>
      <c r="G70" s="81">
        <f>ifs($C70="","",$C70, VLOOKUP($C70&amp;$F70, 'MARCH - VISIT DATA'!A:O,3,0))</f>
        <v>0.3541666667</v>
      </c>
      <c r="H70" s="83" t="s">
        <v>6560</v>
      </c>
      <c r="I70" s="122" t="str">
        <f>VLOOKUP($C70&amp;$F70,'MARCH - VISIT DATA'!A:J, 9, FALSE)</f>
        <v>TORRES</v>
      </c>
      <c r="J70" s="85" t="str">
        <f>VLOOKUP(C70&amp;F70,'MARCH - VISIT DATA'!A:O,10,FALSE)</f>
        <v>SUPERIOR HEALTH PLAN</v>
      </c>
      <c r="K70" s="86"/>
      <c r="L70" s="86" t="s">
        <v>6559</v>
      </c>
      <c r="M70" s="86"/>
      <c r="N70" s="86"/>
      <c r="O70" s="121" t="str">
        <f t="shared" si="2"/>
        <v>✓</v>
      </c>
      <c r="P70" s="79" t="str">
        <f t="shared" si="3"/>
        <v>#VALUE!</v>
      </c>
      <c r="Q70" s="123" t="str">
        <f t="shared" si="4"/>
        <v>#VALUE!</v>
      </c>
      <c r="R70" s="124" t="str">
        <f t="shared" si="5"/>
        <v>#VALUE!</v>
      </c>
      <c r="S70" s="125" t="str">
        <f t="shared" si="6"/>
        <v>#VALUE!</v>
      </c>
      <c r="T70" s="125" t="str">
        <f t="shared" si="7"/>
        <v>#VALUE!</v>
      </c>
      <c r="U70" s="83">
        <f t="shared" si="8"/>
        <v>0</v>
      </c>
      <c r="V70" s="88" t="str">
        <f>ifs($N70="",VLOOKUP($C70&amp;$F70,'MARCH - VISIT DATA'!$A$2:$J600,7,FALSE), $N70="SWAB","OUTSA-RW",$N70="SWQU","OUTSA-SaQu", AND($L70="X",$M70="X",$N70="QUEST"),"OUT-UAQPre",$N70="QUEST","OUT-UAQ", $N70="Walk in","ColUATele")</f>
        <v>UA</v>
      </c>
      <c r="W70" s="70" t="str">
        <f t="shared" si="9"/>
        <v>UA : Urine Analysis In House</v>
      </c>
      <c r="X70" s="64" t="str">
        <f t="shared" si="10"/>
        <v>UA : Urine Analysis In House</v>
      </c>
      <c r="Y70" s="64" t="str">
        <f t="shared" si="11"/>
        <v>MATCH</v>
      </c>
      <c r="Z70" s="66" t="str">
        <f t="shared" si="12"/>
        <v> </v>
      </c>
      <c r="AA70" s="71"/>
    </row>
    <row r="71" ht="15.75" hidden="1" customHeight="1">
      <c r="A71" s="56" t="str">
        <f t="shared" si="1"/>
        <v>1018544627</v>
      </c>
      <c r="B71" s="56" t="str">
        <f>IFS($C71=FALSE,"",$C71,VLOOKUP($C71,'PATIENT DATA (072721)'!A:C, 2, 0))</f>
        <v>HOLGUIN, NORMA</v>
      </c>
      <c r="C71" s="77">
        <v>10185.0</v>
      </c>
      <c r="D71" s="127" t="str">
        <f>IF(COUNTIF('PATIENT DATA (072721)'!A:A, C71)=0, "X","✓")</f>
        <v>✓</v>
      </c>
      <c r="E71" s="79">
        <f>IFS($C71=FALSE,"",$C71,VLOOKUP($C71,'PATIENT DATA (072721)'!A:C, 3, 0))</f>
        <v>24575</v>
      </c>
      <c r="F71" s="80">
        <v>44627.0</v>
      </c>
      <c r="G71" s="81">
        <f>ifs($C71="","",$C71, VLOOKUP($C71&amp;$F71, 'MARCH - VISIT DATA'!A:O,3,0))</f>
        <v>0.3645833333</v>
      </c>
      <c r="H71" s="83" t="s">
        <v>6561</v>
      </c>
      <c r="I71" s="122" t="str">
        <f>VLOOKUP($C71&amp;$F71,'MARCH - VISIT DATA'!A:J, 9, FALSE)</f>
        <v>LOPEZ</v>
      </c>
      <c r="J71" s="85" t="str">
        <f>VLOOKUP(C71&amp;F71,'MARCH - VISIT DATA'!A:O,10,FALSE)</f>
        <v>HUMANA GOLD PLUS HMO</v>
      </c>
      <c r="K71" s="86"/>
      <c r="L71" s="86" t="s">
        <v>6559</v>
      </c>
      <c r="M71" s="86" t="s">
        <v>6559</v>
      </c>
      <c r="N71" s="86"/>
      <c r="O71" s="121" t="str">
        <f t="shared" si="2"/>
        <v>✓</v>
      </c>
      <c r="P71" s="79" t="str">
        <f t="shared" si="3"/>
        <v>#VALUE!</v>
      </c>
      <c r="Q71" s="123" t="str">
        <f t="shared" si="4"/>
        <v>#VALUE!</v>
      </c>
      <c r="R71" s="124" t="str">
        <f t="shared" si="5"/>
        <v>#VALUE!</v>
      </c>
      <c r="S71" s="125" t="str">
        <f t="shared" si="6"/>
        <v>#VALUE!</v>
      </c>
      <c r="T71" s="125" t="str">
        <f t="shared" si="7"/>
        <v>#VALUE!</v>
      </c>
      <c r="U71" s="83">
        <f t="shared" si="8"/>
        <v>0</v>
      </c>
      <c r="V71" s="88" t="str">
        <f>ifs($N71="",VLOOKUP($C71&amp;$F71,'MARCH - VISIT DATA'!$A$2:$J600,7,FALSE), $N71="SWAB","OUTSA-RW",$N71="SWQU","OUTSA-SaQu", AND($L71="X",$M71="X",$N71="QUEST"),"OUT-UAQPre",$N71="QUEST","OUT-UAQ", $N71="Walk in","ColUATele")</f>
        <v>UA-Prelim</v>
      </c>
      <c r="W71" s="70" t="str">
        <f t="shared" si="9"/>
        <v>UA-Prelim : Preliminary UA Test</v>
      </c>
      <c r="X71" s="64" t="str">
        <f t="shared" si="10"/>
        <v>UA-Prelim : Preliminary UA Test</v>
      </c>
      <c r="Y71" s="64" t="str">
        <f t="shared" si="11"/>
        <v>MATCH</v>
      </c>
      <c r="Z71" s="66" t="str">
        <f t="shared" si="12"/>
        <v> </v>
      </c>
      <c r="AA71" s="71"/>
    </row>
    <row r="72" ht="15.75" customHeight="1">
      <c r="A72" s="56" t="str">
        <f t="shared" si="1"/>
        <v>1824344627</v>
      </c>
      <c r="B72" s="56" t="str">
        <f>IFS($C72=FALSE,"",$C72,VLOOKUP($C72,'PATIENT DATA (072721)'!A:C, 2, 0))</f>
        <v>GOMEZ, IGNACIO</v>
      </c>
      <c r="C72" s="57">
        <v>18243.0</v>
      </c>
      <c r="D72" s="127" t="str">
        <f>IF(COUNTIF('PATIENT DATA (072721)'!A:A, C72)=0, "X","✓")</f>
        <v>✓</v>
      </c>
      <c r="E72" s="79">
        <f>IFS($C72=FALSE,"",$C72,VLOOKUP($C72,'PATIENT DATA (072721)'!A:C, 3, 0))</f>
        <v>17081</v>
      </c>
      <c r="F72" s="80">
        <v>44627.0</v>
      </c>
      <c r="G72" s="81">
        <f>ifs($C72="","",$C72, VLOOKUP($C72&amp;$F72, 'MARCH - VISIT DATA'!A:O,3,0))</f>
        <v>0.3645833333</v>
      </c>
      <c r="H72" s="83" t="s">
        <v>6561</v>
      </c>
      <c r="I72" s="122" t="str">
        <f>VLOOKUP($C72&amp;$F72,'MARCH - VISIT DATA'!A:J, 9, FALSE)</f>
        <v>LOPEZ</v>
      </c>
      <c r="J72" s="85" t="str">
        <f>VLOOKUP(C72&amp;F72,'MARCH - VISIT DATA'!A:O,10,FALSE)</f>
        <v>MEDICARE TEXAS</v>
      </c>
      <c r="K72" s="86" t="s">
        <v>6559</v>
      </c>
      <c r="L72" s="86"/>
      <c r="M72" s="86"/>
      <c r="N72" s="86"/>
      <c r="O72" s="121" t="str">
        <f t="shared" si="2"/>
        <v>✓</v>
      </c>
      <c r="P72" s="79" t="str">
        <f t="shared" si="3"/>
        <v>#VALUE!</v>
      </c>
      <c r="Q72" s="123" t="str">
        <f t="shared" si="4"/>
        <v>#VALUE!</v>
      </c>
      <c r="R72" s="124" t="str">
        <f t="shared" si="5"/>
        <v>#VALUE!</v>
      </c>
      <c r="S72" s="125" t="str">
        <f t="shared" si="6"/>
        <v>#VALUE!</v>
      </c>
      <c r="T72" s="125" t="str">
        <f t="shared" si="7"/>
        <v>#VALUE!</v>
      </c>
      <c r="U72" s="83">
        <f t="shared" si="8"/>
        <v>0</v>
      </c>
      <c r="V72" s="88" t="str">
        <f>ifs($N72="",VLOOKUP($C72&amp;$F72,'MARCH - VISIT DATA'!$A$2:$J600,7,FALSE), $N72="SWAB","OUTSA-RW",$N72="SWQU","OUTSA-SaQu", AND($L72="X",$M72="X",$N72="QUEST"),"OUT-UAQPre",$N72="QUEST","OUT-UAQ", $N72="Walk in","ColUATele")</f>
        <v>UA-NWPT</v>
      </c>
      <c r="W72" s="70" t="str">
        <f t="shared" si="9"/>
        <v>UA-NWPT : UA New Patient</v>
      </c>
      <c r="X72" s="64" t="str">
        <f t="shared" si="10"/>
        <v>UA-NWPT : UA New Patient</v>
      </c>
      <c r="Y72" s="64" t="str">
        <f t="shared" si="11"/>
        <v>MATCH</v>
      </c>
      <c r="Z72" s="66" t="str">
        <f t="shared" si="12"/>
        <v> </v>
      </c>
      <c r="AA72" s="71"/>
    </row>
    <row r="73" ht="15.75" customHeight="1">
      <c r="A73" s="56" t="str">
        <f t="shared" si="1"/>
        <v>1611744627</v>
      </c>
      <c r="B73" s="56" t="str">
        <f>IFS($C73=FALSE,"",$C73,VLOOKUP($C73,'PATIENT DATA (072721)'!A:C, 2, 0))</f>
        <v>AVEYTIA, FERNANDO H</v>
      </c>
      <c r="C73" s="57">
        <v>16117.0</v>
      </c>
      <c r="D73" s="127" t="str">
        <f>IF(COUNTIF('PATIENT DATA (072721)'!A:A, C73)=0, "X","✓")</f>
        <v>✓</v>
      </c>
      <c r="E73" s="79">
        <f>IFS($C73=FALSE,"",$C73,VLOOKUP($C73,'PATIENT DATA (072721)'!A:C, 3, 0))</f>
        <v>21870</v>
      </c>
      <c r="F73" s="80">
        <v>44627.0</v>
      </c>
      <c r="G73" s="81">
        <f>ifs($C73="","",$C73, VLOOKUP($C73&amp;$F73, 'MARCH - VISIT DATA'!A:O,3,0))</f>
        <v>0.375</v>
      </c>
      <c r="H73" s="83" t="s">
        <v>6558</v>
      </c>
      <c r="I73" s="122" t="str">
        <f>VLOOKUP($C73&amp;$F73,'MARCH - VISIT DATA'!A:J, 9, FALSE)</f>
        <v>MARTINEZ</v>
      </c>
      <c r="J73" s="85" t="str">
        <f>VLOOKUP(C73&amp;F73,'MARCH - VISIT DATA'!A:O,10,FALSE)</f>
        <v>HUMANA GOLD PLUS HMO</v>
      </c>
      <c r="K73" s="86"/>
      <c r="L73" s="86" t="s">
        <v>6559</v>
      </c>
      <c r="M73" s="86"/>
      <c r="N73" s="86"/>
      <c r="O73" s="121" t="str">
        <f t="shared" si="2"/>
        <v>✓</v>
      </c>
      <c r="P73" s="79" t="str">
        <f t="shared" si="3"/>
        <v>#VALUE!</v>
      </c>
      <c r="Q73" s="123" t="str">
        <f t="shared" si="4"/>
        <v>#VALUE!</v>
      </c>
      <c r="R73" s="124" t="str">
        <f t="shared" si="5"/>
        <v>#VALUE!</v>
      </c>
      <c r="S73" s="125" t="str">
        <f t="shared" si="6"/>
        <v>#VALUE!</v>
      </c>
      <c r="T73" s="125" t="str">
        <f t="shared" si="7"/>
        <v>#VALUE!</v>
      </c>
      <c r="U73" s="83">
        <f t="shared" si="8"/>
        <v>0</v>
      </c>
      <c r="V73" s="88" t="str">
        <f>ifs($N73="",VLOOKUP($C73&amp;$F73,'MARCH - VISIT DATA'!$A$2:$J600,7,FALSE), $N73="SWAB","OUTSA-RW",$N73="SWQU","OUTSA-SaQu", AND($L73="X",$M73="X",$N73="QUEST"),"OUT-UAQPre",$N73="QUEST","OUT-UAQ", $N73="Walk in","ColUATele")</f>
        <v>UA</v>
      </c>
      <c r="W73" s="70" t="str">
        <f t="shared" si="9"/>
        <v>UA : Urine Analysis In House</v>
      </c>
      <c r="X73" s="64" t="str">
        <f t="shared" si="10"/>
        <v>UA : Urine Analysis In House</v>
      </c>
      <c r="Y73" s="64" t="str">
        <f t="shared" si="11"/>
        <v>MATCH</v>
      </c>
      <c r="Z73" s="66" t="str">
        <f t="shared" si="12"/>
        <v> </v>
      </c>
      <c r="AA73" s="71"/>
    </row>
    <row r="74" ht="15.75" hidden="1" customHeight="1">
      <c r="A74" s="56" t="str">
        <f t="shared" si="1"/>
        <v>1410344627</v>
      </c>
      <c r="B74" s="56" t="str">
        <f>IFS($C74=FALSE,"",$C74,VLOOKUP($C74,'PATIENT DATA (072721)'!A:C, 2, 0))</f>
        <v>CAMPOS, JOSE ABRAHAM</v>
      </c>
      <c r="C74" s="57">
        <v>14103.0</v>
      </c>
      <c r="D74" s="127" t="str">
        <f>IF(COUNTIF('PATIENT DATA (072721)'!A:A, C74)=0, "X","✓")</f>
        <v>✓</v>
      </c>
      <c r="E74" s="79">
        <f>IFS($C74=FALSE,"",$C74,VLOOKUP($C74,'PATIENT DATA (072721)'!A:C, 3, 0))</f>
        <v>16960</v>
      </c>
      <c r="F74" s="80">
        <v>44627.0</v>
      </c>
      <c r="G74" s="81">
        <f>ifs($C74="","",$C74, VLOOKUP($C74&amp;$F74, 'MARCH - VISIT DATA'!A:O,3,0))</f>
        <v>0.3958333333</v>
      </c>
      <c r="H74" s="83" t="s">
        <v>6561</v>
      </c>
      <c r="I74" s="122" t="str">
        <f>VLOOKUP($C74&amp;$F74,'MARCH - VISIT DATA'!A:J, 9, FALSE)</f>
        <v>LOPEZ</v>
      </c>
      <c r="J74" s="85" t="str">
        <f>VLOOKUP(C74&amp;F74,'MARCH - VISIT DATA'!A:O,10,FALSE)</f>
        <v>WPS VA - COMMUNITY CARE</v>
      </c>
      <c r="K74" s="86"/>
      <c r="L74" s="86" t="s">
        <v>6559</v>
      </c>
      <c r="M74" s="86" t="s">
        <v>6559</v>
      </c>
      <c r="N74" s="86"/>
      <c r="O74" s="121" t="str">
        <f t="shared" si="2"/>
        <v>✓</v>
      </c>
      <c r="P74" s="79" t="str">
        <f t="shared" si="3"/>
        <v>#VALUE!</v>
      </c>
      <c r="Q74" s="123" t="str">
        <f t="shared" si="4"/>
        <v>#VALUE!</v>
      </c>
      <c r="R74" s="124" t="str">
        <f t="shared" si="5"/>
        <v>#VALUE!</v>
      </c>
      <c r="S74" s="125" t="str">
        <f t="shared" si="6"/>
        <v>#VALUE!</v>
      </c>
      <c r="T74" s="125" t="str">
        <f t="shared" si="7"/>
        <v>#VALUE!</v>
      </c>
      <c r="U74" s="83">
        <f t="shared" si="8"/>
        <v>0</v>
      </c>
      <c r="V74" s="88" t="str">
        <f>ifs($N74="",VLOOKUP($C74&amp;$F74,'MARCH - VISIT DATA'!$A$2:$J600,7,FALSE), $N74="SWAB","OUTSA-RW",$N74="SWQU","OUTSA-SaQu", AND($L74="X",$M74="X",$N74="QUEST"),"OUT-UAQPre",$N74="QUEST","OUT-UAQ", $N74="Walk in","ColUATele")</f>
        <v>UA-Prelim</v>
      </c>
      <c r="W74" s="70" t="str">
        <f t="shared" si="9"/>
        <v>UA-Prelim : Preliminary UA Test</v>
      </c>
      <c r="X74" s="64" t="str">
        <f t="shared" si="10"/>
        <v>UA-Prelim : Preliminary UA Test</v>
      </c>
      <c r="Y74" s="64" t="str">
        <f t="shared" si="11"/>
        <v>MATCH</v>
      </c>
      <c r="Z74" s="66" t="str">
        <f t="shared" si="12"/>
        <v> </v>
      </c>
      <c r="AA74" s="71"/>
    </row>
    <row r="75" ht="15.75" customHeight="1">
      <c r="A75" s="56" t="str">
        <f t="shared" si="1"/>
        <v>1536844627</v>
      </c>
      <c r="B75" s="56" t="str">
        <f>IFS($C75=FALSE,"",$C75,VLOOKUP($C75,'PATIENT DATA (072721)'!A:C, 2, 0))</f>
        <v>PALACIOS, CARMEN R</v>
      </c>
      <c r="C75" s="57">
        <v>15368.0</v>
      </c>
      <c r="D75" s="127" t="str">
        <f>IF(COUNTIF('PATIENT DATA (072721)'!A:A, C75)=0, "X","✓")</f>
        <v>✓</v>
      </c>
      <c r="E75" s="79">
        <f>IFS($C75=FALSE,"",$C75,VLOOKUP($C75,'PATIENT DATA (072721)'!A:C, 3, 0))</f>
        <v>14748</v>
      </c>
      <c r="F75" s="80">
        <v>44627.0</v>
      </c>
      <c r="G75" s="81">
        <f>ifs($C75="","",$C75, VLOOKUP($C75&amp;$F75, 'MARCH - VISIT DATA'!A:O,3,0))</f>
        <v>0.3958333333</v>
      </c>
      <c r="H75" s="83" t="s">
        <v>6558</v>
      </c>
      <c r="I75" s="122" t="str">
        <f>VLOOKUP($C75&amp;$F75,'MARCH - VISIT DATA'!A:J, 9, FALSE)</f>
        <v>MARTINEZ</v>
      </c>
      <c r="J75" s="85" t="str">
        <f>VLOOKUP(C75&amp;F75,'MARCH - VISIT DATA'!A:O,10,FALSE)</f>
        <v>WELLCARE OF TEXAS</v>
      </c>
      <c r="K75" s="86"/>
      <c r="L75" s="86" t="s">
        <v>6559</v>
      </c>
      <c r="M75" s="86"/>
      <c r="N75" s="86"/>
      <c r="O75" s="121" t="str">
        <f t="shared" si="2"/>
        <v>✓</v>
      </c>
      <c r="P75" s="79" t="str">
        <f t="shared" si="3"/>
        <v>#VALUE!</v>
      </c>
      <c r="Q75" s="123" t="str">
        <f t="shared" si="4"/>
        <v>#VALUE!</v>
      </c>
      <c r="R75" s="124" t="str">
        <f t="shared" si="5"/>
        <v>#VALUE!</v>
      </c>
      <c r="S75" s="125" t="str">
        <f t="shared" si="6"/>
        <v>#VALUE!</v>
      </c>
      <c r="T75" s="125" t="str">
        <f t="shared" si="7"/>
        <v>#VALUE!</v>
      </c>
      <c r="U75" s="83">
        <f t="shared" si="8"/>
        <v>0</v>
      </c>
      <c r="V75" s="88" t="str">
        <f>ifs($N75="",VLOOKUP($C75&amp;$F75,'MARCH - VISIT DATA'!$A$2:$J600,7,FALSE), $N75="SWAB","OUTSA-RW",$N75="SWQU","OUTSA-SaQu", AND($L75="X",$M75="X",$N75="QUEST"),"OUT-UAQPre",$N75="QUEST","OUT-UAQ", $N75="Walk in","ColUATele")</f>
        <v>UA</v>
      </c>
      <c r="W75" s="70" t="str">
        <f t="shared" si="9"/>
        <v>UA : Urine Analysis In House</v>
      </c>
      <c r="X75" s="64" t="str">
        <f t="shared" si="10"/>
        <v>UA : Urine Analysis In House</v>
      </c>
      <c r="Y75" s="64" t="str">
        <f t="shared" si="11"/>
        <v>MATCH</v>
      </c>
      <c r="Z75" s="66" t="str">
        <f t="shared" si="12"/>
        <v> </v>
      </c>
      <c r="AA75" s="71"/>
    </row>
    <row r="76" ht="15.75" customHeight="1">
      <c r="A76" s="56" t="str">
        <f t="shared" si="1"/>
        <v>1821544627</v>
      </c>
      <c r="B76" s="56" t="str">
        <f>IFS($C76=FALSE,"",$C76,VLOOKUP($C76,'PATIENT DATA (072721)'!A:C, 2, 0))</f>
        <v>CARRASCO, RUBEN</v>
      </c>
      <c r="C76" s="57">
        <v>18215.0</v>
      </c>
      <c r="D76" s="127" t="str">
        <f>IF(COUNTIF('PATIENT DATA (072721)'!A:A, C76)=0, "X","✓")</f>
        <v>✓</v>
      </c>
      <c r="E76" s="79">
        <f>IFS($C76=FALSE,"",$C76,VLOOKUP($C76,'PATIENT DATA (072721)'!A:C, 3, 0))</f>
        <v>19281</v>
      </c>
      <c r="F76" s="80">
        <v>44627.0</v>
      </c>
      <c r="G76" s="81">
        <f>ifs($C76="","",$C76, VLOOKUP($C76&amp;$F76, 'MARCH - VISIT DATA'!A:O,3,0))</f>
        <v>0.3958333333</v>
      </c>
      <c r="H76" s="83" t="s">
        <v>6561</v>
      </c>
      <c r="I76" s="122" t="str">
        <f>VLOOKUP($C76&amp;$F76,'MARCH - VISIT DATA'!A:J, 9, FALSE)</f>
        <v>LOPEZ</v>
      </c>
      <c r="J76" s="85" t="str">
        <f>VLOOKUP(C76&amp;F76,'MARCH - VISIT DATA'!A:O,10,FALSE)</f>
        <v>EL PASO VA</v>
      </c>
      <c r="K76" s="86" t="s">
        <v>6559</v>
      </c>
      <c r="L76" s="86"/>
      <c r="M76" s="86"/>
      <c r="N76" s="86"/>
      <c r="O76" s="121" t="str">
        <f t="shared" si="2"/>
        <v>✓</v>
      </c>
      <c r="P76" s="79" t="str">
        <f t="shared" si="3"/>
        <v>#VALUE!</v>
      </c>
      <c r="Q76" s="123" t="str">
        <f t="shared" si="4"/>
        <v>#VALUE!</v>
      </c>
      <c r="R76" s="124" t="str">
        <f t="shared" si="5"/>
        <v>#VALUE!</v>
      </c>
      <c r="S76" s="125" t="str">
        <f t="shared" si="6"/>
        <v>#VALUE!</v>
      </c>
      <c r="T76" s="125" t="str">
        <f t="shared" si="7"/>
        <v>#VALUE!</v>
      </c>
      <c r="U76" s="83">
        <f t="shared" si="8"/>
        <v>0</v>
      </c>
      <c r="V76" s="88" t="str">
        <f>ifs($N76="",VLOOKUP($C76&amp;$F76,'MARCH - VISIT DATA'!$A$2:$J600,7,FALSE), $N76="SWAB","OUTSA-RW",$N76="SWQU","OUTSA-SaQu", AND($L76="X",$M76="X",$N76="QUEST"),"OUT-UAQPre",$N76="QUEST","OUT-UAQ", $N76="Walk in","ColUATele")</f>
        <v>UA-NWPT</v>
      </c>
      <c r="W76" s="70" t="str">
        <f t="shared" si="9"/>
        <v>UA-NWPT : UA New Patient</v>
      </c>
      <c r="X76" s="64" t="str">
        <f t="shared" si="10"/>
        <v>UA-NWPT : UA New Patient</v>
      </c>
      <c r="Y76" s="64" t="str">
        <f t="shared" si="11"/>
        <v>MATCH</v>
      </c>
      <c r="Z76" s="66" t="str">
        <f t="shared" si="12"/>
        <v> </v>
      </c>
      <c r="AA76" s="71"/>
    </row>
    <row r="77" ht="15.75" customHeight="1">
      <c r="A77" s="56" t="str">
        <f t="shared" si="1"/>
        <v>1060744627</v>
      </c>
      <c r="B77" s="56" t="str">
        <f>IFS($C77=FALSE,"",$C77,VLOOKUP($C77,'PATIENT DATA (072721)'!A:C, 2, 0))</f>
        <v>AGUILAR, SYLVIA</v>
      </c>
      <c r="C77" s="57">
        <v>10607.0</v>
      </c>
      <c r="D77" s="127" t="str">
        <f>IF(COUNTIF('PATIENT DATA (072721)'!A:A, C77)=0, "X","✓")</f>
        <v>✓</v>
      </c>
      <c r="E77" s="79">
        <f>IFS($C77=FALSE,"",$C77,VLOOKUP($C77,'PATIENT DATA (072721)'!A:C, 3, 0))</f>
        <v>18965</v>
      </c>
      <c r="F77" s="80">
        <v>44627.0</v>
      </c>
      <c r="G77" s="81">
        <f>ifs($C77="","",$C77, VLOOKUP($C77&amp;$F77, 'MARCH - VISIT DATA'!A:O,3,0))</f>
        <v>0.40625</v>
      </c>
      <c r="H77" s="83" t="s">
        <v>6560</v>
      </c>
      <c r="I77" s="122" t="str">
        <f>VLOOKUP($C77&amp;$F77,'MARCH - VISIT DATA'!A:J, 9, FALSE)</f>
        <v>TORRES</v>
      </c>
      <c r="J77" s="85" t="str">
        <f>VLOOKUP(C77&amp;F77,'MARCH - VISIT DATA'!A:O,10,FALSE)</f>
        <v>UHC MEDICARE COMPLETE</v>
      </c>
      <c r="K77" s="86"/>
      <c r="L77" s="86" t="s">
        <v>6559</v>
      </c>
      <c r="M77" s="86"/>
      <c r="N77" s="86"/>
      <c r="O77" s="121" t="str">
        <f t="shared" si="2"/>
        <v>✓</v>
      </c>
      <c r="P77" s="79" t="str">
        <f t="shared" si="3"/>
        <v>#VALUE!</v>
      </c>
      <c r="Q77" s="123" t="str">
        <f t="shared" si="4"/>
        <v>#VALUE!</v>
      </c>
      <c r="R77" s="124" t="str">
        <f t="shared" si="5"/>
        <v>#VALUE!</v>
      </c>
      <c r="S77" s="125" t="str">
        <f t="shared" si="6"/>
        <v>#VALUE!</v>
      </c>
      <c r="T77" s="125" t="str">
        <f t="shared" si="7"/>
        <v>#VALUE!</v>
      </c>
      <c r="U77" s="83">
        <f t="shared" si="8"/>
        <v>0</v>
      </c>
      <c r="V77" s="88" t="str">
        <f>ifs($N77="",VLOOKUP($C77&amp;$F77,'MARCH - VISIT DATA'!$A$2:$J600,7,FALSE), $N77="SWAB","OUTSA-RW",$N77="SWQU","OUTSA-SaQu", AND($L77="X",$M77="X",$N77="QUEST"),"OUT-UAQPre",$N77="QUEST","OUT-UAQ", $N77="Walk in","ColUATele")</f>
        <v>UA</v>
      </c>
      <c r="W77" s="70" t="str">
        <f t="shared" si="9"/>
        <v>UA : Urine Analysis In House</v>
      </c>
      <c r="X77" s="64" t="str">
        <f t="shared" si="10"/>
        <v>UA : Urine Analysis In House</v>
      </c>
      <c r="Y77" s="64" t="str">
        <f t="shared" si="11"/>
        <v>MATCH</v>
      </c>
      <c r="Z77" s="66" t="str">
        <f t="shared" si="12"/>
        <v> </v>
      </c>
      <c r="AA77" s="71"/>
    </row>
    <row r="78" ht="15.75" customHeight="1">
      <c r="A78" s="56" t="str">
        <f t="shared" si="1"/>
        <v>942644627</v>
      </c>
      <c r="B78" s="56" t="str">
        <f>IFS($C78=FALSE,"",$C78,VLOOKUP($C78,'PATIENT DATA (072721)'!A:C, 2, 0))</f>
        <v>LICON DE MALDONADO, NORMA N</v>
      </c>
      <c r="C78" s="57">
        <v>9426.0</v>
      </c>
      <c r="D78" s="127" t="str">
        <f>IF(COUNTIF('PATIENT DATA (072721)'!A:A, C78)=0, "X","✓")</f>
        <v>✓</v>
      </c>
      <c r="E78" s="79">
        <f>IFS($C78=FALSE,"",$C78,VLOOKUP($C78,'PATIENT DATA (072721)'!A:C, 3, 0))</f>
        <v>19051</v>
      </c>
      <c r="F78" s="80">
        <v>44627.0</v>
      </c>
      <c r="G78" s="81">
        <f>ifs($C78="","",$C78, VLOOKUP($C78&amp;$F78, 'MARCH - VISIT DATA'!A:O,3,0))</f>
        <v>0.4166666667</v>
      </c>
      <c r="H78" s="83" t="s">
        <v>6561</v>
      </c>
      <c r="I78" s="122" t="str">
        <f>VLOOKUP($C78&amp;$F78,'MARCH - VISIT DATA'!A:J, 9, FALSE)</f>
        <v>LOPEZ</v>
      </c>
      <c r="J78" s="85" t="str">
        <f>VLOOKUP(C78&amp;F78,'MARCH - VISIT DATA'!A:O,10,FALSE)</f>
        <v>BCBSTX PPO</v>
      </c>
      <c r="K78" s="86"/>
      <c r="L78" s="86" t="s">
        <v>6559</v>
      </c>
      <c r="M78" s="86"/>
      <c r="N78" s="86"/>
      <c r="O78" s="121" t="str">
        <f t="shared" si="2"/>
        <v>✓</v>
      </c>
      <c r="P78" s="79" t="str">
        <f t="shared" si="3"/>
        <v>#VALUE!</v>
      </c>
      <c r="Q78" s="123" t="str">
        <f t="shared" si="4"/>
        <v>#VALUE!</v>
      </c>
      <c r="R78" s="124" t="str">
        <f t="shared" si="5"/>
        <v>#VALUE!</v>
      </c>
      <c r="S78" s="125" t="str">
        <f t="shared" si="6"/>
        <v>#VALUE!</v>
      </c>
      <c r="T78" s="125" t="str">
        <f t="shared" si="7"/>
        <v>#VALUE!</v>
      </c>
      <c r="U78" s="83">
        <f t="shared" si="8"/>
        <v>0</v>
      </c>
      <c r="V78" s="88" t="str">
        <f>ifs($N78="",VLOOKUP($C78&amp;$F78,'MARCH - VISIT DATA'!$A$2:$J600,7,FALSE), $N78="SWAB","OUTSA-RW",$N78="SWQU","OUTSA-SaQu", AND($L78="X",$M78="X",$N78="QUEST"),"OUT-UAQPre",$N78="QUEST","OUT-UAQ", $N78="Walk in","ColUATele")</f>
        <v>UA</v>
      </c>
      <c r="W78" s="70" t="str">
        <f t="shared" si="9"/>
        <v>UA : Urine Analysis In House</v>
      </c>
      <c r="X78" s="64" t="str">
        <f t="shared" si="10"/>
        <v>UA : Urine Analysis In House</v>
      </c>
      <c r="Y78" s="64" t="str">
        <f t="shared" si="11"/>
        <v>MATCH</v>
      </c>
      <c r="Z78" s="66" t="str">
        <f t="shared" si="12"/>
        <v> </v>
      </c>
      <c r="AA78" s="71"/>
    </row>
    <row r="79" ht="15.75" hidden="1" customHeight="1">
      <c r="A79" s="56" t="str">
        <f t="shared" si="1"/>
        <v>1589144627</v>
      </c>
      <c r="B79" s="56" t="str">
        <f>IFS($C79=FALSE,"",$C79,VLOOKUP($C79,'PATIENT DATA (072721)'!A:C, 2, 0))</f>
        <v>ELMORE, ANTHONY</v>
      </c>
      <c r="C79" s="57">
        <v>15891.0</v>
      </c>
      <c r="D79" s="127" t="str">
        <f>IF(COUNTIF('PATIENT DATA (072721)'!A:A, C79)=0, "X","✓")</f>
        <v>✓</v>
      </c>
      <c r="E79" s="79">
        <f>IFS($C79=FALSE,"",$C79,VLOOKUP($C79,'PATIENT DATA (072721)'!A:C, 3, 0))</f>
        <v>25116</v>
      </c>
      <c r="F79" s="80">
        <v>44627.0</v>
      </c>
      <c r="G79" s="81">
        <f>ifs($C79="","",$C79, VLOOKUP($C79&amp;$F79, 'MARCH - VISIT DATA'!A:O,3,0))</f>
        <v>0.4166666667</v>
      </c>
      <c r="H79" s="83" t="s">
        <v>6558</v>
      </c>
      <c r="I79" s="122" t="str">
        <f>VLOOKUP($C79&amp;$F79,'MARCH - VISIT DATA'!A:J, 9, FALSE)</f>
        <v>MARTINEZ</v>
      </c>
      <c r="J79" s="85" t="str">
        <f>VLOOKUP(C79&amp;F79,'MARCH - VISIT DATA'!A:O,10,FALSE)</f>
        <v>PREFERRED ADMINISTRATORS</v>
      </c>
      <c r="K79" s="86"/>
      <c r="L79" s="86" t="s">
        <v>6559</v>
      </c>
      <c r="M79" s="86" t="s">
        <v>6559</v>
      </c>
      <c r="N79" s="86"/>
      <c r="O79" s="121" t="str">
        <f t="shared" si="2"/>
        <v>✓</v>
      </c>
      <c r="P79" s="79" t="str">
        <f t="shared" si="3"/>
        <v>#VALUE!</v>
      </c>
      <c r="Q79" s="123" t="str">
        <f t="shared" si="4"/>
        <v>#VALUE!</v>
      </c>
      <c r="R79" s="124" t="str">
        <f t="shared" si="5"/>
        <v>#VALUE!</v>
      </c>
      <c r="S79" s="125" t="str">
        <f t="shared" si="6"/>
        <v>#VALUE!</v>
      </c>
      <c r="T79" s="125" t="str">
        <f t="shared" si="7"/>
        <v>#VALUE!</v>
      </c>
      <c r="U79" s="83">
        <f t="shared" si="8"/>
        <v>0</v>
      </c>
      <c r="V79" s="88" t="str">
        <f>ifs($N79="",VLOOKUP($C79&amp;$F79,'MARCH - VISIT DATA'!$A$2:$J600,7,FALSE), $N79="SWAB","OUTSA-RW",$N79="SWQU","OUTSA-SaQu", AND($L79="X",$M79="X",$N79="QUEST"),"OUT-UAQPre",$N79="QUEST","OUT-UAQ", $N79="Walk in","ColUATele")</f>
        <v>UA-Prelim</v>
      </c>
      <c r="W79" s="70" t="str">
        <f t="shared" si="9"/>
        <v>UA-Prelim : Preliminary UA Test</v>
      </c>
      <c r="X79" s="64" t="str">
        <f t="shared" si="10"/>
        <v>UA-Prelim : Preliminary UA Test</v>
      </c>
      <c r="Y79" s="64" t="str">
        <f t="shared" si="11"/>
        <v>MATCH</v>
      </c>
      <c r="Z79" s="66" t="str">
        <f t="shared" si="12"/>
        <v> </v>
      </c>
      <c r="AA79" s="71"/>
    </row>
    <row r="80" ht="15.75" hidden="1" customHeight="1">
      <c r="A80" s="56" t="str">
        <f t="shared" si="1"/>
        <v>1589244627</v>
      </c>
      <c r="B80" s="56" t="str">
        <f>IFS($C80=FALSE,"",$C80,VLOOKUP($C80,'PATIENT DATA (072721)'!A:C, 2, 0))</f>
        <v>ELMORE, JANEL</v>
      </c>
      <c r="C80" s="57">
        <v>15892.0</v>
      </c>
      <c r="D80" s="127" t="str">
        <f>IF(COUNTIF('PATIENT DATA (072721)'!A:A, C80)=0, "X","✓")</f>
        <v>✓</v>
      </c>
      <c r="E80" s="79">
        <f>IFS($C80=FALSE,"",$C80,VLOOKUP($C80,'PATIENT DATA (072721)'!A:C, 3, 0))</f>
        <v>23446</v>
      </c>
      <c r="F80" s="80">
        <v>44627.0</v>
      </c>
      <c r="G80" s="81">
        <f>ifs($C80="","",$C80, VLOOKUP($C80&amp;$F80, 'MARCH - VISIT DATA'!A:O,3,0))</f>
        <v>0.4270833333</v>
      </c>
      <c r="H80" s="83" t="s">
        <v>6558</v>
      </c>
      <c r="I80" s="122" t="str">
        <f>VLOOKUP($C80&amp;$F80,'MARCH - VISIT DATA'!A:J, 9, FALSE)</f>
        <v>MARTINEZ</v>
      </c>
      <c r="J80" s="85" t="str">
        <f>VLOOKUP(C80&amp;F80,'MARCH - VISIT DATA'!A:O,10,FALSE)</f>
        <v>PREFERRED ADMINISTRATORS</v>
      </c>
      <c r="K80" s="86"/>
      <c r="L80" s="86" t="s">
        <v>6559</v>
      </c>
      <c r="M80" s="86" t="s">
        <v>6559</v>
      </c>
      <c r="N80" s="86"/>
      <c r="O80" s="121" t="str">
        <f t="shared" si="2"/>
        <v>✓</v>
      </c>
      <c r="P80" s="79" t="str">
        <f t="shared" si="3"/>
        <v>#VALUE!</v>
      </c>
      <c r="Q80" s="123" t="str">
        <f t="shared" si="4"/>
        <v>#VALUE!</v>
      </c>
      <c r="R80" s="124" t="str">
        <f t="shared" si="5"/>
        <v>#VALUE!</v>
      </c>
      <c r="S80" s="125" t="str">
        <f t="shared" si="6"/>
        <v>#VALUE!</v>
      </c>
      <c r="T80" s="125" t="str">
        <f t="shared" si="7"/>
        <v>#VALUE!</v>
      </c>
      <c r="U80" s="83">
        <f t="shared" si="8"/>
        <v>0</v>
      </c>
      <c r="V80" s="88" t="str">
        <f>ifs($N80="",VLOOKUP($C80&amp;$F80,'MARCH - VISIT DATA'!$A$2:$J600,7,FALSE), $N80="SWAB","OUTSA-RW",$N80="SWQU","OUTSA-SaQu", AND($L80="X",$M80="X",$N80="QUEST"),"OUT-UAQPre",$N80="QUEST","OUT-UAQ", $N80="Walk in","ColUATele")</f>
        <v>UA-Prelim</v>
      </c>
      <c r="W80" s="70" t="str">
        <f t="shared" si="9"/>
        <v>UA-Prelim : Preliminary UA Test</v>
      </c>
      <c r="X80" s="64" t="str">
        <f t="shared" si="10"/>
        <v>UA-Prelim : Preliminary UA Test</v>
      </c>
      <c r="Y80" s="64" t="str">
        <f t="shared" si="11"/>
        <v>MATCH</v>
      </c>
      <c r="Z80" s="66" t="str">
        <f t="shared" si="12"/>
        <v> </v>
      </c>
      <c r="AA80" s="71"/>
    </row>
    <row r="81" ht="15.75" customHeight="1">
      <c r="A81" s="56" t="str">
        <f t="shared" si="1"/>
        <v>1517644627</v>
      </c>
      <c r="B81" s="56" t="str">
        <f>IFS($C81=FALSE,"",$C81,VLOOKUP($C81,'PATIENT DATA (072721)'!A:C, 2, 0))</f>
        <v>CREWS, WILLIAM R</v>
      </c>
      <c r="C81" s="57">
        <v>15176.0</v>
      </c>
      <c r="D81" s="127" t="str">
        <f>IF(COUNTIF('PATIENT DATA (072721)'!A:A, C81)=0, "X","✓")</f>
        <v>✓</v>
      </c>
      <c r="E81" s="79">
        <f>IFS($C81=FALSE,"",$C81,VLOOKUP($C81,'PATIENT DATA (072721)'!A:C, 3, 0))</f>
        <v>26214</v>
      </c>
      <c r="F81" s="80">
        <v>44627.0</v>
      </c>
      <c r="G81" s="81">
        <f>ifs($C81="","",$C81, VLOOKUP($C81&amp;$F81, 'MARCH - VISIT DATA'!A:O,3,0))</f>
        <v>0.4375</v>
      </c>
      <c r="H81" s="83" t="s">
        <v>6558</v>
      </c>
      <c r="I81" s="122" t="str">
        <f>VLOOKUP($C81&amp;$F81,'MARCH - VISIT DATA'!A:J, 9, FALSE)</f>
        <v>MARTINEZ</v>
      </c>
      <c r="J81" s="85" t="str">
        <f>VLOOKUP(C81&amp;F81,'MARCH - VISIT DATA'!A:O,10,FALSE)</f>
        <v>AETNA</v>
      </c>
      <c r="K81" s="86"/>
      <c r="L81" s="86" t="s">
        <v>6559</v>
      </c>
      <c r="M81" s="86"/>
      <c r="N81" s="86"/>
      <c r="O81" s="121" t="str">
        <f t="shared" si="2"/>
        <v>✓</v>
      </c>
      <c r="P81" s="79" t="str">
        <f t="shared" si="3"/>
        <v>#VALUE!</v>
      </c>
      <c r="Q81" s="123" t="str">
        <f t="shared" si="4"/>
        <v>#VALUE!</v>
      </c>
      <c r="R81" s="124" t="str">
        <f t="shared" si="5"/>
        <v>#VALUE!</v>
      </c>
      <c r="S81" s="125" t="str">
        <f t="shared" si="6"/>
        <v>#VALUE!</v>
      </c>
      <c r="T81" s="125" t="str">
        <f t="shared" si="7"/>
        <v>#VALUE!</v>
      </c>
      <c r="U81" s="83">
        <f t="shared" si="8"/>
        <v>0</v>
      </c>
      <c r="V81" s="88" t="str">
        <f>ifs($N81="",VLOOKUP($C81&amp;$F81,'MARCH - VISIT DATA'!$A$2:$J600,7,FALSE), $N81="SWAB","OUTSA-RW",$N81="SWQU","OUTSA-SaQu", AND($L81="X",$M81="X",$N81="QUEST"),"OUT-UAQPre",$N81="QUEST","OUT-UAQ", $N81="Walk in","ColUATele")</f>
        <v>UA</v>
      </c>
      <c r="W81" s="70" t="str">
        <f t="shared" si="9"/>
        <v>UA : Urine Analysis In House</v>
      </c>
      <c r="X81" s="64" t="str">
        <f t="shared" si="10"/>
        <v>UA : Urine Analysis In House</v>
      </c>
      <c r="Y81" s="64" t="str">
        <f t="shared" si="11"/>
        <v>MATCH</v>
      </c>
      <c r="Z81" s="66" t="str">
        <f t="shared" si="12"/>
        <v> </v>
      </c>
      <c r="AA81" s="71"/>
    </row>
    <row r="82" ht="15.75" customHeight="1">
      <c r="A82" s="56" t="str">
        <f t="shared" si="1"/>
        <v>1824244627</v>
      </c>
      <c r="B82" s="56" t="str">
        <f>IFS($C82=FALSE,"",$C82,VLOOKUP($C82,'PATIENT DATA (072721)'!A:C, 2, 0))</f>
        <v>BURCIAGA, JAVIER</v>
      </c>
      <c r="C82" s="57">
        <v>18242.0</v>
      </c>
      <c r="D82" s="127" t="str">
        <f>IF(COUNTIF('PATIENT DATA (072721)'!A:A, C82)=0, "X","✓")</f>
        <v>✓</v>
      </c>
      <c r="E82" s="79">
        <f>IFS($C82=FALSE,"",$C82,VLOOKUP($C82,'PATIENT DATA (072721)'!A:C, 3, 0))</f>
        <v>22087</v>
      </c>
      <c r="F82" s="80">
        <v>44627.0</v>
      </c>
      <c r="G82" s="81">
        <f>ifs($C82="","",$C82, VLOOKUP($C82&amp;$F82, 'MARCH - VISIT DATA'!A:O,3,0))</f>
        <v>0.4479166667</v>
      </c>
      <c r="H82" s="83" t="s">
        <v>6561</v>
      </c>
      <c r="I82" s="122" t="str">
        <f>VLOOKUP($C82&amp;$F82,'MARCH - VISIT DATA'!A:J, 9, FALSE)</f>
        <v>LOPEZ</v>
      </c>
      <c r="J82" s="85" t="str">
        <f>VLOOKUP(C82&amp;F82,'MARCH - VISIT DATA'!A:O,10,FALSE)</f>
        <v>WPS VA - COMMUNITY CARE</v>
      </c>
      <c r="K82" s="86" t="s">
        <v>6559</v>
      </c>
      <c r="L82" s="86"/>
      <c r="M82" s="86"/>
      <c r="N82" s="86"/>
      <c r="O82" s="121" t="str">
        <f t="shared" si="2"/>
        <v>✓</v>
      </c>
      <c r="P82" s="79" t="str">
        <f t="shared" si="3"/>
        <v>#VALUE!</v>
      </c>
      <c r="Q82" s="123" t="str">
        <f t="shared" si="4"/>
        <v>#VALUE!</v>
      </c>
      <c r="R82" s="124" t="str">
        <f t="shared" si="5"/>
        <v>#VALUE!</v>
      </c>
      <c r="S82" s="125" t="str">
        <f t="shared" si="6"/>
        <v>#VALUE!</v>
      </c>
      <c r="T82" s="125" t="str">
        <f t="shared" si="7"/>
        <v>#VALUE!</v>
      </c>
      <c r="U82" s="83">
        <f t="shared" si="8"/>
        <v>0</v>
      </c>
      <c r="V82" s="88" t="str">
        <f>ifs($N82="",VLOOKUP($C82&amp;$F82,'MARCH - VISIT DATA'!$A$2:$J600,7,FALSE), $N82="SWAB","OUTSA-RW",$N82="SWQU","OUTSA-SaQu", AND($L82="X",$M82="X",$N82="QUEST"),"OUT-UAQPre",$N82="QUEST","OUT-UAQ", $N82="Walk in","ColUATele")</f>
        <v>UA-NWPT</v>
      </c>
      <c r="W82" s="70" t="str">
        <f t="shared" si="9"/>
        <v>UA-NWPT : UA New Patient</v>
      </c>
      <c r="X82" s="64" t="str">
        <f t="shared" si="10"/>
        <v>UA-NWPT : UA New Patient</v>
      </c>
      <c r="Y82" s="64" t="str">
        <f t="shared" si="11"/>
        <v>MATCH</v>
      </c>
      <c r="Z82" s="66" t="str">
        <f t="shared" si="12"/>
        <v> </v>
      </c>
      <c r="AA82" s="71"/>
    </row>
    <row r="83" ht="15.75" customHeight="1">
      <c r="A83" s="56" t="str">
        <f t="shared" si="1"/>
        <v>1826744627</v>
      </c>
      <c r="B83" s="56" t="str">
        <f>IFS($C83=FALSE,"",$C83,VLOOKUP($C83,'PATIENT DATA (072721)'!A:C, 2, 0))</f>
        <v>SOLIS, MARIA D</v>
      </c>
      <c r="C83" s="57">
        <v>18267.0</v>
      </c>
      <c r="D83" s="127" t="str">
        <f>IF(COUNTIF('PATIENT DATA (072721)'!A:A, C83)=0, "X","✓")</f>
        <v>✓</v>
      </c>
      <c r="E83" s="79">
        <f>IFS($C83=FALSE,"",$C83,VLOOKUP($C83,'PATIENT DATA (072721)'!A:C, 3, 0))</f>
        <v>19572</v>
      </c>
      <c r="F83" s="80">
        <v>44627.0</v>
      </c>
      <c r="G83" s="81">
        <f>ifs($C83="","",$C83, VLOOKUP($C83&amp;$F83, 'MARCH - VISIT DATA'!A:O,3,0))</f>
        <v>0.4479166667</v>
      </c>
      <c r="H83" s="83" t="s">
        <v>6561</v>
      </c>
      <c r="I83" s="122" t="str">
        <f>VLOOKUP($C83&amp;$F83,'MARCH - VISIT DATA'!A:J, 9, FALSE)</f>
        <v>LOPEZ</v>
      </c>
      <c r="J83" s="85" t="str">
        <f>VLOOKUP(C83&amp;F83,'MARCH - VISIT DATA'!A:O,10,FALSE)</f>
        <v>AETNA MEDICARE ADVANTAGE</v>
      </c>
      <c r="K83" s="86" t="s">
        <v>6559</v>
      </c>
      <c r="L83" s="86"/>
      <c r="M83" s="86"/>
      <c r="N83" s="86"/>
      <c r="O83" s="121" t="str">
        <f t="shared" si="2"/>
        <v>✓</v>
      </c>
      <c r="P83" s="79" t="str">
        <f t="shared" si="3"/>
        <v>#VALUE!</v>
      </c>
      <c r="Q83" s="123" t="str">
        <f t="shared" si="4"/>
        <v>#VALUE!</v>
      </c>
      <c r="R83" s="124" t="str">
        <f t="shared" si="5"/>
        <v>#VALUE!</v>
      </c>
      <c r="S83" s="125" t="str">
        <f t="shared" si="6"/>
        <v>#VALUE!</v>
      </c>
      <c r="T83" s="125" t="str">
        <f t="shared" si="7"/>
        <v>#VALUE!</v>
      </c>
      <c r="U83" s="83">
        <f t="shared" si="8"/>
        <v>0</v>
      </c>
      <c r="V83" s="88" t="str">
        <f>ifs($N83="",VLOOKUP($C83&amp;$F83,'MARCH - VISIT DATA'!$A$2:$J600,7,FALSE), $N83="SWAB","OUTSA-RW",$N83="SWQU","OUTSA-SaQu", AND($L83="X",$M83="X",$N83="QUEST"),"OUT-UAQPre",$N83="QUEST","OUT-UAQ", $N83="Walk in","ColUATele")</f>
        <v>UA-NWPT</v>
      </c>
      <c r="W83" s="70" t="str">
        <f t="shared" si="9"/>
        <v>UA-NWPT : UA New Patient</v>
      </c>
      <c r="X83" s="64" t="str">
        <f t="shared" si="10"/>
        <v>UA-NWPT : UA New Patient</v>
      </c>
      <c r="Y83" s="64" t="str">
        <f t="shared" si="11"/>
        <v>MATCH</v>
      </c>
      <c r="Z83" s="66" t="str">
        <f t="shared" si="12"/>
        <v> </v>
      </c>
      <c r="AA83" s="71"/>
    </row>
    <row r="84" ht="15.75" hidden="1" customHeight="1">
      <c r="A84" s="56" t="str">
        <f t="shared" si="1"/>
        <v>947944627</v>
      </c>
      <c r="B84" s="56" t="str">
        <f>IFS($C84=FALSE,"",$C84,VLOOKUP($C84,'PATIENT DATA (072721)'!A:C, 2, 0))</f>
        <v>SMITH, SHIRLEY</v>
      </c>
      <c r="C84" s="57">
        <v>9479.0</v>
      </c>
      <c r="D84" s="127" t="str">
        <f>IF(COUNTIF('PATIENT DATA (072721)'!A:A, C84)=0, "X","✓")</f>
        <v>✓</v>
      </c>
      <c r="E84" s="79">
        <f>IFS($C84=FALSE,"",$C84,VLOOKUP($C84,'PATIENT DATA (072721)'!A:C, 3, 0))</f>
        <v>19225</v>
      </c>
      <c r="F84" s="80">
        <v>44627.0</v>
      </c>
      <c r="G84" s="81">
        <f>ifs($C84="","",$C84, VLOOKUP($C84&amp;$F84, 'MARCH - VISIT DATA'!A:O,3,0))</f>
        <v>0.4583333333</v>
      </c>
      <c r="H84" s="83" t="s">
        <v>6560</v>
      </c>
      <c r="I84" s="122" t="str">
        <f>VLOOKUP($C84&amp;$F84,'MARCH - VISIT DATA'!A:J, 9, FALSE)</f>
        <v>TORRES</v>
      </c>
      <c r="J84" s="85" t="str">
        <f>VLOOKUP(C84&amp;F84,'MARCH - VISIT DATA'!A:O,10,FALSE)</f>
        <v>MEDICARE TEXAS</v>
      </c>
      <c r="K84" s="86"/>
      <c r="L84" s="86" t="s">
        <v>6559</v>
      </c>
      <c r="M84" s="86" t="s">
        <v>6559</v>
      </c>
      <c r="N84" s="86"/>
      <c r="O84" s="121" t="str">
        <f t="shared" si="2"/>
        <v>✓</v>
      </c>
      <c r="P84" s="79" t="str">
        <f t="shared" si="3"/>
        <v>#VALUE!</v>
      </c>
      <c r="Q84" s="123" t="str">
        <f t="shared" si="4"/>
        <v>#VALUE!</v>
      </c>
      <c r="R84" s="124" t="str">
        <f t="shared" si="5"/>
        <v>#VALUE!</v>
      </c>
      <c r="S84" s="125" t="str">
        <f t="shared" si="6"/>
        <v>#VALUE!</v>
      </c>
      <c r="T84" s="125" t="str">
        <f t="shared" si="7"/>
        <v>#VALUE!</v>
      </c>
      <c r="U84" s="83">
        <f t="shared" si="8"/>
        <v>0</v>
      </c>
      <c r="V84" s="88" t="str">
        <f>ifs($N84="",VLOOKUP($C84&amp;$F84,'MARCH - VISIT DATA'!$A$2:$J600,7,FALSE), $N84="SWAB","OUTSA-RW",$N84="SWQU","OUTSA-SaQu", AND($L84="X",$M84="X",$N84="QUEST"),"OUT-UAQPre",$N84="QUEST","OUT-UAQ", $N84="Walk in","ColUATele")</f>
        <v>UA-Prelim</v>
      </c>
      <c r="W84" s="70" t="str">
        <f t="shared" si="9"/>
        <v>UA-Prelim : Preliminary UA Test</v>
      </c>
      <c r="X84" s="64" t="str">
        <f t="shared" si="10"/>
        <v>UA-Prelim : Preliminary UA Test</v>
      </c>
      <c r="Y84" s="64" t="str">
        <f t="shared" si="11"/>
        <v>MATCH</v>
      </c>
      <c r="Z84" s="66" t="str">
        <f t="shared" si="12"/>
        <v> </v>
      </c>
      <c r="AA84" s="71"/>
    </row>
    <row r="85" ht="15.75" customHeight="1">
      <c r="A85" s="56" t="str">
        <f t="shared" si="1"/>
        <v>937744627</v>
      </c>
      <c r="B85" s="56" t="str">
        <f>IFS($C85=FALSE,"",$C85,VLOOKUP($C85,'PATIENT DATA (072721)'!A:C, 2, 0))</f>
        <v>SAMBRANO, ELIZABETH J</v>
      </c>
      <c r="C85" s="57">
        <v>9377.0</v>
      </c>
      <c r="D85" s="127" t="str">
        <f>IF(COUNTIF('PATIENT DATA (072721)'!A:A, C85)=0, "X","✓")</f>
        <v>✓</v>
      </c>
      <c r="E85" s="79">
        <f>IFS($C85=FALSE,"",$C85,VLOOKUP($C85,'PATIENT DATA (072721)'!A:C, 3, 0))</f>
        <v>26302</v>
      </c>
      <c r="F85" s="80">
        <v>44627.0</v>
      </c>
      <c r="G85" s="81">
        <f>ifs($C85="","",$C85, VLOOKUP($C85&amp;$F85, 'MARCH - VISIT DATA'!A:O,3,0))</f>
        <v>0.46875</v>
      </c>
      <c r="H85" s="83" t="s">
        <v>6558</v>
      </c>
      <c r="I85" s="122" t="str">
        <f>VLOOKUP($C85&amp;$F85,'MARCH - VISIT DATA'!A:J, 9, FALSE)</f>
        <v>MARTINEZ</v>
      </c>
      <c r="J85" s="85" t="str">
        <f>VLOOKUP(C85&amp;F85,'MARCH - VISIT DATA'!A:O,10,FALSE)</f>
        <v>MEDICARE TEXAS</v>
      </c>
      <c r="K85" s="86"/>
      <c r="L85" s="86" t="s">
        <v>6559</v>
      </c>
      <c r="M85" s="86"/>
      <c r="N85" s="86"/>
      <c r="O85" s="121" t="str">
        <f t="shared" si="2"/>
        <v>✓</v>
      </c>
      <c r="P85" s="79" t="str">
        <f t="shared" si="3"/>
        <v>#VALUE!</v>
      </c>
      <c r="Q85" s="123" t="str">
        <f t="shared" si="4"/>
        <v>#VALUE!</v>
      </c>
      <c r="R85" s="124" t="str">
        <f t="shared" si="5"/>
        <v>#VALUE!</v>
      </c>
      <c r="S85" s="125" t="str">
        <f t="shared" si="6"/>
        <v>#VALUE!</v>
      </c>
      <c r="T85" s="125" t="str">
        <f t="shared" si="7"/>
        <v>#VALUE!</v>
      </c>
      <c r="U85" s="83">
        <f t="shared" si="8"/>
        <v>0</v>
      </c>
      <c r="V85" s="88" t="str">
        <f>ifs($N85="",VLOOKUP($C85&amp;$F85,'MARCH - VISIT DATA'!$A$2:$J600,7,FALSE), $N85="SWAB","OUTSA-RW",$N85="SWQU","OUTSA-SaQu", AND($L85="X",$M85="X",$N85="QUEST"),"OUT-UAQPre",$N85="QUEST","OUT-UAQ", $N85="Walk in","ColUATele")</f>
        <v>UA</v>
      </c>
      <c r="W85" s="70" t="str">
        <f t="shared" si="9"/>
        <v>UA : Urine Analysis In House</v>
      </c>
      <c r="X85" s="64" t="str">
        <f t="shared" si="10"/>
        <v>UA : Urine Analysis In House</v>
      </c>
      <c r="Y85" s="64" t="str">
        <f t="shared" si="11"/>
        <v>MATCH</v>
      </c>
      <c r="Z85" s="66" t="str">
        <f t="shared" si="12"/>
        <v> </v>
      </c>
      <c r="AA85" s="71"/>
    </row>
    <row r="86" ht="15.75" hidden="1" customHeight="1">
      <c r="A86" s="56" t="str">
        <f t="shared" si="1"/>
        <v>1412644627</v>
      </c>
      <c r="B86" s="56" t="str">
        <f>IFS($C86=FALSE,"",$C86,VLOOKUP($C86,'PATIENT DATA (072721)'!A:C, 2, 0))</f>
        <v>PENDELTON, JOHN</v>
      </c>
      <c r="C86" s="57">
        <v>14126.0</v>
      </c>
      <c r="D86" s="127" t="str">
        <f>IF(COUNTIF('PATIENT DATA (072721)'!A:A, C86)=0, "X","✓")</f>
        <v>✓</v>
      </c>
      <c r="E86" s="79">
        <f>IFS($C86=FALSE,"",$C86,VLOOKUP($C86,'PATIENT DATA (072721)'!A:C, 3, 0))</f>
        <v>18823</v>
      </c>
      <c r="F86" s="80">
        <v>44627.0</v>
      </c>
      <c r="G86" s="81">
        <f>ifs($C86="","",$C86, VLOOKUP($C86&amp;$F86, 'MARCH - VISIT DATA'!A:O,3,0))</f>
        <v>0.46875</v>
      </c>
      <c r="H86" s="83" t="s">
        <v>6560</v>
      </c>
      <c r="I86" s="122" t="str">
        <f>VLOOKUP($C86&amp;$F86,'MARCH - VISIT DATA'!A:J, 9, FALSE)</f>
        <v>TORRES</v>
      </c>
      <c r="J86" s="85" t="str">
        <f>VLOOKUP(C86&amp;F86,'MARCH - VISIT DATA'!A:O,10,FALSE)</f>
        <v>WPS VA - COMMUNITY CARE</v>
      </c>
      <c r="K86" s="86"/>
      <c r="L86" s="86" t="s">
        <v>6559</v>
      </c>
      <c r="M86" s="86" t="s">
        <v>6559</v>
      </c>
      <c r="N86" s="86"/>
      <c r="O86" s="121" t="str">
        <f t="shared" si="2"/>
        <v>✓</v>
      </c>
      <c r="P86" s="79" t="str">
        <f t="shared" si="3"/>
        <v>#VALUE!</v>
      </c>
      <c r="Q86" s="123" t="str">
        <f t="shared" si="4"/>
        <v>#VALUE!</v>
      </c>
      <c r="R86" s="124" t="str">
        <f t="shared" si="5"/>
        <v>#VALUE!</v>
      </c>
      <c r="S86" s="125" t="str">
        <f t="shared" si="6"/>
        <v>#VALUE!</v>
      </c>
      <c r="T86" s="125" t="str">
        <f t="shared" si="7"/>
        <v>#VALUE!</v>
      </c>
      <c r="U86" s="83">
        <f t="shared" si="8"/>
        <v>0</v>
      </c>
      <c r="V86" s="88" t="str">
        <f>ifs($N86="",VLOOKUP($C86&amp;$F86,'MARCH - VISIT DATA'!$A$2:$J600,7,FALSE), $N86="SWAB","OUTSA-RW",$N86="SWQU","OUTSA-SaQu", AND($L86="X",$M86="X",$N86="QUEST"),"OUT-UAQPre",$N86="QUEST","OUT-UAQ", $N86="Walk in","ColUATele")</f>
        <v>UA-Prelim</v>
      </c>
      <c r="W86" s="70" t="str">
        <f t="shared" si="9"/>
        <v>UA-Prelim : Preliminary UA Test</v>
      </c>
      <c r="X86" s="64" t="str">
        <f t="shared" si="10"/>
        <v>UA-Prelim : Preliminary UA Test</v>
      </c>
      <c r="Y86" s="64" t="str">
        <f t="shared" si="11"/>
        <v>MATCH</v>
      </c>
      <c r="Z86" s="66" t="str">
        <f t="shared" si="12"/>
        <v> </v>
      </c>
      <c r="AA86" s="71"/>
    </row>
    <row r="87" ht="15.75" customHeight="1">
      <c r="A87" s="56" t="str">
        <f t="shared" si="1"/>
        <v>1642544627</v>
      </c>
      <c r="B87" s="56" t="str">
        <f>IFS($C87=FALSE,"",$C87,VLOOKUP($C87,'PATIENT DATA (072721)'!A:C, 2, 0))</f>
        <v>GARCIA, ALEJANDRA</v>
      </c>
      <c r="C87" s="57">
        <v>16425.0</v>
      </c>
      <c r="D87" s="127" t="str">
        <f>IF(COUNTIF('PATIENT DATA (072721)'!A:A, C87)=0, "X","✓")</f>
        <v>✓</v>
      </c>
      <c r="E87" s="79">
        <f>IFS($C87=FALSE,"",$C87,VLOOKUP($C87,'PATIENT DATA (072721)'!A:C, 3, 0))</f>
        <v>28522</v>
      </c>
      <c r="F87" s="80">
        <v>44627.0</v>
      </c>
      <c r="G87" s="81">
        <f>ifs($C87="","",$C87, VLOOKUP($C87&amp;$F87, 'MARCH - VISIT DATA'!A:O,3,0))</f>
        <v>0.5416666667</v>
      </c>
      <c r="H87" s="83" t="s">
        <v>6558</v>
      </c>
      <c r="I87" s="122" t="str">
        <f>VLOOKUP($C87&amp;$F87,'MARCH - VISIT DATA'!A:J, 9, FALSE)</f>
        <v>MARTINEZ</v>
      </c>
      <c r="J87" s="85" t="str">
        <f>VLOOKUP(C87&amp;F87,'MARCH - VISIT DATA'!A:O,10,FALSE)</f>
        <v>FRIDAY HEALTH PLAN</v>
      </c>
      <c r="K87" s="86"/>
      <c r="L87" s="86" t="s">
        <v>6559</v>
      </c>
      <c r="M87" s="86"/>
      <c r="N87" s="86"/>
      <c r="O87" s="121" t="str">
        <f t="shared" si="2"/>
        <v>✓</v>
      </c>
      <c r="P87" s="79" t="str">
        <f t="shared" si="3"/>
        <v>#VALUE!</v>
      </c>
      <c r="Q87" s="123" t="str">
        <f t="shared" si="4"/>
        <v>#VALUE!</v>
      </c>
      <c r="R87" s="124" t="str">
        <f t="shared" si="5"/>
        <v>#VALUE!</v>
      </c>
      <c r="S87" s="125" t="str">
        <f t="shared" si="6"/>
        <v>#VALUE!</v>
      </c>
      <c r="T87" s="125" t="str">
        <f t="shared" si="7"/>
        <v>#VALUE!</v>
      </c>
      <c r="U87" s="83">
        <f t="shared" si="8"/>
        <v>0</v>
      </c>
      <c r="V87" s="88" t="str">
        <f>ifs($N87="",VLOOKUP($C87&amp;$F87,'MARCH - VISIT DATA'!$A$2:$J600,7,FALSE), $N87="SWAB","OUTSA-RW",$N87="SWQU","OUTSA-SaQu", AND($L87="X",$M87="X",$N87="QUEST"),"OUT-UAQPre",$N87="QUEST","OUT-UAQ", $N87="Walk in","ColUATele")</f>
        <v>UA</v>
      </c>
      <c r="W87" s="70" t="str">
        <f t="shared" si="9"/>
        <v>UA : Urine Analysis In House</v>
      </c>
      <c r="X87" s="64" t="str">
        <f t="shared" si="10"/>
        <v>UA : Urine Analysis In House</v>
      </c>
      <c r="Y87" s="64" t="str">
        <f t="shared" si="11"/>
        <v>MATCH</v>
      </c>
      <c r="Z87" s="66" t="str">
        <f t="shared" si="12"/>
        <v> </v>
      </c>
      <c r="AA87" s="71"/>
    </row>
    <row r="88" ht="15.75" customHeight="1">
      <c r="A88" s="56" t="str">
        <f t="shared" si="1"/>
        <v>1827344627</v>
      </c>
      <c r="B88" s="56" t="str">
        <f>IFS($C88=FALSE,"",$C88,VLOOKUP($C88,'PATIENT DATA (072721)'!A:C, 2, 0))</f>
        <v>TREVINO, EDUARDO</v>
      </c>
      <c r="C88" s="57">
        <v>18273.0</v>
      </c>
      <c r="D88" s="127" t="str">
        <f>IF(COUNTIF('PATIENT DATA (072721)'!A:A, C88)=0, "X","✓")</f>
        <v>✓</v>
      </c>
      <c r="E88" s="79">
        <f>IFS($C88=FALSE,"",$C88,VLOOKUP($C88,'PATIENT DATA (072721)'!A:C, 3, 0))</f>
        <v>26448</v>
      </c>
      <c r="F88" s="80">
        <v>44627.0</v>
      </c>
      <c r="G88" s="81">
        <f>ifs($C88="","",$C88, VLOOKUP($C88&amp;$F88, 'MARCH - VISIT DATA'!A:O,3,0))</f>
        <v>0.5416666667</v>
      </c>
      <c r="H88" s="83" t="s">
        <v>6561</v>
      </c>
      <c r="I88" s="122" t="str">
        <f>VLOOKUP($C88&amp;$F88,'MARCH - VISIT DATA'!A:J, 9, FALSE)</f>
        <v>LOPEZ</v>
      </c>
      <c r="J88" s="85" t="str">
        <f>VLOOKUP(C88&amp;F88,'MARCH - VISIT DATA'!A:O,10,FALSE)</f>
        <v>CIGNA - NALC</v>
      </c>
      <c r="K88" s="86" t="s">
        <v>6559</v>
      </c>
      <c r="L88" s="86"/>
      <c r="M88" s="86"/>
      <c r="N88" s="86"/>
      <c r="O88" s="121" t="str">
        <f t="shared" si="2"/>
        <v>✓</v>
      </c>
      <c r="P88" s="79" t="str">
        <f t="shared" si="3"/>
        <v>#VALUE!</v>
      </c>
      <c r="Q88" s="123" t="str">
        <f t="shared" si="4"/>
        <v>#VALUE!</v>
      </c>
      <c r="R88" s="124" t="str">
        <f t="shared" si="5"/>
        <v>#VALUE!</v>
      </c>
      <c r="S88" s="125" t="str">
        <f t="shared" si="6"/>
        <v>#VALUE!</v>
      </c>
      <c r="T88" s="125" t="str">
        <f t="shared" si="7"/>
        <v>#VALUE!</v>
      </c>
      <c r="U88" s="83">
        <f t="shared" si="8"/>
        <v>0</v>
      </c>
      <c r="V88" s="88" t="str">
        <f>ifs($N88="",VLOOKUP($C88&amp;$F88,'MARCH - VISIT DATA'!$A$2:$J600,7,FALSE), $N88="SWAB","OUTSA-RW",$N88="SWQU","OUTSA-SaQu", AND($L88="X",$M88="X",$N88="QUEST"),"OUT-UAQPre",$N88="QUEST","OUT-UAQ", $N88="Walk in","ColUATele")</f>
        <v>UA-NWPT</v>
      </c>
      <c r="W88" s="70" t="str">
        <f t="shared" si="9"/>
        <v>UA-NWPT : UA New Patient</v>
      </c>
      <c r="X88" s="64" t="str">
        <f t="shared" si="10"/>
        <v>UA-NWPT : UA New Patient</v>
      </c>
      <c r="Y88" s="64" t="str">
        <f t="shared" si="11"/>
        <v>MATCH</v>
      </c>
      <c r="Z88" s="66" t="str">
        <f t="shared" si="12"/>
        <v> </v>
      </c>
      <c r="AA88" s="71"/>
    </row>
    <row r="89" ht="15.75" hidden="1" customHeight="1">
      <c r="A89" s="56" t="str">
        <f t="shared" si="1"/>
        <v>1616644627</v>
      </c>
      <c r="B89" s="56" t="str">
        <f>IFS($C89=FALSE,"",$C89,VLOOKUP($C89,'PATIENT DATA (072721)'!A:C, 2, 0))</f>
        <v>ZARATE, MARIA M</v>
      </c>
      <c r="C89" s="57">
        <v>16166.0</v>
      </c>
      <c r="D89" s="127" t="str">
        <f>IF(COUNTIF('PATIENT DATA (072721)'!A:A, C89)=0, "X","✓")</f>
        <v>✓</v>
      </c>
      <c r="E89" s="79">
        <f>IFS($C89=FALSE,"",$C89,VLOOKUP($C89,'PATIENT DATA (072721)'!A:C, 3, 0))</f>
        <v>21767</v>
      </c>
      <c r="F89" s="80">
        <v>44627.0</v>
      </c>
      <c r="G89" s="81">
        <f>ifs($C89="","",$C89, VLOOKUP($C89&amp;$F89, 'MARCH - VISIT DATA'!A:O,3,0))</f>
        <v>0.5625</v>
      </c>
      <c r="H89" s="83" t="s">
        <v>6558</v>
      </c>
      <c r="I89" s="122" t="str">
        <f>VLOOKUP($C89&amp;$F89,'MARCH - VISIT DATA'!A:J, 9, FALSE)</f>
        <v>MARTINEZ</v>
      </c>
      <c r="J89" s="85" t="str">
        <f>VLOOKUP(C89&amp;F89,'MARCH - VISIT DATA'!A:O,10,FALSE)</f>
        <v>WELLCARE OF TEXAS</v>
      </c>
      <c r="K89" s="86"/>
      <c r="L89" s="86" t="s">
        <v>6559</v>
      </c>
      <c r="M89" s="86" t="s">
        <v>6559</v>
      </c>
      <c r="N89" s="86"/>
      <c r="O89" s="121" t="str">
        <f t="shared" si="2"/>
        <v>✓</v>
      </c>
      <c r="P89" s="79" t="str">
        <f t="shared" si="3"/>
        <v>#VALUE!</v>
      </c>
      <c r="Q89" s="123" t="str">
        <f t="shared" si="4"/>
        <v>#VALUE!</v>
      </c>
      <c r="R89" s="124" t="str">
        <f t="shared" si="5"/>
        <v>#VALUE!</v>
      </c>
      <c r="S89" s="125" t="str">
        <f t="shared" si="6"/>
        <v>#VALUE!</v>
      </c>
      <c r="T89" s="125" t="str">
        <f t="shared" si="7"/>
        <v>#VALUE!</v>
      </c>
      <c r="U89" s="83">
        <f t="shared" si="8"/>
        <v>0</v>
      </c>
      <c r="V89" s="88" t="str">
        <f>ifs($N89="",VLOOKUP($C89&amp;$F89,'MARCH - VISIT DATA'!$A$2:$J600,7,FALSE), $N89="SWAB","OUTSA-RW",$N89="SWQU","OUTSA-SaQu", AND($L89="X",$M89="X",$N89="QUEST"),"OUT-UAQPre",$N89="QUEST","OUT-UAQ", $N89="Walk in","ColUATele")</f>
        <v>UA-Prelim</v>
      </c>
      <c r="W89" s="70" t="str">
        <f t="shared" si="9"/>
        <v>UA-Prelim : Preliminary UA Test</v>
      </c>
      <c r="X89" s="64" t="str">
        <f t="shared" si="10"/>
        <v>UA-Prelim : Preliminary UA Test</v>
      </c>
      <c r="Y89" s="64" t="str">
        <f t="shared" si="11"/>
        <v>MATCH</v>
      </c>
      <c r="Z89" s="66" t="str">
        <f t="shared" si="12"/>
        <v> </v>
      </c>
      <c r="AA89" s="71"/>
    </row>
    <row r="90" ht="15.75" hidden="1" customHeight="1">
      <c r="A90" s="56" t="str">
        <f t="shared" si="1"/>
        <v>1616744627</v>
      </c>
      <c r="B90" s="56" t="str">
        <f>IFS($C90=FALSE,"",$C90,VLOOKUP($C90,'PATIENT DATA (072721)'!A:C, 2, 0))</f>
        <v>GASTON, JAMES H</v>
      </c>
      <c r="C90" s="57">
        <v>16167.0</v>
      </c>
      <c r="D90" s="127" t="str">
        <f>IF(COUNTIF('PATIENT DATA (072721)'!A:A, C90)=0, "X","✓")</f>
        <v>✓</v>
      </c>
      <c r="E90" s="79">
        <f>IFS($C90=FALSE,"",$C90,VLOOKUP($C90,'PATIENT DATA (072721)'!A:C, 3, 0))</f>
        <v>19877</v>
      </c>
      <c r="F90" s="80">
        <v>44627.0</v>
      </c>
      <c r="G90" s="81">
        <f>ifs($C90="","",$C90, VLOOKUP($C90&amp;$F90, 'MARCH - VISIT DATA'!A:O,3,0))</f>
        <v>0.5625</v>
      </c>
      <c r="H90" s="83" t="s">
        <v>6558</v>
      </c>
      <c r="I90" s="122" t="str">
        <f>VLOOKUP($C90&amp;$F90,'MARCH - VISIT DATA'!A:J, 9, FALSE)</f>
        <v>MARTINEZ</v>
      </c>
      <c r="J90" s="85" t="str">
        <f>VLOOKUP(C90&amp;F90,'MARCH - VISIT DATA'!A:O,10,FALSE)</f>
        <v>WELLCARE OF TEXAS</v>
      </c>
      <c r="K90" s="86"/>
      <c r="L90" s="86" t="s">
        <v>6559</v>
      </c>
      <c r="M90" s="86" t="s">
        <v>6559</v>
      </c>
      <c r="N90" s="86"/>
      <c r="O90" s="121" t="str">
        <f t="shared" si="2"/>
        <v>✓</v>
      </c>
      <c r="P90" s="79" t="str">
        <f t="shared" si="3"/>
        <v>#VALUE!</v>
      </c>
      <c r="Q90" s="123" t="str">
        <f t="shared" si="4"/>
        <v>#VALUE!</v>
      </c>
      <c r="R90" s="124" t="str">
        <f t="shared" si="5"/>
        <v>#VALUE!</v>
      </c>
      <c r="S90" s="125" t="str">
        <f t="shared" si="6"/>
        <v>#VALUE!</v>
      </c>
      <c r="T90" s="125" t="str">
        <f t="shared" si="7"/>
        <v>#VALUE!</v>
      </c>
      <c r="U90" s="83">
        <f t="shared" si="8"/>
        <v>0</v>
      </c>
      <c r="V90" s="88" t="str">
        <f>ifs($N90="",VLOOKUP($C90&amp;$F90,'MARCH - VISIT DATA'!$A$2:$J600,7,FALSE), $N90="SWAB","OUTSA-RW",$N90="SWQU","OUTSA-SaQu", AND($L90="X",$M90="X",$N90="QUEST"),"OUT-UAQPre",$N90="QUEST","OUT-UAQ", $N90="Walk in","ColUATele")</f>
        <v>UA-Prelim</v>
      </c>
      <c r="W90" s="70" t="str">
        <f t="shared" si="9"/>
        <v>UA-Prelim : Preliminary UA Test</v>
      </c>
      <c r="X90" s="64" t="str">
        <f t="shared" si="10"/>
        <v>UA-Prelim : Preliminary UA Test</v>
      </c>
      <c r="Y90" s="64" t="str">
        <f t="shared" si="11"/>
        <v>MATCH</v>
      </c>
      <c r="Z90" s="66" t="str">
        <f t="shared" si="12"/>
        <v> </v>
      </c>
      <c r="AA90" s="71"/>
    </row>
    <row r="91" ht="15.75" customHeight="1">
      <c r="A91" s="56" t="str">
        <f t="shared" si="1"/>
        <v>1831644627</v>
      </c>
      <c r="B91" s="56" t="str">
        <f>IFS($C91=FALSE,"",$C91,VLOOKUP($C91,'PATIENT DATA (072721)'!A:C, 2, 0))</f>
        <v>ANDREWS, TRACY</v>
      </c>
      <c r="C91" s="57">
        <v>18316.0</v>
      </c>
      <c r="D91" s="127" t="str">
        <f>IF(COUNTIF('PATIENT DATA (072721)'!A:A, C91)=0, "X","✓")</f>
        <v>✓</v>
      </c>
      <c r="E91" s="79">
        <f>IFS($C91=FALSE,"",$C91,VLOOKUP($C91,'PATIENT DATA (072721)'!A:C, 3, 0))</f>
        <v>24528</v>
      </c>
      <c r="F91" s="80">
        <v>44627.0</v>
      </c>
      <c r="G91" s="81">
        <f>ifs($C91="","",$C91, VLOOKUP($C91&amp;$F91, 'MARCH - VISIT DATA'!A:O,3,0))</f>
        <v>0.5625</v>
      </c>
      <c r="H91" s="83" t="s">
        <v>6561</v>
      </c>
      <c r="I91" s="122" t="str">
        <f>VLOOKUP($C91&amp;$F91,'MARCH - VISIT DATA'!A:J, 9, FALSE)</f>
        <v>LOPEZ</v>
      </c>
      <c r="J91" s="85" t="str">
        <f>VLOOKUP(C91&amp;F91,'MARCH - VISIT DATA'!A:O,10,FALSE)</f>
        <v>BCBSTX PPO</v>
      </c>
      <c r="K91" s="86" t="s">
        <v>6559</v>
      </c>
      <c r="L91" s="86"/>
      <c r="M91" s="86"/>
      <c r="N91" s="86"/>
      <c r="O91" s="121" t="str">
        <f t="shared" si="2"/>
        <v>✓</v>
      </c>
      <c r="P91" s="79" t="str">
        <f t="shared" si="3"/>
        <v>#VALUE!</v>
      </c>
      <c r="Q91" s="123" t="str">
        <f t="shared" si="4"/>
        <v>#VALUE!</v>
      </c>
      <c r="R91" s="124" t="str">
        <f t="shared" si="5"/>
        <v>#VALUE!</v>
      </c>
      <c r="S91" s="125" t="str">
        <f t="shared" si="6"/>
        <v>#VALUE!</v>
      </c>
      <c r="T91" s="125" t="str">
        <f t="shared" si="7"/>
        <v>#VALUE!</v>
      </c>
      <c r="U91" s="83">
        <f t="shared" si="8"/>
        <v>0</v>
      </c>
      <c r="V91" s="88" t="str">
        <f>ifs($N91="",VLOOKUP($C91&amp;$F91,'MARCH - VISIT DATA'!$A$2:$J600,7,FALSE), $N91="SWAB","OUTSA-RW",$N91="SWQU","OUTSA-SaQu", AND($L91="X",$M91="X",$N91="QUEST"),"OUT-UAQPre",$N91="QUEST","OUT-UAQ", $N91="Walk in","ColUATele")</f>
        <v>UA-NWPT</v>
      </c>
      <c r="W91" s="70" t="str">
        <f t="shared" si="9"/>
        <v>UA-NWPT : UA New Patient</v>
      </c>
      <c r="X91" s="64" t="str">
        <f t="shared" si="10"/>
        <v>UA-NWPT : UA New Patient</v>
      </c>
      <c r="Y91" s="64" t="str">
        <f t="shared" si="11"/>
        <v>MATCH</v>
      </c>
      <c r="Z91" s="66" t="str">
        <f t="shared" si="12"/>
        <v> </v>
      </c>
      <c r="AA91" s="71"/>
    </row>
    <row r="92" ht="15.75" hidden="1" customHeight="1">
      <c r="A92" s="56" t="str">
        <f t="shared" si="1"/>
        <v>1691444627</v>
      </c>
      <c r="B92" s="56" t="str">
        <f>IFS($C92=FALSE,"",$C92,VLOOKUP($C92,'PATIENT DATA (072721)'!A:C, 2, 0))</f>
        <v>BESS-OBERTO, BLANCA E</v>
      </c>
      <c r="C92" s="57">
        <v>16914.0</v>
      </c>
      <c r="D92" s="127" t="str">
        <f>IF(COUNTIF('PATIENT DATA (072721)'!A:A, C92)=0, "X","✓")</f>
        <v>✓</v>
      </c>
      <c r="E92" s="79">
        <f>IFS($C92=FALSE,"",$C92,VLOOKUP($C92,'PATIENT DATA (072721)'!A:C, 3, 0))</f>
        <v>22267</v>
      </c>
      <c r="F92" s="80">
        <v>44627.0</v>
      </c>
      <c r="G92" s="81">
        <f>ifs($C92="","",$C92, VLOOKUP($C92&amp;$F92, 'MARCH - VISIT DATA'!A:O,3,0))</f>
        <v>0.5729166667</v>
      </c>
      <c r="H92" s="83" t="s">
        <v>6562</v>
      </c>
      <c r="I92" s="122" t="str">
        <f>VLOOKUP($C92&amp;$F92,'MARCH - VISIT DATA'!A:J, 9, FALSE)</f>
        <v>THOMAS</v>
      </c>
      <c r="J92" s="85" t="str">
        <f>VLOOKUP(C92&amp;F92,'MARCH - VISIT DATA'!A:O,10,FALSE)</f>
        <v>BCBSTX HMO</v>
      </c>
      <c r="K92" s="86"/>
      <c r="L92" s="86" t="s">
        <v>6559</v>
      </c>
      <c r="M92" s="86" t="s">
        <v>6559</v>
      </c>
      <c r="N92" s="86"/>
      <c r="O92" s="121" t="str">
        <f t="shared" si="2"/>
        <v>✓</v>
      </c>
      <c r="P92" s="79" t="str">
        <f t="shared" si="3"/>
        <v>#VALUE!</v>
      </c>
      <c r="Q92" s="123" t="str">
        <f t="shared" si="4"/>
        <v>#VALUE!</v>
      </c>
      <c r="R92" s="124" t="str">
        <f t="shared" si="5"/>
        <v>#VALUE!</v>
      </c>
      <c r="S92" s="125" t="str">
        <f t="shared" si="6"/>
        <v>#VALUE!</v>
      </c>
      <c r="T92" s="125" t="str">
        <f t="shared" si="7"/>
        <v>#VALUE!</v>
      </c>
      <c r="U92" s="83">
        <f t="shared" si="8"/>
        <v>0</v>
      </c>
      <c r="V92" s="88" t="str">
        <f>ifs($N92="",VLOOKUP($C92&amp;$F92,'MARCH - VISIT DATA'!$A$2:$J600,7,FALSE), $N92="SWAB","OUTSA-RW",$N92="SWQU","OUTSA-SaQu", AND($L92="X",$M92="X",$N92="QUEST"),"OUT-UAQPre",$N92="QUEST","OUT-UAQ", $N92="Walk in","ColUATele")</f>
        <v>UA-Prelim</v>
      </c>
      <c r="W92" s="70" t="str">
        <f t="shared" si="9"/>
        <v>UA-Prelim : Preliminary UA Test</v>
      </c>
      <c r="X92" s="64" t="str">
        <f t="shared" si="10"/>
        <v>UA-Prelim : Preliminary UA Test</v>
      </c>
      <c r="Y92" s="64" t="str">
        <f t="shared" si="11"/>
        <v>MATCH</v>
      </c>
      <c r="Z92" s="66" t="str">
        <f t="shared" si="12"/>
        <v> </v>
      </c>
      <c r="AA92" s="71"/>
    </row>
    <row r="93" ht="15.75" customHeight="1">
      <c r="A93" s="56" t="str">
        <f t="shared" si="1"/>
        <v>1560244627</v>
      </c>
      <c r="B93" s="56" t="str">
        <f>IFS($C93=FALSE,"",$C93,VLOOKUP($C93,'PATIENT DATA (072721)'!A:C, 2, 0))</f>
        <v>RODRIGUEZ, CARLOS</v>
      </c>
      <c r="C93" s="57">
        <v>15602.0</v>
      </c>
      <c r="D93" s="127" t="str">
        <f>IF(COUNTIF('PATIENT DATA (072721)'!A:A, C93)=0, "X","✓")</f>
        <v>✓</v>
      </c>
      <c r="E93" s="79">
        <f>IFS($C93=FALSE,"",$C93,VLOOKUP($C93,'PATIENT DATA (072721)'!A:C, 3, 0))</f>
        <v>21253</v>
      </c>
      <c r="F93" s="80">
        <v>44627.0</v>
      </c>
      <c r="G93" s="81">
        <f>ifs($C93="","",$C93, VLOOKUP($C93&amp;$F93, 'MARCH - VISIT DATA'!A:O,3,0))</f>
        <v>0.5833333333</v>
      </c>
      <c r="H93" s="83" t="s">
        <v>6560</v>
      </c>
      <c r="I93" s="122" t="str">
        <f>VLOOKUP($C93&amp;$F93,'MARCH - VISIT DATA'!A:J, 9, FALSE)</f>
        <v>TORRES</v>
      </c>
      <c r="J93" s="85" t="str">
        <f>VLOOKUP(C93&amp;F93,'MARCH - VISIT DATA'!A:O,10,FALSE)</f>
        <v>MEDICARE TEXAS</v>
      </c>
      <c r="K93" s="86"/>
      <c r="L93" s="86" t="s">
        <v>6559</v>
      </c>
      <c r="M93" s="86"/>
      <c r="N93" s="86"/>
      <c r="O93" s="121" t="str">
        <f t="shared" si="2"/>
        <v>✓</v>
      </c>
      <c r="P93" s="79" t="str">
        <f t="shared" si="3"/>
        <v>#VALUE!</v>
      </c>
      <c r="Q93" s="123" t="str">
        <f t="shared" si="4"/>
        <v>#VALUE!</v>
      </c>
      <c r="R93" s="124" t="str">
        <f t="shared" si="5"/>
        <v>#VALUE!</v>
      </c>
      <c r="S93" s="125" t="str">
        <f t="shared" si="6"/>
        <v>#VALUE!</v>
      </c>
      <c r="T93" s="125" t="str">
        <f t="shared" si="7"/>
        <v>#VALUE!</v>
      </c>
      <c r="U93" s="83">
        <f t="shared" si="8"/>
        <v>0</v>
      </c>
      <c r="V93" s="88" t="str">
        <f>ifs($N93="",VLOOKUP($C93&amp;$F93,'MARCH - VISIT DATA'!$A$2:$J600,7,FALSE), $N93="SWAB","OUTSA-RW",$N93="SWQU","OUTSA-SaQu", AND($L93="X",$M93="X",$N93="QUEST"),"OUT-UAQPre",$N93="QUEST","OUT-UAQ", $N93="Walk in","ColUATele")</f>
        <v>UA</v>
      </c>
      <c r="W93" s="70" t="str">
        <f t="shared" si="9"/>
        <v>UA : Urine Analysis In House</v>
      </c>
      <c r="X93" s="64" t="str">
        <f t="shared" si="10"/>
        <v>UA : Urine Analysis In House</v>
      </c>
      <c r="Y93" s="64" t="str">
        <f t="shared" si="11"/>
        <v>MATCH</v>
      </c>
      <c r="Z93" s="66" t="str">
        <f t="shared" si="12"/>
        <v> </v>
      </c>
      <c r="AA93" s="71"/>
    </row>
    <row r="94" ht="15.75" customHeight="1">
      <c r="A94" s="56" t="str">
        <f t="shared" si="1"/>
        <v>1823644627</v>
      </c>
      <c r="B94" s="56" t="str">
        <f>IFS($C94=FALSE,"",$C94,VLOOKUP($C94,'PATIENT DATA (072721)'!A:C, 2, 0))</f>
        <v>LOPEZ DE RODRIGUEZ, CARMEN</v>
      </c>
      <c r="C94" s="57">
        <v>18236.0</v>
      </c>
      <c r="D94" s="127" t="str">
        <f>IF(COUNTIF('PATIENT DATA (072721)'!A:A, C94)=0, "X","✓")</f>
        <v>✓</v>
      </c>
      <c r="E94" s="79">
        <f>IFS($C94=FALSE,"",$C94,VLOOKUP($C94,'PATIENT DATA (072721)'!A:C, 3, 0))</f>
        <v>21885</v>
      </c>
      <c r="F94" s="80">
        <v>44627.0</v>
      </c>
      <c r="G94" s="81">
        <f>ifs($C94="","",$C94, VLOOKUP($C94&amp;$F94, 'MARCH - VISIT DATA'!A:O,3,0))</f>
        <v>0.59375</v>
      </c>
      <c r="H94" s="83" t="s">
        <v>6561</v>
      </c>
      <c r="I94" s="122" t="str">
        <f>VLOOKUP($C94&amp;$F94,'MARCH - VISIT DATA'!A:J, 9, FALSE)</f>
        <v>LOPEZ</v>
      </c>
      <c r="J94" s="85" t="str">
        <f>VLOOKUP(C94&amp;F94,'MARCH - VISIT DATA'!A:O,10,FALSE)</f>
        <v>FRIDAY HEALTH PLAN</v>
      </c>
      <c r="K94" s="86" t="s">
        <v>6559</v>
      </c>
      <c r="L94" s="86"/>
      <c r="M94" s="86"/>
      <c r="N94" s="86"/>
      <c r="O94" s="121" t="str">
        <f t="shared" si="2"/>
        <v>✓</v>
      </c>
      <c r="P94" s="79" t="str">
        <f t="shared" si="3"/>
        <v>#VALUE!</v>
      </c>
      <c r="Q94" s="123" t="str">
        <f t="shared" si="4"/>
        <v>#VALUE!</v>
      </c>
      <c r="R94" s="124" t="str">
        <f t="shared" si="5"/>
        <v>#VALUE!</v>
      </c>
      <c r="S94" s="125" t="str">
        <f t="shared" si="6"/>
        <v>#VALUE!</v>
      </c>
      <c r="T94" s="125" t="str">
        <f t="shared" si="7"/>
        <v>#VALUE!</v>
      </c>
      <c r="U94" s="83">
        <f t="shared" si="8"/>
        <v>0</v>
      </c>
      <c r="V94" s="88" t="str">
        <f>ifs($N94="",VLOOKUP($C94&amp;$F94,'MARCH - VISIT DATA'!$A$2:$J600,7,FALSE), $N94="SWAB","OUTSA-RW",$N94="SWQU","OUTSA-SaQu", AND($L94="X",$M94="X",$N94="QUEST"),"OUT-UAQPre",$N94="QUEST","OUT-UAQ", $N94="Walk in","ColUATele")</f>
        <v>UA-NWPT</v>
      </c>
      <c r="W94" s="70" t="str">
        <f t="shared" si="9"/>
        <v>UA-NWPT : UA New Patient</v>
      </c>
      <c r="X94" s="64" t="str">
        <f t="shared" si="10"/>
        <v>UA-NWPT : UA New Patient</v>
      </c>
      <c r="Y94" s="64" t="str">
        <f t="shared" si="11"/>
        <v>MATCH</v>
      </c>
      <c r="Z94" s="66" t="str">
        <f t="shared" si="12"/>
        <v> </v>
      </c>
      <c r="AA94" s="71"/>
    </row>
    <row r="95" ht="15.75" customHeight="1">
      <c r="A95" s="56" t="str">
        <f t="shared" si="1"/>
        <v>1825044627</v>
      </c>
      <c r="B95" s="56" t="str">
        <f>IFS($C95=FALSE,"",$C95,VLOOKUP($C95,'PATIENT DATA (072721)'!A:C, 2, 0))</f>
        <v>LACA, RICHARD</v>
      </c>
      <c r="C95" s="57">
        <v>18250.0</v>
      </c>
      <c r="D95" s="127" t="str">
        <f>IF(COUNTIF('PATIENT DATA (072721)'!A:A, C95)=0, "X","✓")</f>
        <v>✓</v>
      </c>
      <c r="E95" s="79">
        <f>IFS($C95=FALSE,"",$C95,VLOOKUP($C95,'PATIENT DATA (072721)'!A:C, 3, 0))</f>
        <v>19954</v>
      </c>
      <c r="F95" s="80">
        <v>44627.0</v>
      </c>
      <c r="G95" s="81">
        <f>ifs($C95="","",$C95, VLOOKUP($C95&amp;$F95, 'MARCH - VISIT DATA'!A:O,3,0))</f>
        <v>0.59375</v>
      </c>
      <c r="H95" s="83" t="s">
        <v>6561</v>
      </c>
      <c r="I95" s="122" t="str">
        <f>VLOOKUP($C95&amp;$F95,'MARCH - VISIT DATA'!A:J, 9, FALSE)</f>
        <v>LOPEZ</v>
      </c>
      <c r="J95" s="85" t="str">
        <f>VLOOKUP(C95&amp;F95,'MARCH - VISIT DATA'!A:O,10,FALSE)</f>
        <v>EL PASO VA</v>
      </c>
      <c r="K95" s="86" t="s">
        <v>6559</v>
      </c>
      <c r="L95" s="86"/>
      <c r="M95" s="86"/>
      <c r="N95" s="86"/>
      <c r="O95" s="121" t="str">
        <f t="shared" si="2"/>
        <v>✓</v>
      </c>
      <c r="P95" s="79" t="str">
        <f t="shared" si="3"/>
        <v>#VALUE!</v>
      </c>
      <c r="Q95" s="123" t="str">
        <f t="shared" si="4"/>
        <v>#VALUE!</v>
      </c>
      <c r="R95" s="124" t="str">
        <f t="shared" si="5"/>
        <v>#VALUE!</v>
      </c>
      <c r="S95" s="125" t="str">
        <f t="shared" si="6"/>
        <v>#VALUE!</v>
      </c>
      <c r="T95" s="125" t="str">
        <f t="shared" si="7"/>
        <v>#VALUE!</v>
      </c>
      <c r="U95" s="83">
        <f t="shared" si="8"/>
        <v>0</v>
      </c>
      <c r="V95" s="88" t="str">
        <f>ifs($N95="",VLOOKUP($C95&amp;$F95,'MARCH - VISIT DATA'!$A$2:$J600,7,FALSE), $N95="SWAB","OUTSA-RW",$N95="SWQU","OUTSA-SaQu", AND($L95="X",$M95="X",$N95="QUEST"),"OUT-UAQPre",$N95="QUEST","OUT-UAQ", $N95="Walk in","ColUATele")</f>
        <v>UA-NWPT</v>
      </c>
      <c r="W95" s="70" t="str">
        <f t="shared" si="9"/>
        <v>UA-NWPT : UA New Patient</v>
      </c>
      <c r="X95" s="64" t="str">
        <f t="shared" si="10"/>
        <v>UA-NWPT : UA New Patient</v>
      </c>
      <c r="Y95" s="64" t="str">
        <f t="shared" si="11"/>
        <v>MATCH</v>
      </c>
      <c r="Z95" s="66" t="str">
        <f t="shared" si="12"/>
        <v> </v>
      </c>
      <c r="AA95" s="71"/>
    </row>
    <row r="96" ht="15.75" customHeight="1">
      <c r="A96" s="56" t="str">
        <f t="shared" si="1"/>
        <v>1829544627</v>
      </c>
      <c r="B96" s="56" t="str">
        <f>IFS($C96=FALSE,"",$C96,VLOOKUP($C96,'PATIENT DATA (072721)'!A:C, 2, 0))</f>
        <v>CARRILLO, DANNY</v>
      </c>
      <c r="C96" s="57">
        <v>18295.0</v>
      </c>
      <c r="D96" s="127" t="str">
        <f>IF(COUNTIF('PATIENT DATA (072721)'!A:A, C96)=0, "X","✓")</f>
        <v>✓</v>
      </c>
      <c r="E96" s="79">
        <f>IFS($C96=FALSE,"",$C96,VLOOKUP($C96,'PATIENT DATA (072721)'!A:C, 3, 0))</f>
        <v>23133</v>
      </c>
      <c r="F96" s="80">
        <v>44627.0</v>
      </c>
      <c r="G96" s="81">
        <f>ifs($C96="","",$C96, VLOOKUP($C96&amp;$F96, 'MARCH - VISIT DATA'!A:O,3,0))</f>
        <v>0.59375</v>
      </c>
      <c r="H96" s="83" t="s">
        <v>6561</v>
      </c>
      <c r="I96" s="122" t="str">
        <f>VLOOKUP($C96&amp;$F96,'MARCH - VISIT DATA'!A:J, 9, FALSE)</f>
        <v>LOPEZ</v>
      </c>
      <c r="J96" s="85" t="str">
        <f>VLOOKUP(C96&amp;F96,'MARCH - VISIT DATA'!A:O,10,FALSE)</f>
        <v>BCBS FEDERAL</v>
      </c>
      <c r="K96" s="86" t="s">
        <v>6559</v>
      </c>
      <c r="L96" s="86"/>
      <c r="M96" s="86"/>
      <c r="N96" s="86"/>
      <c r="O96" s="121" t="str">
        <f t="shared" si="2"/>
        <v>✓</v>
      </c>
      <c r="P96" s="79" t="str">
        <f t="shared" si="3"/>
        <v>#VALUE!</v>
      </c>
      <c r="Q96" s="123" t="str">
        <f t="shared" si="4"/>
        <v>#VALUE!</v>
      </c>
      <c r="R96" s="124" t="str">
        <f t="shared" si="5"/>
        <v>#VALUE!</v>
      </c>
      <c r="S96" s="125" t="str">
        <f t="shared" si="6"/>
        <v>#VALUE!</v>
      </c>
      <c r="T96" s="125" t="str">
        <f t="shared" si="7"/>
        <v>#VALUE!</v>
      </c>
      <c r="U96" s="83">
        <f t="shared" si="8"/>
        <v>0</v>
      </c>
      <c r="V96" s="88" t="str">
        <f>ifs($N96="",VLOOKUP($C96&amp;$F96,'MARCH - VISIT DATA'!$A$2:$J600,7,FALSE), $N96="SWAB","OUTSA-RW",$N96="SWQU","OUTSA-SaQu", AND($L96="X",$M96="X",$N96="QUEST"),"OUT-UAQPre",$N96="QUEST","OUT-UAQ", $N96="Walk in","ColUATele")</f>
        <v>UA-NWPT</v>
      </c>
      <c r="W96" s="70" t="str">
        <f t="shared" si="9"/>
        <v>UA-NWPT : UA New Patient</v>
      </c>
      <c r="X96" s="64" t="str">
        <f t="shared" si="10"/>
        <v>UA-NWPT : UA New Patient</v>
      </c>
      <c r="Y96" s="64" t="str">
        <f t="shared" si="11"/>
        <v>MATCH</v>
      </c>
      <c r="Z96" s="66" t="str">
        <f t="shared" si="12"/>
        <v> </v>
      </c>
      <c r="AA96" s="71"/>
    </row>
    <row r="97" ht="15.75" hidden="1" customHeight="1">
      <c r="A97" s="56" t="str">
        <f t="shared" si="1"/>
        <v>1667744627</v>
      </c>
      <c r="B97" s="56" t="str">
        <f>IFS($C97=FALSE,"",$C97,VLOOKUP($C97,'PATIENT DATA (072721)'!A:C, 2, 0))</f>
        <v>COBB, SHARON I</v>
      </c>
      <c r="C97" s="57">
        <v>16677.0</v>
      </c>
      <c r="D97" s="127" t="str">
        <f>IF(COUNTIF('PATIENT DATA (072721)'!A:A, C97)=0, "X","✓")</f>
        <v>✓</v>
      </c>
      <c r="E97" s="79">
        <f>IFS($C97=FALSE,"",$C97,VLOOKUP($C97,'PATIENT DATA (072721)'!A:C, 3, 0))</f>
        <v>20737</v>
      </c>
      <c r="F97" s="80">
        <v>44627.0</v>
      </c>
      <c r="G97" s="81">
        <f>ifs($C97="","",$C97, VLOOKUP($C97&amp;$F97, 'MARCH - VISIT DATA'!A:O,3,0))</f>
        <v>0.6041666667</v>
      </c>
      <c r="H97" s="83" t="s">
        <v>6560</v>
      </c>
      <c r="I97" s="122" t="str">
        <f>VLOOKUP($C97&amp;$F97,'MARCH - VISIT DATA'!A:J, 9, FALSE)</f>
        <v>TORRES</v>
      </c>
      <c r="J97" s="85" t="str">
        <f>VLOOKUP(C97&amp;F97,'MARCH - VISIT DATA'!A:O,10,FALSE)</f>
        <v>MEDICARE TEXAS</v>
      </c>
      <c r="K97" s="86"/>
      <c r="L97" s="86" t="s">
        <v>6559</v>
      </c>
      <c r="M97" s="86" t="s">
        <v>6559</v>
      </c>
      <c r="N97" s="86"/>
      <c r="O97" s="121" t="str">
        <f t="shared" si="2"/>
        <v>✓</v>
      </c>
      <c r="P97" s="79" t="str">
        <f t="shared" si="3"/>
        <v>#VALUE!</v>
      </c>
      <c r="Q97" s="123" t="str">
        <f t="shared" si="4"/>
        <v>#VALUE!</v>
      </c>
      <c r="R97" s="124" t="str">
        <f t="shared" si="5"/>
        <v>#VALUE!</v>
      </c>
      <c r="S97" s="125" t="str">
        <f t="shared" si="6"/>
        <v>#VALUE!</v>
      </c>
      <c r="T97" s="125" t="str">
        <f t="shared" si="7"/>
        <v>#VALUE!</v>
      </c>
      <c r="U97" s="83">
        <f t="shared" si="8"/>
        <v>0</v>
      </c>
      <c r="V97" s="88" t="str">
        <f>ifs($N97="",VLOOKUP($C97&amp;$F97,'MARCH - VISIT DATA'!$A$2:$J600,7,FALSE), $N97="SWAB","OUTSA-RW",$N97="SWQU","OUTSA-SaQu", AND($L97="X",$M97="X",$N97="QUEST"),"OUT-UAQPre",$N97="QUEST","OUT-UAQ", $N97="Walk in","ColUATele")</f>
        <v>UA-Prelim</v>
      </c>
      <c r="W97" s="70" t="str">
        <f t="shared" si="9"/>
        <v>UA-Prelim : Preliminary UA Test</v>
      </c>
      <c r="X97" s="64" t="str">
        <f t="shared" si="10"/>
        <v>UA-Prelim : Preliminary UA Test</v>
      </c>
      <c r="Y97" s="64" t="str">
        <f t="shared" si="11"/>
        <v>MATCH</v>
      </c>
      <c r="Z97" s="66" t="str">
        <f t="shared" si="12"/>
        <v> </v>
      </c>
      <c r="AA97" s="71"/>
    </row>
    <row r="98" ht="15.75" customHeight="1">
      <c r="A98" s="56" t="str">
        <f t="shared" si="1"/>
        <v>1119244627</v>
      </c>
      <c r="B98" s="56" t="str">
        <f>IFS($C98=FALSE,"",$C98,VLOOKUP($C98,'PATIENT DATA (072721)'!A:C, 2, 0))</f>
        <v>MARTINEZ PEREZ, PERLA</v>
      </c>
      <c r="C98" s="57">
        <v>11192.0</v>
      </c>
      <c r="D98" s="127" t="str">
        <f>IF(COUNTIF('PATIENT DATA (072721)'!A:A, C98)=0, "X","✓")</f>
        <v>✓</v>
      </c>
      <c r="E98" s="79">
        <f>IFS($C98=FALSE,"",$C98,VLOOKUP($C98,'PATIENT DATA (072721)'!A:C, 3, 0))</f>
        <v>29533</v>
      </c>
      <c r="F98" s="80">
        <v>44627.0</v>
      </c>
      <c r="G98" s="81">
        <f>ifs($C98="","",$C98, VLOOKUP($C98&amp;$F98, 'MARCH - VISIT DATA'!A:O,3,0))</f>
        <v>0.6145833333</v>
      </c>
      <c r="H98" s="83" t="s">
        <v>6562</v>
      </c>
      <c r="I98" s="122" t="str">
        <f>VLOOKUP($C98&amp;$F98,'MARCH - VISIT DATA'!A:J, 9, FALSE)</f>
        <v>THOMAS</v>
      </c>
      <c r="J98" s="85" t="str">
        <f>VLOOKUP(C98&amp;F98,'MARCH - VISIT DATA'!A:O,10,FALSE)</f>
        <v>MEDICARE TEXAS</v>
      </c>
      <c r="K98" s="86"/>
      <c r="L98" s="86" t="s">
        <v>6559</v>
      </c>
      <c r="M98" s="86"/>
      <c r="N98" s="86"/>
      <c r="O98" s="121" t="str">
        <f t="shared" si="2"/>
        <v>✓</v>
      </c>
      <c r="P98" s="79" t="str">
        <f t="shared" si="3"/>
        <v>#VALUE!</v>
      </c>
      <c r="Q98" s="123" t="str">
        <f t="shared" si="4"/>
        <v>#VALUE!</v>
      </c>
      <c r="R98" s="124" t="str">
        <f t="shared" si="5"/>
        <v>#VALUE!</v>
      </c>
      <c r="S98" s="125" t="str">
        <f t="shared" si="6"/>
        <v>#VALUE!</v>
      </c>
      <c r="T98" s="125" t="str">
        <f t="shared" si="7"/>
        <v>#VALUE!</v>
      </c>
      <c r="U98" s="83">
        <f t="shared" si="8"/>
        <v>0</v>
      </c>
      <c r="V98" s="88" t="str">
        <f>ifs($N98="",VLOOKUP($C98&amp;$F98,'MARCH - VISIT DATA'!$A$2:$J600,7,FALSE), $N98="SWAB","OUTSA-RW",$N98="SWQU","OUTSA-SaQu", AND($L98="X",$M98="X",$N98="QUEST"),"OUT-UAQPre",$N98="QUEST","OUT-UAQ", $N98="Walk in","ColUATele")</f>
        <v>UA</v>
      </c>
      <c r="W98" s="70" t="str">
        <f t="shared" si="9"/>
        <v>UA : Urine Analysis In House</v>
      </c>
      <c r="X98" s="64" t="str">
        <f t="shared" si="10"/>
        <v>UA : Urine Analysis In House</v>
      </c>
      <c r="Y98" s="64" t="str">
        <f t="shared" si="11"/>
        <v>MATCH</v>
      </c>
      <c r="Z98" s="66" t="str">
        <f t="shared" si="12"/>
        <v> </v>
      </c>
      <c r="AA98" s="71"/>
    </row>
    <row r="99" ht="15.75" customHeight="1">
      <c r="A99" s="56" t="str">
        <f t="shared" si="1"/>
        <v>1813644627</v>
      </c>
      <c r="B99" s="56" t="str">
        <f>IFS($C99=FALSE,"",$C99,VLOOKUP($C99,'PATIENT DATA (072721)'!A:C, 2, 0))</f>
        <v>MUNOZ, MARIA</v>
      </c>
      <c r="C99" s="57">
        <v>18136.0</v>
      </c>
      <c r="D99" s="127" t="str">
        <f>IF(COUNTIF('PATIENT DATA (072721)'!A:A, C99)=0, "X","✓")</f>
        <v>✓</v>
      </c>
      <c r="E99" s="79">
        <f>IFS($C99=FALSE,"",$C99,VLOOKUP($C99,'PATIENT DATA (072721)'!A:C, 3, 0))</f>
        <v>26779</v>
      </c>
      <c r="F99" s="80">
        <v>44627.0</v>
      </c>
      <c r="G99" s="81">
        <f>ifs($C99="","",$C99, VLOOKUP($C99&amp;$F99, 'MARCH - VISIT DATA'!A:O,3,0))</f>
        <v>0.6145833333</v>
      </c>
      <c r="H99" s="83" t="s">
        <v>6561</v>
      </c>
      <c r="I99" s="122" t="str">
        <f>VLOOKUP($C99&amp;$F99,'MARCH - VISIT DATA'!A:J, 9, FALSE)</f>
        <v>LOPEZ</v>
      </c>
      <c r="J99" s="85" t="str">
        <f>VLOOKUP(C99&amp;F99,'MARCH - VISIT DATA'!A:O,10,FALSE)</f>
        <v>SUPERIOR HEALTH PLAN</v>
      </c>
      <c r="K99" s="86" t="s">
        <v>6559</v>
      </c>
      <c r="L99" s="86"/>
      <c r="M99" s="86"/>
      <c r="N99" s="86"/>
      <c r="O99" s="121" t="str">
        <f t="shared" si="2"/>
        <v>✓</v>
      </c>
      <c r="P99" s="79" t="str">
        <f t="shared" si="3"/>
        <v>#VALUE!</v>
      </c>
      <c r="Q99" s="123" t="str">
        <f t="shared" si="4"/>
        <v>#VALUE!</v>
      </c>
      <c r="R99" s="124" t="str">
        <f t="shared" si="5"/>
        <v>#VALUE!</v>
      </c>
      <c r="S99" s="125" t="str">
        <f t="shared" si="6"/>
        <v>#VALUE!</v>
      </c>
      <c r="T99" s="125" t="str">
        <f t="shared" si="7"/>
        <v>#VALUE!</v>
      </c>
      <c r="U99" s="83">
        <f t="shared" si="8"/>
        <v>0</v>
      </c>
      <c r="V99" s="88" t="str">
        <f>ifs($N99="",VLOOKUP($C99&amp;$F99,'MARCH - VISIT DATA'!$A$2:$J600,7,FALSE), $N99="SWAB","OUTSA-RW",$N99="SWQU","OUTSA-SaQu", AND($L99="X",$M99="X",$N99="QUEST"),"OUT-UAQPre",$N99="QUEST","OUT-UAQ", $N99="Walk in","ColUATele")</f>
        <v>UA-NWPT</v>
      </c>
      <c r="W99" s="70" t="str">
        <f t="shared" si="9"/>
        <v>UA-NWPT : UA New Patient</v>
      </c>
      <c r="X99" s="64" t="str">
        <f t="shared" si="10"/>
        <v>UA-NWPT : UA New Patient</v>
      </c>
      <c r="Y99" s="64" t="str">
        <f t="shared" si="11"/>
        <v>MATCH</v>
      </c>
      <c r="Z99" s="66" t="str">
        <f t="shared" si="12"/>
        <v> </v>
      </c>
      <c r="AA99" s="71"/>
    </row>
    <row r="100" ht="15.75" hidden="1" customHeight="1">
      <c r="A100" s="56" t="str">
        <f t="shared" si="1"/>
        <v>1564244627</v>
      </c>
      <c r="B100" s="56" t="str">
        <f>IFS($C100=FALSE,"",$C100,VLOOKUP($C100,'PATIENT DATA (072721)'!A:C, 2, 0))</f>
        <v>PATTON, TERESA M</v>
      </c>
      <c r="C100" s="57">
        <v>15642.0</v>
      </c>
      <c r="D100" s="127" t="str">
        <f>IF(COUNTIF('PATIENT DATA (072721)'!A:A, C100)=0, "X","✓")</f>
        <v>✓</v>
      </c>
      <c r="E100" s="79">
        <f>IFS($C100=FALSE,"",$C100,VLOOKUP($C100,'PATIENT DATA (072721)'!A:C, 3, 0))</f>
        <v>22702</v>
      </c>
      <c r="F100" s="80">
        <v>44627.0</v>
      </c>
      <c r="G100" s="81">
        <f>ifs($C100="","",$C100, VLOOKUP($C100&amp;$F100, 'MARCH - VISIT DATA'!A:O,3,0))</f>
        <v>0.625</v>
      </c>
      <c r="H100" s="83" t="s">
        <v>6560</v>
      </c>
      <c r="I100" s="122" t="str">
        <f>VLOOKUP($C100&amp;$F100,'MARCH - VISIT DATA'!A:J, 9, FALSE)</f>
        <v>TORRES</v>
      </c>
      <c r="J100" s="85" t="str">
        <f>VLOOKUP(C100&amp;F100,'MARCH - VISIT DATA'!A:O,10,FALSE)</f>
        <v>BCBSTX PPO</v>
      </c>
      <c r="K100" s="86"/>
      <c r="L100" s="86" t="s">
        <v>6559</v>
      </c>
      <c r="M100" s="86" t="s">
        <v>6559</v>
      </c>
      <c r="N100" s="86"/>
      <c r="O100" s="121" t="str">
        <f t="shared" si="2"/>
        <v>✓</v>
      </c>
      <c r="P100" s="79" t="str">
        <f t="shared" si="3"/>
        <v>#VALUE!</v>
      </c>
      <c r="Q100" s="123" t="str">
        <f t="shared" si="4"/>
        <v>#VALUE!</v>
      </c>
      <c r="R100" s="124" t="str">
        <f t="shared" si="5"/>
        <v>#VALUE!</v>
      </c>
      <c r="S100" s="125" t="str">
        <f t="shared" si="6"/>
        <v>#VALUE!</v>
      </c>
      <c r="T100" s="125" t="str">
        <f t="shared" si="7"/>
        <v>#VALUE!</v>
      </c>
      <c r="U100" s="83">
        <f t="shared" si="8"/>
        <v>0</v>
      </c>
      <c r="V100" s="88" t="str">
        <f>ifs($N100="",VLOOKUP($C100&amp;$F100,'MARCH - VISIT DATA'!$A$2:$J600,7,FALSE), $N100="SWAB","OUTSA-RW",$N100="SWQU","OUTSA-SaQu", AND($L100="X",$M100="X",$N100="QUEST"),"OUT-UAQPre",$N100="QUEST","OUT-UAQ", $N100="Walk in","ColUATele")</f>
        <v>UA-Prelim</v>
      </c>
      <c r="W100" s="70" t="str">
        <f t="shared" si="9"/>
        <v>UA-Prelim : Preliminary UA Test</v>
      </c>
      <c r="X100" s="64" t="str">
        <f t="shared" si="10"/>
        <v>UA-Prelim : Preliminary UA Test</v>
      </c>
      <c r="Y100" s="64" t="str">
        <f t="shared" si="11"/>
        <v>MATCH</v>
      </c>
      <c r="Z100" s="66" t="str">
        <f t="shared" si="12"/>
        <v> </v>
      </c>
      <c r="AA100" s="71"/>
    </row>
    <row r="101" ht="15.75" customHeight="1">
      <c r="A101" s="56" t="str">
        <f t="shared" si="1"/>
        <v>1186544627</v>
      </c>
      <c r="B101" s="56" t="str">
        <f>IFS($C101=FALSE,"",$C101,VLOOKUP($C101,'PATIENT DATA (072721)'!A:C, 2, 0))</f>
        <v>CALDERON, ARACELI</v>
      </c>
      <c r="C101" s="57">
        <v>11865.0</v>
      </c>
      <c r="D101" s="127" t="str">
        <f>IF(COUNTIF('PATIENT DATA (072721)'!A:A, C101)=0, "X","✓")</f>
        <v>✓</v>
      </c>
      <c r="E101" s="79">
        <f>IFS($C101=FALSE,"",$C101,VLOOKUP($C101,'PATIENT DATA (072721)'!A:C, 3, 0))</f>
        <v>25554</v>
      </c>
      <c r="F101" s="80">
        <v>44627.0</v>
      </c>
      <c r="G101" s="81">
        <f>ifs($C101="","",$C101, VLOOKUP($C101&amp;$F101, 'MARCH - VISIT DATA'!A:O,3,0))</f>
        <v>0.6354166667</v>
      </c>
      <c r="H101" s="83" t="s">
        <v>6560</v>
      </c>
      <c r="I101" s="122" t="str">
        <f>VLOOKUP($C101&amp;$F101,'MARCH - VISIT DATA'!A:J, 9, FALSE)</f>
        <v>TORRES</v>
      </c>
      <c r="J101" s="85" t="str">
        <f>VLOOKUP(C101&amp;F101,'MARCH - VISIT DATA'!A:O,10,FALSE)</f>
        <v>CIGNA - SOCORRO ISD</v>
      </c>
      <c r="K101" s="86"/>
      <c r="L101" s="86" t="s">
        <v>6559</v>
      </c>
      <c r="M101" s="86"/>
      <c r="N101" s="86"/>
      <c r="O101" s="121" t="str">
        <f t="shared" si="2"/>
        <v>✓</v>
      </c>
      <c r="P101" s="79" t="str">
        <f t="shared" si="3"/>
        <v>#VALUE!</v>
      </c>
      <c r="Q101" s="123" t="str">
        <f t="shared" si="4"/>
        <v>#VALUE!</v>
      </c>
      <c r="R101" s="124" t="str">
        <f t="shared" si="5"/>
        <v>#VALUE!</v>
      </c>
      <c r="S101" s="125" t="str">
        <f t="shared" si="6"/>
        <v>#VALUE!</v>
      </c>
      <c r="T101" s="125" t="str">
        <f t="shared" si="7"/>
        <v>#VALUE!</v>
      </c>
      <c r="U101" s="83">
        <f t="shared" si="8"/>
        <v>0</v>
      </c>
      <c r="V101" s="88" t="str">
        <f>ifs($N101="",VLOOKUP($C101&amp;$F101,'MARCH - VISIT DATA'!$A$2:$J600,7,FALSE), $N101="SWAB","OUTSA-RW",$N101="SWQU","OUTSA-SaQu", AND($L101="X",$M101="X",$N101="QUEST"),"OUT-UAQPre",$N101="QUEST","OUT-UAQ", $N101="Walk in","ColUATele")</f>
        <v>UA</v>
      </c>
      <c r="W101" s="70" t="str">
        <f t="shared" si="9"/>
        <v>UA : Urine Analysis In House</v>
      </c>
      <c r="X101" s="64" t="str">
        <f t="shared" si="10"/>
        <v>UA : Urine Analysis In House</v>
      </c>
      <c r="Y101" s="64" t="str">
        <f t="shared" si="11"/>
        <v>MATCH</v>
      </c>
      <c r="Z101" s="66" t="str">
        <f t="shared" si="12"/>
        <v> </v>
      </c>
      <c r="AA101" s="71"/>
    </row>
    <row r="102" ht="15.75" customHeight="1">
      <c r="A102" s="56" t="str">
        <f t="shared" si="1"/>
        <v>1562144627</v>
      </c>
      <c r="B102" s="56" t="str">
        <f>IFS($C102=FALSE,"",$C102,VLOOKUP($C102,'PATIENT DATA (072721)'!A:C, 2, 0))</f>
        <v>FERNANDEZ, RUTH S</v>
      </c>
      <c r="C102" s="77">
        <v>15621.0</v>
      </c>
      <c r="D102" s="127" t="str">
        <f>IF(COUNTIF('PATIENT DATA (072721)'!A:A, C102)=0, "X","✓")</f>
        <v>✓</v>
      </c>
      <c r="E102" s="79">
        <f>IFS($C102=FALSE,"",$C102,VLOOKUP($C102,'PATIENT DATA (072721)'!A:C, 3, 0))</f>
        <v>21011</v>
      </c>
      <c r="F102" s="80">
        <v>44627.0</v>
      </c>
      <c r="G102" s="81">
        <f>ifs($C102="","",$C102, VLOOKUP($C102&amp;$F102, 'MARCH - VISIT DATA'!A:O,3,0))</f>
        <v>0.6354166667</v>
      </c>
      <c r="H102" s="83" t="s">
        <v>6561</v>
      </c>
      <c r="I102" s="122" t="str">
        <f>VLOOKUP($C102&amp;$F102,'MARCH - VISIT DATA'!A:J, 9, FALSE)</f>
        <v>LOPEZ</v>
      </c>
      <c r="J102" s="85" t="str">
        <f>VLOOKUP(C102&amp;F102,'MARCH - VISIT DATA'!A:O,10,FALSE)</f>
        <v>MEDICARE TEXAS</v>
      </c>
      <c r="K102" s="86"/>
      <c r="L102" s="86" t="s">
        <v>6559</v>
      </c>
      <c r="M102" s="86"/>
      <c r="N102" s="86"/>
      <c r="O102" s="121" t="str">
        <f t="shared" si="2"/>
        <v>✓</v>
      </c>
      <c r="P102" s="79" t="str">
        <f t="shared" si="3"/>
        <v>#VALUE!</v>
      </c>
      <c r="Q102" s="123" t="str">
        <f t="shared" si="4"/>
        <v>#VALUE!</v>
      </c>
      <c r="R102" s="124" t="str">
        <f t="shared" si="5"/>
        <v>#VALUE!</v>
      </c>
      <c r="S102" s="125" t="str">
        <f t="shared" si="6"/>
        <v>#VALUE!</v>
      </c>
      <c r="T102" s="125" t="str">
        <f t="shared" si="7"/>
        <v>#VALUE!</v>
      </c>
      <c r="U102" s="83">
        <f t="shared" si="8"/>
        <v>0</v>
      </c>
      <c r="V102" s="88" t="str">
        <f>ifs($N102="",VLOOKUP($C102&amp;$F102,'MARCH - VISIT DATA'!$A$2:$J600,7,FALSE), $N102="SWAB","OUTSA-RW",$N102="SWQU","OUTSA-SaQu", AND($L102="X",$M102="X",$N102="QUEST"),"OUT-UAQPre",$N102="QUEST","OUT-UAQ", $N102="Walk in","ColUATele")</f>
        <v>UA</v>
      </c>
      <c r="W102" s="70" t="str">
        <f t="shared" si="9"/>
        <v>UA : Urine Analysis In House</v>
      </c>
      <c r="X102" s="64" t="str">
        <f t="shared" si="10"/>
        <v>UA : Urine Analysis In House</v>
      </c>
      <c r="Y102" s="64" t="str">
        <f t="shared" si="11"/>
        <v>MATCH</v>
      </c>
      <c r="Z102" s="66" t="str">
        <f t="shared" si="12"/>
        <v> </v>
      </c>
      <c r="AA102" s="71"/>
    </row>
    <row r="103" ht="15.75" customHeight="1">
      <c r="A103" s="56" t="str">
        <f t="shared" si="1"/>
        <v>1644344627</v>
      </c>
      <c r="B103" s="56" t="str">
        <f>IFS($C103=FALSE,"",$C103,VLOOKUP($C103,'PATIENT DATA (072721)'!A:C, 2, 0))</f>
        <v>SILVA, VERONICA</v>
      </c>
      <c r="C103" s="57">
        <v>16443.0</v>
      </c>
      <c r="D103" s="127" t="str">
        <f>IF(COUNTIF('PATIENT DATA (072721)'!A:A, C103)=0, "X","✓")</f>
        <v>✓</v>
      </c>
      <c r="E103" s="79">
        <f>IFS($C103=FALSE,"",$C103,VLOOKUP($C103,'PATIENT DATA (072721)'!A:C, 3, 0))</f>
        <v>33995</v>
      </c>
      <c r="F103" s="80">
        <v>44627.0</v>
      </c>
      <c r="G103" s="81">
        <f>ifs($C103="","",$C103, VLOOKUP($C103&amp;$F103, 'MARCH - VISIT DATA'!A:O,3,0))</f>
        <v>0.6458333333</v>
      </c>
      <c r="H103" s="83" t="s">
        <v>6558</v>
      </c>
      <c r="I103" s="122" t="str">
        <f>VLOOKUP($C103&amp;$F103,'MARCH - VISIT DATA'!A:J, 9, FALSE)</f>
        <v>MARTINEZ</v>
      </c>
      <c r="J103" s="85" t="str">
        <f>VLOOKUP(C103&amp;F103,'MARCH - VISIT DATA'!A:O,10,FALSE)</f>
        <v>AMERIVANTAGE DUAL</v>
      </c>
      <c r="K103" s="86"/>
      <c r="L103" s="86" t="s">
        <v>6559</v>
      </c>
      <c r="M103" s="86"/>
      <c r="N103" s="86"/>
      <c r="O103" s="121" t="str">
        <f t="shared" si="2"/>
        <v>✓</v>
      </c>
      <c r="P103" s="79" t="str">
        <f t="shared" si="3"/>
        <v>#VALUE!</v>
      </c>
      <c r="Q103" s="123" t="str">
        <f t="shared" si="4"/>
        <v>#VALUE!</v>
      </c>
      <c r="R103" s="124" t="str">
        <f t="shared" si="5"/>
        <v>#VALUE!</v>
      </c>
      <c r="S103" s="125" t="str">
        <f t="shared" si="6"/>
        <v>#VALUE!</v>
      </c>
      <c r="T103" s="125" t="str">
        <f t="shared" si="7"/>
        <v>#VALUE!</v>
      </c>
      <c r="U103" s="83">
        <f t="shared" si="8"/>
        <v>0</v>
      </c>
      <c r="V103" s="88" t="str">
        <f>ifs($N103="",VLOOKUP($C103&amp;$F103,'MARCH - VISIT DATA'!$A$2:$J600,7,FALSE), $N103="SWAB","OUTSA-RW",$N103="SWQU","OUTSA-SaQu", AND($L103="X",$M103="X",$N103="QUEST"),"OUT-UAQPre",$N103="QUEST","OUT-UAQ", $N103="Walk in","ColUATele")</f>
        <v>UA</v>
      </c>
      <c r="W103" s="70" t="str">
        <f t="shared" si="9"/>
        <v>UA : Urine Analysis In House</v>
      </c>
      <c r="X103" s="64" t="str">
        <f t="shared" si="10"/>
        <v>UA : Urine Analysis In House</v>
      </c>
      <c r="Y103" s="64" t="str">
        <f t="shared" si="11"/>
        <v>MATCH</v>
      </c>
      <c r="Z103" s="66" t="str">
        <f t="shared" si="12"/>
        <v> </v>
      </c>
      <c r="AA103" s="71"/>
    </row>
    <row r="104" ht="15.75" customHeight="1">
      <c r="A104" s="56" t="str">
        <f t="shared" si="1"/>
        <v>922044628</v>
      </c>
      <c r="B104" s="56" t="str">
        <f>IFS($C104=FALSE,"",$C104,VLOOKUP($C104,'PATIENT DATA (072721)'!A:C, 2, 0))</f>
        <v>LEGARRETA, MARY G</v>
      </c>
      <c r="C104" s="57">
        <f t="array" ref="C104:C127">SORT('MRN SCAN - MARCH'!F3:F26)</f>
        <v>9220</v>
      </c>
      <c r="D104" s="127" t="str">
        <f>IF(COUNTIF('PATIENT DATA (072721)'!A:A, C104)=0, "X","✓")</f>
        <v>✓</v>
      </c>
      <c r="E104" s="79">
        <f>IFS($C104=FALSE,"",$C104,VLOOKUP($C104,'PATIENT DATA (072721)'!A:C, 3, 0))</f>
        <v>17546</v>
      </c>
      <c r="F104" s="80">
        <v>44628.0</v>
      </c>
      <c r="G104" s="81">
        <f>ifs($C104="","",$C104, VLOOKUP($C104&amp;$F104, 'MARCH - VISIT DATA'!A:O,3,0))</f>
        <v>0.3854166667</v>
      </c>
      <c r="H104" s="83" t="s">
        <v>6558</v>
      </c>
      <c r="I104" s="122" t="str">
        <f>VLOOKUP($C104&amp;$F104,'MARCH - VISIT DATA'!A:J, 9, FALSE)</f>
        <v>MARTINEZ</v>
      </c>
      <c r="J104" s="85" t="str">
        <f>VLOOKUP(C104&amp;F104,'MARCH - VISIT DATA'!A:O,10,FALSE)</f>
        <v>MEDICARE TEXAS</v>
      </c>
      <c r="K104" s="86"/>
      <c r="L104" s="86" t="s">
        <v>6559</v>
      </c>
      <c r="M104" s="86"/>
      <c r="N104" s="86"/>
      <c r="O104" s="121" t="str">
        <f t="shared" si="2"/>
        <v>✓</v>
      </c>
      <c r="P104" s="79" t="str">
        <f t="shared" si="3"/>
        <v>#VALUE!</v>
      </c>
      <c r="Q104" s="123" t="str">
        <f t="shared" si="4"/>
        <v>#VALUE!</v>
      </c>
      <c r="R104" s="124" t="str">
        <f t="shared" si="5"/>
        <v>#VALUE!</v>
      </c>
      <c r="S104" s="125" t="str">
        <f t="shared" si="6"/>
        <v>#VALUE!</v>
      </c>
      <c r="T104" s="125" t="str">
        <f t="shared" si="7"/>
        <v>#VALUE!</v>
      </c>
      <c r="U104" s="83">
        <f t="shared" si="8"/>
        <v>0</v>
      </c>
      <c r="V104" s="88" t="str">
        <f>ifs($N104="",VLOOKUP($C104&amp;$F104,'MARCH - VISIT DATA'!$A$2:$J600,7,FALSE), $N104="SWAB","OUTSA-RW",$N104="SWQU","OUTSA-SaQu", AND($L104="X",$M104="X",$N104="QUEST"),"OUT-UAQPre",$N104="QUEST","OUT-UAQ", $N104="Walk in","ColUATele")</f>
        <v>UA</v>
      </c>
      <c r="W104" s="70" t="str">
        <f t="shared" si="9"/>
        <v>UA : Urine Analysis In House</v>
      </c>
      <c r="X104" s="64" t="str">
        <f t="shared" si="10"/>
        <v>UA : Urine Analysis In House</v>
      </c>
      <c r="Y104" s="64" t="str">
        <f t="shared" si="11"/>
        <v>MATCH</v>
      </c>
      <c r="Z104" s="66" t="str">
        <f t="shared" si="12"/>
        <v> </v>
      </c>
      <c r="AA104" s="71"/>
    </row>
    <row r="105" ht="15.75" hidden="1" customHeight="1">
      <c r="A105" s="56" t="str">
        <f t="shared" si="1"/>
        <v>972644628</v>
      </c>
      <c r="B105" s="56" t="str">
        <f>IFS($C105=FALSE,"",$C105,VLOOKUP($C105,'PATIENT DATA (072721)'!A:C, 2, 0))</f>
        <v>FLORES, CARLOS</v>
      </c>
      <c r="C105" s="57">
        <v>9726.0</v>
      </c>
      <c r="D105" s="127" t="str">
        <f>IF(COUNTIF('PATIENT DATA (072721)'!A:A, C105)=0, "X","✓")</f>
        <v>✓</v>
      </c>
      <c r="E105" s="79">
        <f>IFS($C105=FALSE,"",$C105,VLOOKUP($C105,'PATIENT DATA (072721)'!A:C, 3, 0))</f>
        <v>23374</v>
      </c>
      <c r="F105" s="80">
        <v>44628.0</v>
      </c>
      <c r="G105" s="81">
        <f>ifs($C105="","",$C105, VLOOKUP($C105&amp;$F105, 'MARCH - VISIT DATA'!A:O,3,0))</f>
        <v>0.3645833333</v>
      </c>
      <c r="H105" s="83" t="s">
        <v>6558</v>
      </c>
      <c r="I105" s="122" t="str">
        <f>VLOOKUP($C105&amp;$F105,'MARCH - VISIT DATA'!A:J, 9, FALSE)</f>
        <v>MARTINEZ</v>
      </c>
      <c r="J105" s="85" t="str">
        <f>VLOOKUP(C105&amp;F105,'MARCH - VISIT DATA'!A:O,10,FALSE)</f>
        <v>WPS VA - COMMUNITY CARE</v>
      </c>
      <c r="K105" s="86"/>
      <c r="L105" s="86" t="s">
        <v>6559</v>
      </c>
      <c r="M105" s="86" t="s">
        <v>6559</v>
      </c>
      <c r="N105" s="86"/>
      <c r="O105" s="121" t="str">
        <f t="shared" si="2"/>
        <v>✓</v>
      </c>
      <c r="P105" s="79" t="str">
        <f t="shared" si="3"/>
        <v>#VALUE!</v>
      </c>
      <c r="Q105" s="123" t="str">
        <f t="shared" si="4"/>
        <v>#VALUE!</v>
      </c>
      <c r="R105" s="124" t="str">
        <f t="shared" si="5"/>
        <v>#VALUE!</v>
      </c>
      <c r="S105" s="125" t="str">
        <f t="shared" si="6"/>
        <v>#VALUE!</v>
      </c>
      <c r="T105" s="125" t="str">
        <f t="shared" si="7"/>
        <v>#VALUE!</v>
      </c>
      <c r="U105" s="83">
        <f t="shared" si="8"/>
        <v>0</v>
      </c>
      <c r="V105" s="88" t="str">
        <f>ifs($N105="",VLOOKUP($C105&amp;$F105,'MARCH - VISIT DATA'!$A$2:$J600,7,FALSE), $N105="SWAB","OUTSA-RW",$N105="SWQU","OUTSA-SaQu", AND($L105="X",$M105="X",$N105="QUEST"),"OUT-UAQPre",$N105="QUEST","OUT-UAQ", $N105="Walk in","ColUATele")</f>
        <v>UA-Prelim</v>
      </c>
      <c r="W105" s="70" t="str">
        <f t="shared" si="9"/>
        <v>UA-Prelim : Preliminary UA Test</v>
      </c>
      <c r="X105" s="64" t="str">
        <f t="shared" si="10"/>
        <v>UA-Prelim : Preliminary UA Test</v>
      </c>
      <c r="Y105" s="64" t="str">
        <f t="shared" si="11"/>
        <v>MATCH</v>
      </c>
      <c r="Z105" s="66" t="str">
        <f t="shared" si="12"/>
        <v> </v>
      </c>
      <c r="AA105" s="71"/>
    </row>
    <row r="106" ht="15.75" customHeight="1">
      <c r="A106" s="56" t="str">
        <f t="shared" si="1"/>
        <v>1049544628</v>
      </c>
      <c r="B106" s="56" t="str">
        <f>IFS($C106=FALSE,"",$C106,VLOOKUP($C106,'PATIENT DATA (072721)'!A:C, 2, 0))</f>
        <v>APODACA, JOHNNY</v>
      </c>
      <c r="C106" s="57">
        <v>10495.0</v>
      </c>
      <c r="D106" s="127" t="str">
        <f>IF(COUNTIF('PATIENT DATA (072721)'!A:A, C106)=0, "X","✓")</f>
        <v>✓</v>
      </c>
      <c r="E106" s="79">
        <f>IFS($C106=FALSE,"",$C106,VLOOKUP($C106,'PATIENT DATA (072721)'!A:C, 3, 0))</f>
        <v>25088</v>
      </c>
      <c r="F106" s="80">
        <v>44628.0</v>
      </c>
      <c r="G106" s="81">
        <f>ifs($C106="","",$C106, VLOOKUP($C106&amp;$F106, 'MARCH - VISIT DATA'!A:O,3,0))</f>
        <v>0.5729166667</v>
      </c>
      <c r="H106" s="83" t="s">
        <v>6558</v>
      </c>
      <c r="I106" s="122" t="str">
        <f>VLOOKUP($C106&amp;$F106,'MARCH - VISIT DATA'!A:J, 9, FALSE)</f>
        <v>MARTINEZ</v>
      </c>
      <c r="J106" s="85" t="str">
        <f>VLOOKUP(C106&amp;F106,'MARCH - VISIT DATA'!A:O,10,FALSE)</f>
        <v>WPS VA - COMMUNITY CARE</v>
      </c>
      <c r="K106" s="86"/>
      <c r="L106" s="86" t="s">
        <v>6559</v>
      </c>
      <c r="M106" s="86"/>
      <c r="N106" s="86"/>
      <c r="O106" s="121" t="str">
        <f t="shared" si="2"/>
        <v>✓</v>
      </c>
      <c r="P106" s="79" t="str">
        <f t="shared" si="3"/>
        <v>#VALUE!</v>
      </c>
      <c r="Q106" s="123" t="str">
        <f t="shared" si="4"/>
        <v>#VALUE!</v>
      </c>
      <c r="R106" s="124" t="str">
        <f t="shared" si="5"/>
        <v>#VALUE!</v>
      </c>
      <c r="S106" s="125" t="str">
        <f t="shared" si="6"/>
        <v>#VALUE!</v>
      </c>
      <c r="T106" s="125" t="str">
        <f t="shared" si="7"/>
        <v>#VALUE!</v>
      </c>
      <c r="U106" s="83">
        <f t="shared" si="8"/>
        <v>0</v>
      </c>
      <c r="V106" s="88" t="str">
        <f>ifs($N106="",VLOOKUP($C106&amp;$F106,'MARCH - VISIT DATA'!$A$2:$J600,7,FALSE), $N106="SWAB","OUTSA-RW",$N106="SWQU","OUTSA-SaQu", AND($L106="X",$M106="X",$N106="QUEST"),"OUT-UAQPre",$N106="QUEST","OUT-UAQ", $N106="Walk in","ColUATele")</f>
        <v>UA</v>
      </c>
      <c r="W106" s="70" t="str">
        <f t="shared" si="9"/>
        <v>UA : Urine Analysis In House</v>
      </c>
      <c r="X106" s="64" t="str">
        <f t="shared" si="10"/>
        <v>UA : Urine Analysis In House</v>
      </c>
      <c r="Y106" s="64" t="str">
        <f t="shared" si="11"/>
        <v>MATCH</v>
      </c>
      <c r="Z106" s="66" t="str">
        <f t="shared" si="12"/>
        <v> </v>
      </c>
      <c r="AA106" s="71"/>
    </row>
    <row r="107" ht="15.75" hidden="1" customHeight="1">
      <c r="A107" s="56" t="str">
        <f t="shared" si="1"/>
        <v>1106544628</v>
      </c>
      <c r="B107" s="56" t="str">
        <f>IFS($C107=FALSE,"",$C107,VLOOKUP($C107,'PATIENT DATA (072721)'!A:C, 2, 0))</f>
        <v>GARCIA, JOHN</v>
      </c>
      <c r="C107" s="57">
        <v>11065.0</v>
      </c>
      <c r="D107" s="127" t="str">
        <f>IF(COUNTIF('PATIENT DATA (072721)'!A:A, C107)=0, "X","✓")</f>
        <v>✓</v>
      </c>
      <c r="E107" s="79">
        <f>IFS($C107=FALSE,"",$C107,VLOOKUP($C107,'PATIENT DATA (072721)'!A:C, 3, 0))</f>
        <v>18803</v>
      </c>
      <c r="F107" s="80">
        <v>44628.0</v>
      </c>
      <c r="G107" s="81">
        <f>ifs($C107="","",$C107, VLOOKUP($C107&amp;$F107, 'MARCH - VISIT DATA'!A:O,3,0))</f>
        <v>0.5625</v>
      </c>
      <c r="H107" s="83" t="s">
        <v>6558</v>
      </c>
      <c r="I107" s="122" t="str">
        <f>VLOOKUP($C107&amp;$F107,'MARCH - VISIT DATA'!A:J, 9, FALSE)</f>
        <v>MARTINEZ</v>
      </c>
      <c r="J107" s="85" t="str">
        <f>VLOOKUP(C107&amp;F107,'MARCH - VISIT DATA'!A:O,10,FALSE)</f>
        <v>HUMANA GOLD PLUS HMO</v>
      </c>
      <c r="K107" s="86"/>
      <c r="L107" s="86" t="s">
        <v>6559</v>
      </c>
      <c r="M107" s="86" t="s">
        <v>6559</v>
      </c>
      <c r="N107" s="86"/>
      <c r="O107" s="121" t="str">
        <f t="shared" si="2"/>
        <v>✓</v>
      </c>
      <c r="P107" s="79" t="str">
        <f t="shared" si="3"/>
        <v>#VALUE!</v>
      </c>
      <c r="Q107" s="123" t="str">
        <f t="shared" si="4"/>
        <v>#VALUE!</v>
      </c>
      <c r="R107" s="124" t="str">
        <f t="shared" si="5"/>
        <v>#VALUE!</v>
      </c>
      <c r="S107" s="125" t="str">
        <f t="shared" si="6"/>
        <v>#VALUE!</v>
      </c>
      <c r="T107" s="125" t="str">
        <f t="shared" si="7"/>
        <v>#VALUE!</v>
      </c>
      <c r="U107" s="83">
        <f t="shared" si="8"/>
        <v>0</v>
      </c>
      <c r="V107" s="88" t="str">
        <f>ifs($N107="",VLOOKUP($C107&amp;$F107,'MARCH - VISIT DATA'!$A$2:$J600,7,FALSE), $N107="SWAB","OUTSA-RW",$N107="SWQU","OUTSA-SaQu", AND($L107="X",$M107="X",$N107="QUEST"),"OUT-UAQPre",$N107="QUEST","OUT-UAQ", $N107="Walk in","ColUATele")</f>
        <v>UA-Prelim</v>
      </c>
      <c r="W107" s="70" t="str">
        <f t="shared" si="9"/>
        <v>UA-Prelim : Preliminary UA Test</v>
      </c>
      <c r="X107" s="64" t="str">
        <f t="shared" si="10"/>
        <v>UA-Prelim : Preliminary UA Test</v>
      </c>
      <c r="Y107" s="64" t="str">
        <f t="shared" si="11"/>
        <v>MATCH</v>
      </c>
      <c r="Z107" s="66" t="str">
        <f t="shared" si="12"/>
        <v> </v>
      </c>
      <c r="AA107" s="71"/>
    </row>
    <row r="108" ht="15.75" customHeight="1">
      <c r="A108" s="56" t="str">
        <f t="shared" si="1"/>
        <v>1130344628</v>
      </c>
      <c r="B108" s="56" t="str">
        <f>IFS($C108=FALSE,"",$C108,VLOOKUP($C108,'PATIENT DATA (072721)'!A:C, 2, 0))</f>
        <v>MONTES, EDWARD</v>
      </c>
      <c r="C108" s="57">
        <v>11303.0</v>
      </c>
      <c r="D108" s="127" t="str">
        <f>IF(COUNTIF('PATIENT DATA (072721)'!A:A, C108)=0, "X","✓")</f>
        <v>✓</v>
      </c>
      <c r="E108" s="79">
        <f>IFS($C108=FALSE,"",$C108,VLOOKUP($C108,'PATIENT DATA (072721)'!A:C, 3, 0))</f>
        <v>17223</v>
      </c>
      <c r="F108" s="80">
        <v>44628.0</v>
      </c>
      <c r="G108" s="81">
        <f>ifs($C108="","",$C108, VLOOKUP($C108&amp;$F108, 'MARCH - VISIT DATA'!A:O,3,0))</f>
        <v>0.4479166667</v>
      </c>
      <c r="H108" s="83" t="s">
        <v>6561</v>
      </c>
      <c r="I108" s="122" t="str">
        <f>VLOOKUP($C108&amp;$F108,'MARCH - VISIT DATA'!A:J, 9, FALSE)</f>
        <v>LOPEZ</v>
      </c>
      <c r="J108" s="85" t="str">
        <f>VLOOKUP(C108&amp;F108,'MARCH - VISIT DATA'!A:O,10,FALSE)</f>
        <v>WPS VA - COMMUNITY CARE</v>
      </c>
      <c r="K108" s="86"/>
      <c r="L108" s="86" t="s">
        <v>6559</v>
      </c>
      <c r="M108" s="86"/>
      <c r="N108" s="86"/>
      <c r="O108" s="121" t="str">
        <f t="shared" si="2"/>
        <v>✓</v>
      </c>
      <c r="P108" s="79" t="str">
        <f t="shared" si="3"/>
        <v>#VALUE!</v>
      </c>
      <c r="Q108" s="123" t="str">
        <f t="shared" si="4"/>
        <v>#VALUE!</v>
      </c>
      <c r="R108" s="124" t="str">
        <f t="shared" si="5"/>
        <v>#VALUE!</v>
      </c>
      <c r="S108" s="125" t="str">
        <f t="shared" si="6"/>
        <v>#VALUE!</v>
      </c>
      <c r="T108" s="125" t="str">
        <f t="shared" si="7"/>
        <v>#VALUE!</v>
      </c>
      <c r="U108" s="83">
        <f t="shared" si="8"/>
        <v>0</v>
      </c>
      <c r="V108" s="88" t="str">
        <f>ifs($N108="",VLOOKUP($C108&amp;$F108,'MARCH - VISIT DATA'!$A$2:$J600,7,FALSE), $N108="SWAB","OUTSA-RW",$N108="SWQU","OUTSA-SaQu", AND($L108="X",$M108="X",$N108="QUEST"),"OUT-UAQPre",$N108="QUEST","OUT-UAQ", $N108="Walk in","ColUATele")</f>
        <v>UA</v>
      </c>
      <c r="W108" s="70" t="str">
        <f t="shared" si="9"/>
        <v>UA : Urine Analysis In House</v>
      </c>
      <c r="X108" s="64" t="str">
        <f t="shared" si="10"/>
        <v>UA : Urine Analysis In House</v>
      </c>
      <c r="Y108" s="64" t="str">
        <f t="shared" si="11"/>
        <v>MATCH</v>
      </c>
      <c r="Z108" s="66" t="str">
        <f t="shared" si="12"/>
        <v> </v>
      </c>
      <c r="AA108" s="71"/>
    </row>
    <row r="109" ht="15.75" hidden="1" customHeight="1">
      <c r="A109" s="56" t="str">
        <f t="shared" si="1"/>
        <v>1185244628</v>
      </c>
      <c r="B109" s="56" t="str">
        <f>IFS($C109=FALSE,"",$C109,VLOOKUP($C109,'PATIENT DATA (072721)'!A:C, 2, 0))</f>
        <v>SOSA, MARY</v>
      </c>
      <c r="C109" s="57">
        <v>11852.0</v>
      </c>
      <c r="D109" s="127" t="str">
        <f>IF(COUNTIF('PATIENT DATA (072721)'!A:A, C109)=0, "X","✓")</f>
        <v>✓</v>
      </c>
      <c r="E109" s="79">
        <f>IFS($C109=FALSE,"",$C109,VLOOKUP($C109,'PATIENT DATA (072721)'!A:C, 3, 0))</f>
        <v>12931</v>
      </c>
      <c r="F109" s="80">
        <v>44628.0</v>
      </c>
      <c r="G109" s="81">
        <f>ifs($C109="","",$C109, VLOOKUP($C109&amp;$F109, 'MARCH - VISIT DATA'!A:O,3,0))</f>
        <v>0.59375</v>
      </c>
      <c r="H109" s="83" t="s">
        <v>6561</v>
      </c>
      <c r="I109" s="122" t="str">
        <f>VLOOKUP($C109&amp;$F109,'MARCH - VISIT DATA'!A:J, 9, FALSE)</f>
        <v>LOPEZ</v>
      </c>
      <c r="J109" s="85" t="str">
        <f>VLOOKUP(C109&amp;F109,'MARCH - VISIT DATA'!A:O,10,FALSE)</f>
        <v>HUMANA GOLD PLUS HMO</v>
      </c>
      <c r="K109" s="86"/>
      <c r="L109" s="86" t="s">
        <v>6559</v>
      </c>
      <c r="M109" s="86" t="s">
        <v>6559</v>
      </c>
      <c r="N109" s="86"/>
      <c r="O109" s="121" t="str">
        <f t="shared" si="2"/>
        <v>✓</v>
      </c>
      <c r="P109" s="79" t="str">
        <f t="shared" si="3"/>
        <v>#VALUE!</v>
      </c>
      <c r="Q109" s="123" t="str">
        <f t="shared" si="4"/>
        <v>#VALUE!</v>
      </c>
      <c r="R109" s="124" t="str">
        <f t="shared" si="5"/>
        <v>#VALUE!</v>
      </c>
      <c r="S109" s="125" t="str">
        <f t="shared" si="6"/>
        <v>#VALUE!</v>
      </c>
      <c r="T109" s="125" t="str">
        <f t="shared" si="7"/>
        <v>#VALUE!</v>
      </c>
      <c r="U109" s="83">
        <f t="shared" si="8"/>
        <v>0</v>
      </c>
      <c r="V109" s="88" t="str">
        <f>ifs($N109="",VLOOKUP($C109&amp;$F109,'MARCH - VISIT DATA'!$A$2:$J600,7,FALSE), $N109="SWAB","OUTSA-RW",$N109="SWQU","OUTSA-SaQu", AND($L109="X",$M109="X",$N109="QUEST"),"OUT-UAQPre",$N109="QUEST","OUT-UAQ", $N109="Walk in","ColUATele")</f>
        <v>UA-Prelim</v>
      </c>
      <c r="W109" s="70" t="str">
        <f t="shared" si="9"/>
        <v>UA-Prelim : Preliminary UA Test</v>
      </c>
      <c r="X109" s="64" t="str">
        <f t="shared" si="10"/>
        <v>UA-Prelim : Preliminary UA Test</v>
      </c>
      <c r="Y109" s="64" t="str">
        <f t="shared" si="11"/>
        <v>MATCH</v>
      </c>
      <c r="Z109" s="66" t="str">
        <f t="shared" si="12"/>
        <v> </v>
      </c>
      <c r="AA109" s="71"/>
    </row>
    <row r="110" ht="15.75" hidden="1" customHeight="1">
      <c r="A110" s="56" t="str">
        <f t="shared" si="1"/>
        <v>1288444628</v>
      </c>
      <c r="B110" s="56" t="str">
        <f>IFS($C110=FALSE,"",$C110,VLOOKUP($C110,'PATIENT DATA (072721)'!A:C, 2, 0))</f>
        <v>BROWN, CASEY</v>
      </c>
      <c r="C110" s="57">
        <v>12884.0</v>
      </c>
      <c r="D110" s="127" t="str">
        <f>IF(COUNTIF('PATIENT DATA (072721)'!A:A, C110)=0, "X","✓")</f>
        <v>✓</v>
      </c>
      <c r="E110" s="79">
        <f>IFS($C110=FALSE,"",$C110,VLOOKUP($C110,'PATIENT DATA (072721)'!A:C, 3, 0))</f>
        <v>25501</v>
      </c>
      <c r="F110" s="80">
        <v>44628.0</v>
      </c>
      <c r="G110" s="81">
        <f>ifs($C110="","",$C110, VLOOKUP($C110&amp;$F110, 'MARCH - VISIT DATA'!A:O,3,0))</f>
        <v>0.40625</v>
      </c>
      <c r="H110" s="83" t="s">
        <v>6558</v>
      </c>
      <c r="I110" s="122" t="str">
        <f>VLOOKUP($C110&amp;$F110,'MARCH - VISIT DATA'!A:J, 9, FALSE)</f>
        <v>MARTINEZ</v>
      </c>
      <c r="J110" s="85" t="str">
        <f>VLOOKUP(C110&amp;F110,'MARCH - VISIT DATA'!A:O,10,FALSE)</f>
        <v>CIGNA OPEN ACCESS PLAN (OAP)</v>
      </c>
      <c r="K110" s="86"/>
      <c r="L110" s="86" t="s">
        <v>6559</v>
      </c>
      <c r="M110" s="86" t="s">
        <v>6559</v>
      </c>
      <c r="N110" s="86"/>
      <c r="O110" s="121" t="str">
        <f t="shared" si="2"/>
        <v>✓</v>
      </c>
      <c r="P110" s="79" t="str">
        <f t="shared" si="3"/>
        <v>#VALUE!</v>
      </c>
      <c r="Q110" s="123" t="str">
        <f t="shared" si="4"/>
        <v>#VALUE!</v>
      </c>
      <c r="R110" s="124" t="str">
        <f t="shared" si="5"/>
        <v>#VALUE!</v>
      </c>
      <c r="S110" s="125" t="str">
        <f t="shared" si="6"/>
        <v>#VALUE!</v>
      </c>
      <c r="T110" s="125" t="str">
        <f t="shared" si="7"/>
        <v>#VALUE!</v>
      </c>
      <c r="U110" s="83">
        <f t="shared" si="8"/>
        <v>0</v>
      </c>
      <c r="V110" s="88" t="str">
        <f>ifs($N110="",VLOOKUP($C110&amp;$F110,'MARCH - VISIT DATA'!$A$2:$J600,7,FALSE), $N110="SWAB","OUTSA-RW",$N110="SWQU","OUTSA-SaQu", AND($L110="X",$M110="X",$N110="QUEST"),"OUT-UAQPre",$N110="QUEST","OUT-UAQ", $N110="Walk in","ColUATele")</f>
        <v>UA-Prelim</v>
      </c>
      <c r="W110" s="70" t="str">
        <f t="shared" si="9"/>
        <v>UA-Prelim : Preliminary UA Test</v>
      </c>
      <c r="X110" s="64" t="str">
        <f t="shared" si="10"/>
        <v>UA-Prelim : Preliminary UA Test</v>
      </c>
      <c r="Y110" s="64" t="str">
        <f t="shared" si="11"/>
        <v>MATCH</v>
      </c>
      <c r="Z110" s="66" t="str">
        <f t="shared" si="12"/>
        <v> </v>
      </c>
      <c r="AA110" s="71"/>
    </row>
    <row r="111" ht="15.75" customHeight="1">
      <c r="A111" s="56" t="str">
        <f t="shared" si="1"/>
        <v>1316744628</v>
      </c>
      <c r="B111" s="56" t="str">
        <f>IFS($C111=FALSE,"",$C111,VLOOKUP($C111,'PATIENT DATA (072721)'!A:C, 2, 0))</f>
        <v>OCHOA, ALICIA</v>
      </c>
      <c r="C111" s="57">
        <v>13167.0</v>
      </c>
      <c r="D111" s="127" t="str">
        <f>IF(COUNTIF('PATIENT DATA (072721)'!A:A, C111)=0, "X","✓")</f>
        <v>✓</v>
      </c>
      <c r="E111" s="79">
        <f>IFS($C111=FALSE,"",$C111,VLOOKUP($C111,'PATIENT DATA (072721)'!A:C, 3, 0))</f>
        <v>14721</v>
      </c>
      <c r="F111" s="80">
        <v>44628.0</v>
      </c>
      <c r="G111" s="81">
        <f>ifs($C111="","",$C111, VLOOKUP($C111&amp;$F111, 'MARCH - VISIT DATA'!A:O,3,0))</f>
        <v>0.3958333333</v>
      </c>
      <c r="H111" s="83" t="s">
        <v>6560</v>
      </c>
      <c r="I111" s="122" t="str">
        <f>VLOOKUP($C111&amp;$F111,'MARCH - VISIT DATA'!A:J, 9, FALSE)</f>
        <v>TORRES</v>
      </c>
      <c r="J111" s="85" t="str">
        <f>VLOOKUP(C111&amp;F111,'MARCH - VISIT DATA'!A:O,10,FALSE)</f>
        <v>AMERIVANTAGE DUAL</v>
      </c>
      <c r="K111" s="86"/>
      <c r="L111" s="86" t="s">
        <v>6559</v>
      </c>
      <c r="M111" s="86"/>
      <c r="N111" s="86"/>
      <c r="O111" s="121" t="str">
        <f t="shared" si="2"/>
        <v>✓</v>
      </c>
      <c r="P111" s="79" t="str">
        <f t="shared" si="3"/>
        <v>#VALUE!</v>
      </c>
      <c r="Q111" s="123" t="str">
        <f t="shared" si="4"/>
        <v>#VALUE!</v>
      </c>
      <c r="R111" s="124" t="str">
        <f t="shared" si="5"/>
        <v>#VALUE!</v>
      </c>
      <c r="S111" s="125" t="str">
        <f t="shared" si="6"/>
        <v>#VALUE!</v>
      </c>
      <c r="T111" s="125" t="str">
        <f t="shared" si="7"/>
        <v>#VALUE!</v>
      </c>
      <c r="U111" s="83">
        <f t="shared" si="8"/>
        <v>0</v>
      </c>
      <c r="V111" s="88" t="str">
        <f>ifs($N111="",VLOOKUP($C111&amp;$F111,'MARCH - VISIT DATA'!$A$2:$J600,7,FALSE), $N111="SWAB","OUTSA-RW",$N111="SWQU","OUTSA-SaQu", AND($L111="X",$M111="X",$N111="QUEST"),"OUT-UAQPre",$N111="QUEST","OUT-UAQ", $N111="Walk in","ColUATele")</f>
        <v>UA</v>
      </c>
      <c r="W111" s="70" t="str">
        <f t="shared" si="9"/>
        <v>UA : Urine Analysis In House</v>
      </c>
      <c r="X111" s="64" t="str">
        <f t="shared" si="10"/>
        <v>UA : Urine Analysis In House</v>
      </c>
      <c r="Y111" s="64" t="str">
        <f t="shared" si="11"/>
        <v>MATCH</v>
      </c>
      <c r="Z111" s="66" t="str">
        <f t="shared" si="12"/>
        <v> </v>
      </c>
      <c r="AA111" s="71"/>
    </row>
    <row r="112" ht="15.75" customHeight="1">
      <c r="A112" s="56" t="str">
        <f t="shared" si="1"/>
        <v>1318044628</v>
      </c>
      <c r="B112" s="56" t="str">
        <f>IFS($C112=FALSE,"",$C112,VLOOKUP($C112,'PATIENT DATA (072721)'!A:C, 2, 0))</f>
        <v>MOLINA, LETICIA</v>
      </c>
      <c r="C112" s="57">
        <v>13180.0</v>
      </c>
      <c r="D112" s="127" t="str">
        <f>IF(COUNTIF('PATIENT DATA (072721)'!A:A, C112)=0, "X","✓")</f>
        <v>✓</v>
      </c>
      <c r="E112" s="79">
        <f>IFS($C112=FALSE,"",$C112,VLOOKUP($C112,'PATIENT DATA (072721)'!A:C, 3, 0))</f>
        <v>14986</v>
      </c>
      <c r="F112" s="80">
        <v>44628.0</v>
      </c>
      <c r="G112" s="81">
        <f>ifs($C112="","",$C112, VLOOKUP($C112&amp;$F112, 'MARCH - VISIT DATA'!A:O,3,0))</f>
        <v>0.5729166667</v>
      </c>
      <c r="H112" s="83" t="s">
        <v>6562</v>
      </c>
      <c r="I112" s="122" t="str">
        <f>VLOOKUP($C112&amp;$F112,'MARCH - VISIT DATA'!A:J, 9, FALSE)</f>
        <v>THOMAS</v>
      </c>
      <c r="J112" s="85" t="str">
        <f>VLOOKUP(C112&amp;F112,'MARCH - VISIT DATA'!A:O,10,FALSE)</f>
        <v>MEDICARE TEXAS</v>
      </c>
      <c r="K112" s="86"/>
      <c r="L112" s="86" t="s">
        <v>6559</v>
      </c>
      <c r="M112" s="86"/>
      <c r="N112" s="86"/>
      <c r="O112" s="121" t="str">
        <f t="shared" si="2"/>
        <v>✓</v>
      </c>
      <c r="P112" s="79" t="str">
        <f t="shared" si="3"/>
        <v>#VALUE!</v>
      </c>
      <c r="Q112" s="123" t="str">
        <f t="shared" si="4"/>
        <v>#VALUE!</v>
      </c>
      <c r="R112" s="124" t="str">
        <f t="shared" si="5"/>
        <v>#VALUE!</v>
      </c>
      <c r="S112" s="125" t="str">
        <f t="shared" si="6"/>
        <v>#VALUE!</v>
      </c>
      <c r="T112" s="125" t="str">
        <f t="shared" si="7"/>
        <v>#VALUE!</v>
      </c>
      <c r="U112" s="83">
        <f t="shared" si="8"/>
        <v>0</v>
      </c>
      <c r="V112" s="88" t="str">
        <f>ifs($N112="",VLOOKUP($C112&amp;$F112,'MARCH - VISIT DATA'!$A$2:$J600,7,FALSE), $N112="SWAB","OUTSA-RW",$N112="SWQU","OUTSA-SaQu", AND($L112="X",$M112="X",$N112="QUEST"),"OUT-UAQPre",$N112="QUEST","OUT-UAQ", $N112="Walk in","ColUATele")</f>
        <v>UA</v>
      </c>
      <c r="W112" s="70" t="str">
        <f t="shared" si="9"/>
        <v>UA : Urine Analysis In House</v>
      </c>
      <c r="X112" s="64" t="str">
        <f t="shared" si="10"/>
        <v>UA : Urine Analysis In House</v>
      </c>
      <c r="Y112" s="64" t="str">
        <f t="shared" si="11"/>
        <v>MATCH</v>
      </c>
      <c r="Z112" s="66" t="str">
        <f t="shared" si="12"/>
        <v> </v>
      </c>
      <c r="AA112" s="71"/>
    </row>
    <row r="113" ht="15.75" customHeight="1">
      <c r="A113" s="56" t="str">
        <f t="shared" si="1"/>
        <v>1327344628</v>
      </c>
      <c r="B113" s="56" t="str">
        <f>IFS($C113=FALSE,"",$C113,VLOOKUP($C113,'PATIENT DATA (072721)'!A:C, 2, 0))</f>
        <v>SPURGEON, AMOS J</v>
      </c>
      <c r="C113" s="57">
        <v>13273.0</v>
      </c>
      <c r="D113" s="127" t="str">
        <f>IF(COUNTIF('PATIENT DATA (072721)'!A:A, C113)=0, "X","✓")</f>
        <v>✓</v>
      </c>
      <c r="E113" s="79">
        <f>IFS($C113=FALSE,"",$C113,VLOOKUP($C113,'PATIENT DATA (072721)'!A:C, 3, 0))</f>
        <v>30146</v>
      </c>
      <c r="F113" s="80">
        <v>44628.0</v>
      </c>
      <c r="G113" s="81">
        <f>ifs($C113="","",$C113, VLOOKUP($C113&amp;$F113, 'MARCH - VISIT DATA'!A:O,3,0))</f>
        <v>0.3229166667</v>
      </c>
      <c r="H113" s="83" t="s">
        <v>6561</v>
      </c>
      <c r="I113" s="122" t="str">
        <f>VLOOKUP($C113&amp;$F113,'MARCH - VISIT DATA'!A:J, 9, FALSE)</f>
        <v>LOPEZ</v>
      </c>
      <c r="J113" s="85" t="str">
        <f>VLOOKUP(C113&amp;F113,'MARCH - VISIT DATA'!A:O,10,FALSE)</f>
        <v>TRICARE PRIME</v>
      </c>
      <c r="K113" s="86"/>
      <c r="L113" s="86" t="s">
        <v>6559</v>
      </c>
      <c r="M113" s="86"/>
      <c r="N113" s="86"/>
      <c r="O113" s="121" t="str">
        <f t="shared" si="2"/>
        <v>✓</v>
      </c>
      <c r="P113" s="79" t="str">
        <f t="shared" si="3"/>
        <v>#VALUE!</v>
      </c>
      <c r="Q113" s="123" t="str">
        <f t="shared" si="4"/>
        <v>#VALUE!</v>
      </c>
      <c r="R113" s="124" t="str">
        <f t="shared" si="5"/>
        <v>#VALUE!</v>
      </c>
      <c r="S113" s="125" t="str">
        <f t="shared" si="6"/>
        <v>#VALUE!</v>
      </c>
      <c r="T113" s="125" t="str">
        <f t="shared" si="7"/>
        <v>#VALUE!</v>
      </c>
      <c r="U113" s="83">
        <f t="shared" si="8"/>
        <v>0</v>
      </c>
      <c r="V113" s="88" t="str">
        <f>ifs($N113="",VLOOKUP($C113&amp;$F113,'MARCH - VISIT DATA'!$A$2:$J600,7,FALSE), $N113="SWAB","OUTSA-RW",$N113="SWQU","OUTSA-SaQu", AND($L113="X",$M113="X",$N113="QUEST"),"OUT-UAQPre",$N113="QUEST","OUT-UAQ", $N113="Walk in","ColUATele")</f>
        <v>UA</v>
      </c>
      <c r="W113" s="70" t="str">
        <f t="shared" si="9"/>
        <v>UA : Urine Analysis In House</v>
      </c>
      <c r="X113" s="64" t="str">
        <f t="shared" si="10"/>
        <v>UA : Urine Analysis In House</v>
      </c>
      <c r="Y113" s="64" t="str">
        <f t="shared" si="11"/>
        <v>MATCH</v>
      </c>
      <c r="Z113" s="66" t="str">
        <f t="shared" si="12"/>
        <v> </v>
      </c>
      <c r="AA113" s="71"/>
    </row>
    <row r="114" ht="15.75" hidden="1" customHeight="1">
      <c r="A114" s="56" t="str">
        <f t="shared" si="1"/>
        <v>1340544628</v>
      </c>
      <c r="B114" s="56" t="str">
        <f>IFS($C114=FALSE,"",$C114,VLOOKUP($C114,'PATIENT DATA (072721)'!A:C, 2, 0))</f>
        <v>RODRIGUEZ, MARTHA A</v>
      </c>
      <c r="C114" s="57">
        <v>13405.0</v>
      </c>
      <c r="D114" s="127" t="str">
        <f>IF(COUNTIF('PATIENT DATA (072721)'!A:A, C114)=0, "X","✓")</f>
        <v>✓</v>
      </c>
      <c r="E114" s="79">
        <f>IFS($C114=FALSE,"",$C114,VLOOKUP($C114,'PATIENT DATA (072721)'!A:C, 3, 0))</f>
        <v>23929</v>
      </c>
      <c r="F114" s="80">
        <v>44628.0</v>
      </c>
      <c r="G114" s="81">
        <f>ifs($C114="","",$C114, VLOOKUP($C114&amp;$F114, 'MARCH - VISIT DATA'!A:O,3,0))</f>
        <v>0.5729166667</v>
      </c>
      <c r="H114" s="83" t="s">
        <v>6560</v>
      </c>
      <c r="I114" s="122" t="str">
        <f>VLOOKUP($C114&amp;$F114,'MARCH - VISIT DATA'!A:J, 9, FALSE)</f>
        <v>TORRES</v>
      </c>
      <c r="J114" s="85" t="str">
        <f>VLOOKUP(C114&amp;F114,'MARCH - VISIT DATA'!A:O,10,FALSE)</f>
        <v>BCBSTX PPO</v>
      </c>
      <c r="K114" s="86"/>
      <c r="L114" s="86" t="s">
        <v>6559</v>
      </c>
      <c r="M114" s="86" t="s">
        <v>6559</v>
      </c>
      <c r="N114" s="86"/>
      <c r="O114" s="121" t="str">
        <f t="shared" si="2"/>
        <v>✓</v>
      </c>
      <c r="P114" s="79" t="str">
        <f t="shared" si="3"/>
        <v>#VALUE!</v>
      </c>
      <c r="Q114" s="123" t="str">
        <f t="shared" si="4"/>
        <v>#VALUE!</v>
      </c>
      <c r="R114" s="124" t="str">
        <f t="shared" si="5"/>
        <v>#VALUE!</v>
      </c>
      <c r="S114" s="125" t="str">
        <f t="shared" si="6"/>
        <v>#VALUE!</v>
      </c>
      <c r="T114" s="125" t="str">
        <f t="shared" si="7"/>
        <v>#VALUE!</v>
      </c>
      <c r="U114" s="83">
        <f t="shared" si="8"/>
        <v>0</v>
      </c>
      <c r="V114" s="88" t="str">
        <f>ifs($N114="",VLOOKUP($C114&amp;$F114,'MARCH - VISIT DATA'!$A$2:$J600,7,FALSE), $N114="SWAB","OUTSA-RW",$N114="SWQU","OUTSA-SaQu", AND($L114="X",$M114="X",$N114="QUEST"),"OUT-UAQPre",$N114="QUEST","OUT-UAQ", $N114="Walk in","ColUATele")</f>
        <v>UA-Prelim</v>
      </c>
      <c r="W114" s="70" t="str">
        <f t="shared" si="9"/>
        <v>UA-Prelim : Preliminary UA Test</v>
      </c>
      <c r="X114" s="64" t="str">
        <f t="shared" si="10"/>
        <v>UA-Prelim : Preliminary UA Test</v>
      </c>
      <c r="Y114" s="64" t="str">
        <f t="shared" si="11"/>
        <v>MATCH</v>
      </c>
      <c r="Z114" s="66" t="str">
        <f t="shared" si="12"/>
        <v> </v>
      </c>
      <c r="AA114" s="71"/>
    </row>
    <row r="115" ht="15.75" customHeight="1">
      <c r="A115" s="56" t="str">
        <f t="shared" si="1"/>
        <v>1427544628</v>
      </c>
      <c r="B115" s="56" t="str">
        <f>IFS($C115=FALSE,"",$C115,VLOOKUP($C115,'PATIENT DATA (072721)'!A:C, 2, 0))</f>
        <v>PERRY, YOLANDA R</v>
      </c>
      <c r="C115" s="57">
        <v>14275.0</v>
      </c>
      <c r="D115" s="127" t="str">
        <f>IF(COUNTIF('PATIENT DATA (072721)'!A:A, C115)=0, "X","✓")</f>
        <v>✓</v>
      </c>
      <c r="E115" s="79">
        <f>IFS($C115=FALSE,"",$C115,VLOOKUP($C115,'PATIENT DATA (072721)'!A:C, 3, 0))</f>
        <v>14212</v>
      </c>
      <c r="F115" s="80">
        <v>44628.0</v>
      </c>
      <c r="G115" s="81">
        <f>ifs($C115="","",$C115, VLOOKUP($C115&amp;$F115, 'MARCH - VISIT DATA'!A:O,3,0))</f>
        <v>0.5833333333</v>
      </c>
      <c r="H115" s="83" t="s">
        <v>6560</v>
      </c>
      <c r="I115" s="122" t="str">
        <f>VLOOKUP($C115&amp;$F115,'MARCH - VISIT DATA'!A:J, 9, FALSE)</f>
        <v>TORRES</v>
      </c>
      <c r="J115" s="85" t="str">
        <f>VLOOKUP(C115&amp;F115,'MARCH - VISIT DATA'!A:O,10,FALSE)</f>
        <v>HUMANA MEDICARE PPO</v>
      </c>
      <c r="K115" s="86"/>
      <c r="L115" s="86" t="s">
        <v>6559</v>
      </c>
      <c r="M115" s="86"/>
      <c r="N115" s="86"/>
      <c r="O115" s="121" t="str">
        <f t="shared" si="2"/>
        <v>✓</v>
      </c>
      <c r="P115" s="79" t="str">
        <f t="shared" si="3"/>
        <v>#VALUE!</v>
      </c>
      <c r="Q115" s="123" t="str">
        <f t="shared" si="4"/>
        <v>#VALUE!</v>
      </c>
      <c r="R115" s="124" t="str">
        <f t="shared" si="5"/>
        <v>#VALUE!</v>
      </c>
      <c r="S115" s="125" t="str">
        <f t="shared" si="6"/>
        <v>#VALUE!</v>
      </c>
      <c r="T115" s="125" t="str">
        <f t="shared" si="7"/>
        <v>#VALUE!</v>
      </c>
      <c r="U115" s="83">
        <f t="shared" si="8"/>
        <v>0</v>
      </c>
      <c r="V115" s="88" t="str">
        <f>ifs($N115="",VLOOKUP($C115&amp;$F115,'MARCH - VISIT DATA'!$A$2:$J600,7,FALSE), $N115="SWAB","OUTSA-RW",$N115="SWQU","OUTSA-SaQu", AND($L115="X",$M115="X",$N115="QUEST"),"OUT-UAQPre",$N115="QUEST","OUT-UAQ", $N115="Walk in","ColUATele")</f>
        <v>UA</v>
      </c>
      <c r="W115" s="70" t="str">
        <f t="shared" si="9"/>
        <v>UA : Urine Analysis In House</v>
      </c>
      <c r="X115" s="64" t="str">
        <f t="shared" si="10"/>
        <v>UA : Urine Analysis In House</v>
      </c>
      <c r="Y115" s="64" t="str">
        <f t="shared" si="11"/>
        <v>MATCH</v>
      </c>
      <c r="Z115" s="66" t="str">
        <f t="shared" si="12"/>
        <v> </v>
      </c>
      <c r="AA115" s="71"/>
    </row>
    <row r="116" ht="15.75" hidden="1" customHeight="1">
      <c r="A116" s="56" t="str">
        <f t="shared" si="1"/>
        <v>1468244628</v>
      </c>
      <c r="B116" s="56" t="str">
        <f>IFS($C116=FALSE,"",$C116,VLOOKUP($C116,'PATIENT DATA (072721)'!A:C, 2, 0))</f>
        <v>GOMEZ, BRIANA M</v>
      </c>
      <c r="C116" s="57">
        <v>14682.0</v>
      </c>
      <c r="D116" s="127" t="str">
        <f>IF(COUNTIF('PATIENT DATA (072721)'!A:A, C116)=0, "X","✓")</f>
        <v>✓</v>
      </c>
      <c r="E116" s="79">
        <f>IFS($C116=FALSE,"",$C116,VLOOKUP($C116,'PATIENT DATA (072721)'!A:C, 3, 0))</f>
        <v>33997</v>
      </c>
      <c r="F116" s="80">
        <v>44628.0</v>
      </c>
      <c r="G116" s="81">
        <f>ifs($C116="","",$C116, VLOOKUP($C116&amp;$F116, 'MARCH - VISIT DATA'!A:O,3,0))</f>
        <v>0.5416666667</v>
      </c>
      <c r="H116" s="83" t="s">
        <v>6560</v>
      </c>
      <c r="I116" s="122" t="str">
        <f>VLOOKUP($C116&amp;$F116,'MARCH - VISIT DATA'!A:J, 9, FALSE)</f>
        <v>TORRES</v>
      </c>
      <c r="J116" s="85" t="str">
        <f>VLOOKUP(C116&amp;F116,'MARCH - VISIT DATA'!A:O,10,FALSE)</f>
        <v>MEDICARE TEXAS</v>
      </c>
      <c r="K116" s="86"/>
      <c r="L116" s="86" t="s">
        <v>6559</v>
      </c>
      <c r="M116" s="86" t="s">
        <v>6559</v>
      </c>
      <c r="N116" s="86"/>
      <c r="O116" s="121" t="str">
        <f t="shared" si="2"/>
        <v>✓</v>
      </c>
      <c r="P116" s="79" t="str">
        <f t="shared" si="3"/>
        <v>#VALUE!</v>
      </c>
      <c r="Q116" s="123" t="str">
        <f t="shared" si="4"/>
        <v>#VALUE!</v>
      </c>
      <c r="R116" s="124" t="str">
        <f t="shared" si="5"/>
        <v>#VALUE!</v>
      </c>
      <c r="S116" s="125" t="str">
        <f t="shared" si="6"/>
        <v>#VALUE!</v>
      </c>
      <c r="T116" s="125" t="str">
        <f t="shared" si="7"/>
        <v>#VALUE!</v>
      </c>
      <c r="U116" s="83">
        <f t="shared" si="8"/>
        <v>0</v>
      </c>
      <c r="V116" s="88" t="str">
        <f>ifs($N116="",VLOOKUP($C116&amp;$F116,'MARCH - VISIT DATA'!$A$2:$J600,7,FALSE), $N116="SWAB","OUTSA-RW",$N116="SWQU","OUTSA-SaQu", AND($L116="X",$M116="X",$N116="QUEST"),"OUT-UAQPre",$N116="QUEST","OUT-UAQ", $N116="Walk in","ColUATele")</f>
        <v>UA-Prelim</v>
      </c>
      <c r="W116" s="70" t="str">
        <f t="shared" si="9"/>
        <v>UA-Prelim : Preliminary UA Test</v>
      </c>
      <c r="X116" s="64" t="str">
        <f t="shared" si="10"/>
        <v>UA-Prelim : Preliminary UA Test</v>
      </c>
      <c r="Y116" s="64" t="str">
        <f t="shared" si="11"/>
        <v>MATCH</v>
      </c>
      <c r="Z116" s="66" t="str">
        <f t="shared" si="12"/>
        <v> </v>
      </c>
      <c r="AA116" s="71"/>
    </row>
    <row r="117" ht="15.75" customHeight="1">
      <c r="A117" s="56" t="str">
        <f t="shared" si="1"/>
        <v>1533744628</v>
      </c>
      <c r="B117" s="56" t="str">
        <f>IFS($C117=FALSE,"",$C117,VLOOKUP($C117,'PATIENT DATA (072721)'!A:C, 2, 0))</f>
        <v>BORREGO, ANTHONY</v>
      </c>
      <c r="C117" s="57">
        <v>15337.0</v>
      </c>
      <c r="D117" s="127" t="str">
        <f>IF(COUNTIF('PATIENT DATA (072721)'!A:A, C117)=0, "X","✓")</f>
        <v>✓</v>
      </c>
      <c r="E117" s="79">
        <f>IFS($C117=FALSE,"",$C117,VLOOKUP($C117,'PATIENT DATA (072721)'!A:C, 3, 0))</f>
        <v>29323</v>
      </c>
      <c r="F117" s="80">
        <v>44628.0</v>
      </c>
      <c r="G117" s="81">
        <f>ifs($C117="","",$C117, VLOOKUP($C117&amp;$F117, 'MARCH - VISIT DATA'!A:O,3,0))</f>
        <v>0.4166666667</v>
      </c>
      <c r="H117" s="83" t="s">
        <v>6560</v>
      </c>
      <c r="I117" s="122" t="str">
        <f>VLOOKUP($C117&amp;$F117,'MARCH - VISIT DATA'!A:J, 9, FALSE)</f>
        <v>TORRES</v>
      </c>
      <c r="J117" s="85" t="str">
        <f>VLOOKUP(C117&amp;F117,'MARCH - VISIT DATA'!A:O,10,FALSE)</f>
        <v>BCBSTX PPO</v>
      </c>
      <c r="K117" s="86"/>
      <c r="L117" s="86" t="s">
        <v>6559</v>
      </c>
      <c r="M117" s="86"/>
      <c r="N117" s="86"/>
      <c r="O117" s="121" t="str">
        <f t="shared" si="2"/>
        <v>✓</v>
      </c>
      <c r="P117" s="79" t="str">
        <f t="shared" si="3"/>
        <v>#VALUE!</v>
      </c>
      <c r="Q117" s="123" t="str">
        <f t="shared" si="4"/>
        <v>#VALUE!</v>
      </c>
      <c r="R117" s="124" t="str">
        <f t="shared" si="5"/>
        <v>#VALUE!</v>
      </c>
      <c r="S117" s="125" t="str">
        <f t="shared" si="6"/>
        <v>#VALUE!</v>
      </c>
      <c r="T117" s="125" t="str">
        <f t="shared" si="7"/>
        <v>#VALUE!</v>
      </c>
      <c r="U117" s="83">
        <f t="shared" si="8"/>
        <v>0</v>
      </c>
      <c r="V117" s="88" t="str">
        <f>ifs($N117="",VLOOKUP($C117&amp;$F117,'MARCH - VISIT DATA'!$A$2:$J600,7,FALSE), $N117="SWAB","OUTSA-RW",$N117="SWQU","OUTSA-SaQu", AND($L117="X",$M117="X",$N117="QUEST"),"OUT-UAQPre",$N117="QUEST","OUT-UAQ", $N117="Walk in","ColUATele")</f>
        <v>UA</v>
      </c>
      <c r="W117" s="70" t="str">
        <f t="shared" si="9"/>
        <v>UA : Urine Analysis In House</v>
      </c>
      <c r="X117" s="64" t="str">
        <f t="shared" si="10"/>
        <v>UA : Urine Analysis In House</v>
      </c>
      <c r="Y117" s="64" t="str">
        <f t="shared" si="11"/>
        <v>MATCH</v>
      </c>
      <c r="Z117" s="66" t="str">
        <f t="shared" si="12"/>
        <v> </v>
      </c>
      <c r="AA117" s="71"/>
    </row>
    <row r="118" ht="15.75" customHeight="1">
      <c r="A118" s="56" t="str">
        <f t="shared" si="1"/>
        <v>1547944628</v>
      </c>
      <c r="B118" s="56" t="str">
        <f>IFS($C118=FALSE,"",$C118,VLOOKUP($C118,'PATIENT DATA (072721)'!A:C, 2, 0))</f>
        <v>MARTINEZ, JARA</v>
      </c>
      <c r="C118" s="57">
        <v>15479.0</v>
      </c>
      <c r="D118" s="127" t="str">
        <f>IF(COUNTIF('PATIENT DATA (072721)'!A:A, C118)=0, "X","✓")</f>
        <v>✓</v>
      </c>
      <c r="E118" s="79">
        <f>IFS($C118=FALSE,"",$C118,VLOOKUP($C118,'PATIENT DATA (072721)'!A:C, 3, 0))</f>
        <v>28397</v>
      </c>
      <c r="F118" s="80">
        <v>44628.0</v>
      </c>
      <c r="G118" s="81">
        <f>ifs($C118="","",$C118, VLOOKUP($C118&amp;$F118, 'MARCH - VISIT DATA'!A:O,3,0))</f>
        <v>0.625</v>
      </c>
      <c r="H118" s="83" t="s">
        <v>6560</v>
      </c>
      <c r="I118" s="122" t="str">
        <f>VLOOKUP($C118&amp;$F118,'MARCH - VISIT DATA'!A:J, 9, FALSE)</f>
        <v>TORRES</v>
      </c>
      <c r="J118" s="85" t="str">
        <f>VLOOKUP(C118&amp;F118,'MARCH - VISIT DATA'!A:O,10,FALSE)</f>
        <v>UNITED HEALTH CARE CHOICEPLUS</v>
      </c>
      <c r="K118" s="86"/>
      <c r="L118" s="86" t="s">
        <v>6559</v>
      </c>
      <c r="M118" s="86"/>
      <c r="N118" s="86"/>
      <c r="O118" s="121" t="str">
        <f t="shared" si="2"/>
        <v>✓</v>
      </c>
      <c r="P118" s="79" t="str">
        <f t="shared" si="3"/>
        <v>#VALUE!</v>
      </c>
      <c r="Q118" s="123" t="str">
        <f t="shared" si="4"/>
        <v>#VALUE!</v>
      </c>
      <c r="R118" s="124" t="str">
        <f t="shared" si="5"/>
        <v>#VALUE!</v>
      </c>
      <c r="S118" s="125" t="str">
        <f t="shared" si="6"/>
        <v>#VALUE!</v>
      </c>
      <c r="T118" s="125" t="str">
        <f t="shared" si="7"/>
        <v>#VALUE!</v>
      </c>
      <c r="U118" s="83">
        <f t="shared" si="8"/>
        <v>0</v>
      </c>
      <c r="V118" s="88" t="str">
        <f>ifs($N118="",VLOOKUP($C118&amp;$F118,'MARCH - VISIT DATA'!$A$2:$J600,7,FALSE), $N118="SWAB","OUTSA-RW",$N118="SWQU","OUTSA-SaQu", AND($L118="X",$M118="X",$N118="QUEST"),"OUT-UAQPre",$N118="QUEST","OUT-UAQ", $N118="Walk in","ColUATele")</f>
        <v>UA</v>
      </c>
      <c r="W118" s="70" t="str">
        <f t="shared" si="9"/>
        <v>UA : Urine Analysis In House</v>
      </c>
      <c r="X118" s="64" t="str">
        <f t="shared" si="10"/>
        <v>UA : Urine Analysis In House</v>
      </c>
      <c r="Y118" s="64" t="str">
        <f t="shared" si="11"/>
        <v>MATCH</v>
      </c>
      <c r="Z118" s="66" t="str">
        <f t="shared" si="12"/>
        <v> </v>
      </c>
      <c r="AA118" s="71"/>
    </row>
    <row r="119" ht="15.75" customHeight="1">
      <c r="A119" s="56" t="str">
        <f t="shared" si="1"/>
        <v>1568944628</v>
      </c>
      <c r="B119" s="56" t="str">
        <f>IFS($C119=FALSE,"",$C119,VLOOKUP($C119,'PATIENT DATA (072721)'!A:C, 2, 0))</f>
        <v>GUZMAN, CINTHIA</v>
      </c>
      <c r="C119" s="57">
        <v>15689.0</v>
      </c>
      <c r="D119" s="127" t="str">
        <f>IF(COUNTIF('PATIENT DATA (072721)'!A:A, C119)=0, "X","✓")</f>
        <v>✓</v>
      </c>
      <c r="E119" s="79">
        <f>IFS($C119=FALSE,"",$C119,VLOOKUP($C119,'PATIENT DATA (072721)'!A:C, 3, 0))</f>
        <v>25981</v>
      </c>
      <c r="F119" s="80">
        <v>44628.0</v>
      </c>
      <c r="G119" s="81">
        <f>ifs($C119="","",$C119, VLOOKUP($C119&amp;$F119, 'MARCH - VISIT DATA'!A:O,3,0))</f>
        <v>0.5520833333</v>
      </c>
      <c r="H119" s="83" t="s">
        <v>6558</v>
      </c>
      <c r="I119" s="122" t="str">
        <f>VLOOKUP($C119&amp;$F119,'MARCH - VISIT DATA'!A:J, 9, FALSE)</f>
        <v>MARTINEZ</v>
      </c>
      <c r="J119" s="85" t="str">
        <f>VLOOKUP(C119&amp;F119,'MARCH - VISIT DATA'!A:O,10,FALSE)</f>
        <v>EL PASO HEALTH PLAN</v>
      </c>
      <c r="K119" s="86"/>
      <c r="L119" s="86" t="s">
        <v>6559</v>
      </c>
      <c r="M119" s="86"/>
      <c r="N119" s="86"/>
      <c r="O119" s="121" t="str">
        <f t="shared" si="2"/>
        <v>✓</v>
      </c>
      <c r="P119" s="79" t="str">
        <f t="shared" si="3"/>
        <v>#VALUE!</v>
      </c>
      <c r="Q119" s="123" t="str">
        <f t="shared" si="4"/>
        <v>#VALUE!</v>
      </c>
      <c r="R119" s="124" t="str">
        <f t="shared" si="5"/>
        <v>#VALUE!</v>
      </c>
      <c r="S119" s="125" t="str">
        <f t="shared" si="6"/>
        <v>#VALUE!</v>
      </c>
      <c r="T119" s="125" t="str">
        <f t="shared" si="7"/>
        <v>#VALUE!</v>
      </c>
      <c r="U119" s="83">
        <f t="shared" si="8"/>
        <v>0</v>
      </c>
      <c r="V119" s="88" t="str">
        <f>ifs($N119="",VLOOKUP($C119&amp;$F119,'MARCH - VISIT DATA'!$A$2:$J600,7,FALSE), $N119="SWAB","OUTSA-RW",$N119="SWQU","OUTSA-SaQu", AND($L119="X",$M119="X",$N119="QUEST"),"OUT-UAQPre",$N119="QUEST","OUT-UAQ", $N119="Walk in","ColUATele")</f>
        <v>UA</v>
      </c>
      <c r="W119" s="70" t="str">
        <f t="shared" si="9"/>
        <v>UA : Urine Analysis In House</v>
      </c>
      <c r="X119" s="64" t="str">
        <f t="shared" si="10"/>
        <v>UA : Urine Analysis In House</v>
      </c>
      <c r="Y119" s="64" t="str">
        <f t="shared" si="11"/>
        <v>MATCH</v>
      </c>
      <c r="Z119" s="66" t="str">
        <f t="shared" si="12"/>
        <v> </v>
      </c>
      <c r="AA119" s="71"/>
    </row>
    <row r="120" ht="15.75" customHeight="1">
      <c r="A120" s="56" t="str">
        <f t="shared" si="1"/>
        <v>1648344628</v>
      </c>
      <c r="B120" s="56" t="str">
        <f>IFS($C120=FALSE,"",$C120,VLOOKUP($C120,'PATIENT DATA (072721)'!A:C, 2, 0))</f>
        <v>BIDDLE, NANCY J</v>
      </c>
      <c r="C120" s="57">
        <v>16483.0</v>
      </c>
      <c r="D120" s="127" t="str">
        <f>IF(COUNTIF('PATIENT DATA (072721)'!A:A, C120)=0, "X","✓")</f>
        <v>✓</v>
      </c>
      <c r="E120" s="79">
        <f>IFS($C120=FALSE,"",$C120,VLOOKUP($C120,'PATIENT DATA (072721)'!A:C, 3, 0))</f>
        <v>25298</v>
      </c>
      <c r="F120" s="80">
        <v>44628.0</v>
      </c>
      <c r="G120" s="81">
        <f>ifs($C120="","",$C120, VLOOKUP($C120&amp;$F120, 'MARCH - VISIT DATA'!A:O,3,0))</f>
        <v>0.6354166667</v>
      </c>
      <c r="H120" s="83" t="s">
        <v>6560</v>
      </c>
      <c r="I120" s="122" t="str">
        <f>VLOOKUP($C120&amp;$F120,'MARCH - VISIT DATA'!A:J, 9, FALSE)</f>
        <v>TORRES</v>
      </c>
      <c r="J120" s="85" t="str">
        <f>VLOOKUP(C120&amp;F120,'MARCH - VISIT DATA'!A:O,10,FALSE)</f>
        <v>TRICARE PRIME</v>
      </c>
      <c r="K120" s="86"/>
      <c r="L120" s="86" t="s">
        <v>6559</v>
      </c>
      <c r="M120" s="86"/>
      <c r="N120" s="86"/>
      <c r="O120" s="121" t="str">
        <f t="shared" si="2"/>
        <v>✓</v>
      </c>
      <c r="P120" s="79" t="str">
        <f t="shared" si="3"/>
        <v>#VALUE!</v>
      </c>
      <c r="Q120" s="123" t="str">
        <f t="shared" si="4"/>
        <v>#VALUE!</v>
      </c>
      <c r="R120" s="124" t="str">
        <f t="shared" si="5"/>
        <v>#VALUE!</v>
      </c>
      <c r="S120" s="125" t="str">
        <f t="shared" si="6"/>
        <v>#VALUE!</v>
      </c>
      <c r="T120" s="125" t="str">
        <f t="shared" si="7"/>
        <v>#VALUE!</v>
      </c>
      <c r="U120" s="83">
        <f t="shared" si="8"/>
        <v>0</v>
      </c>
      <c r="V120" s="88" t="str">
        <f>ifs($N120="",VLOOKUP($C120&amp;$F120,'MARCH - VISIT DATA'!$A$2:$J600,7,FALSE), $N120="SWAB","OUTSA-RW",$N120="SWQU","OUTSA-SaQu", AND($L120="X",$M120="X",$N120="QUEST"),"OUT-UAQPre",$N120="QUEST","OUT-UAQ", $N120="Walk in","ColUATele")</f>
        <v>UA</v>
      </c>
      <c r="W120" s="70" t="str">
        <f t="shared" si="9"/>
        <v>UA : Urine Analysis In House</v>
      </c>
      <c r="X120" s="64" t="str">
        <f t="shared" si="10"/>
        <v>UA : Urine Analysis In House</v>
      </c>
      <c r="Y120" s="64" t="str">
        <f t="shared" si="11"/>
        <v>MATCH</v>
      </c>
      <c r="Z120" s="66" t="str">
        <f t="shared" si="12"/>
        <v> </v>
      </c>
      <c r="AA120" s="71"/>
    </row>
    <row r="121" ht="15.75" hidden="1" customHeight="1">
      <c r="A121" s="56" t="str">
        <f t="shared" si="1"/>
        <v>1650244628</v>
      </c>
      <c r="B121" s="56" t="str">
        <f>IFS($C121=FALSE,"",$C121,VLOOKUP($C121,'PATIENT DATA (072721)'!A:C, 2, 0))</f>
        <v>SOTO, MARIA E</v>
      </c>
      <c r="C121" s="57">
        <v>16502.0</v>
      </c>
      <c r="D121" s="127" t="str">
        <f>IF(COUNTIF('PATIENT DATA (072721)'!A:A, C121)=0, "X","✓")</f>
        <v>✓</v>
      </c>
      <c r="E121" s="79">
        <f>IFS($C121=FALSE,"",$C121,VLOOKUP($C121,'PATIENT DATA (072721)'!A:C, 3, 0))</f>
        <v>28281</v>
      </c>
      <c r="F121" s="80">
        <v>44628.0</v>
      </c>
      <c r="G121" s="81">
        <f>ifs($C121="","",$C121, VLOOKUP($C121&amp;$F121, 'MARCH - VISIT DATA'!A:O,3,0))</f>
        <v>0.3958333333</v>
      </c>
      <c r="H121" s="83" t="s">
        <v>6561</v>
      </c>
      <c r="I121" s="122" t="str">
        <f>VLOOKUP($C121&amp;$F121,'MARCH - VISIT DATA'!A:J, 9, FALSE)</f>
        <v>LOPEZ</v>
      </c>
      <c r="J121" s="85" t="str">
        <f>VLOOKUP(C121&amp;F121,'MARCH - VISIT DATA'!A:O,10,FALSE)</f>
        <v>EL PASO HEALTH PLAN</v>
      </c>
      <c r="K121" s="86"/>
      <c r="L121" s="86" t="s">
        <v>6559</v>
      </c>
      <c r="M121" s="86" t="s">
        <v>6559</v>
      </c>
      <c r="N121" s="86"/>
      <c r="O121" s="121" t="str">
        <f t="shared" si="2"/>
        <v>✓</v>
      </c>
      <c r="P121" s="79" t="str">
        <f t="shared" si="3"/>
        <v>#VALUE!</v>
      </c>
      <c r="Q121" s="123" t="str">
        <f t="shared" si="4"/>
        <v>#VALUE!</v>
      </c>
      <c r="R121" s="124" t="str">
        <f t="shared" si="5"/>
        <v>#VALUE!</v>
      </c>
      <c r="S121" s="125" t="str">
        <f t="shared" si="6"/>
        <v>#VALUE!</v>
      </c>
      <c r="T121" s="125" t="str">
        <f t="shared" si="7"/>
        <v>#VALUE!</v>
      </c>
      <c r="U121" s="83">
        <f t="shared" si="8"/>
        <v>0</v>
      </c>
      <c r="V121" s="88" t="str">
        <f>ifs($N121="",VLOOKUP($C121&amp;$F121,'MARCH - VISIT DATA'!$A$2:$J600,7,FALSE), $N121="SWAB","OUTSA-RW",$N121="SWQU","OUTSA-SaQu", AND($L121="X",$M121="X",$N121="QUEST"),"OUT-UAQPre",$N121="QUEST","OUT-UAQ", $N121="Walk in","ColUATele")</f>
        <v>UA-Prelim</v>
      </c>
      <c r="W121" s="70" t="str">
        <f t="shared" si="9"/>
        <v>UA-Prelim : Preliminary UA Test</v>
      </c>
      <c r="X121" s="64" t="str">
        <f t="shared" si="10"/>
        <v>UA-Prelim : Preliminary UA Test</v>
      </c>
      <c r="Y121" s="64" t="str">
        <f t="shared" si="11"/>
        <v>MATCH</v>
      </c>
      <c r="Z121" s="66" t="str">
        <f t="shared" si="12"/>
        <v> </v>
      </c>
      <c r="AA121" s="71"/>
    </row>
    <row r="122" ht="15.75" customHeight="1">
      <c r="A122" s="56" t="str">
        <f t="shared" si="1"/>
        <v>1707644628</v>
      </c>
      <c r="B122" s="56" t="str">
        <f>IFS($C122=FALSE,"",$C122,VLOOKUP($C122,'PATIENT DATA (072721)'!A:C, 2, 0))</f>
        <v>NYBERG, GARY E</v>
      </c>
      <c r="C122" s="57">
        <v>17076.0</v>
      </c>
      <c r="D122" s="127" t="str">
        <f>IF(COUNTIF('PATIENT DATA (072721)'!A:A, C122)=0, "X","✓")</f>
        <v>✓</v>
      </c>
      <c r="E122" s="79">
        <f>IFS($C122=FALSE,"",$C122,VLOOKUP($C122,'PATIENT DATA (072721)'!A:C, 3, 0))</f>
        <v>25317</v>
      </c>
      <c r="F122" s="80">
        <v>44628.0</v>
      </c>
      <c r="G122" s="81">
        <f>ifs($C122="","",$C122, VLOOKUP($C122&amp;$F122, 'MARCH - VISIT DATA'!A:O,3,0))</f>
        <v>0.5833333333</v>
      </c>
      <c r="H122" s="83" t="s">
        <v>6561</v>
      </c>
      <c r="I122" s="122" t="str">
        <f>VLOOKUP($C122&amp;$F122,'MARCH - VISIT DATA'!A:J, 9, FALSE)</f>
        <v>LOPEZ</v>
      </c>
      <c r="J122" s="85" t="str">
        <f>VLOOKUP(C122&amp;F122,'MARCH - VISIT DATA'!A:O,10,FALSE)</f>
        <v>WPS VA - COMMUNITY CARE</v>
      </c>
      <c r="K122" s="86"/>
      <c r="L122" s="86" t="s">
        <v>6559</v>
      </c>
      <c r="M122" s="86"/>
      <c r="N122" s="86"/>
      <c r="O122" s="121" t="str">
        <f t="shared" si="2"/>
        <v>✓</v>
      </c>
      <c r="P122" s="79" t="str">
        <f t="shared" si="3"/>
        <v>#VALUE!</v>
      </c>
      <c r="Q122" s="123" t="str">
        <f t="shared" si="4"/>
        <v>#VALUE!</v>
      </c>
      <c r="R122" s="124" t="str">
        <f t="shared" si="5"/>
        <v>#VALUE!</v>
      </c>
      <c r="S122" s="125" t="str">
        <f t="shared" si="6"/>
        <v>#VALUE!</v>
      </c>
      <c r="T122" s="125" t="str">
        <f t="shared" si="7"/>
        <v>#VALUE!</v>
      </c>
      <c r="U122" s="83">
        <f t="shared" si="8"/>
        <v>0</v>
      </c>
      <c r="V122" s="88" t="str">
        <f>ifs($N122="",VLOOKUP($C122&amp;$F122,'MARCH - VISIT DATA'!$A$2:$J600,7,FALSE), $N122="SWAB","OUTSA-RW",$N122="SWQU","OUTSA-SaQu", AND($L122="X",$M122="X",$N122="QUEST"),"OUT-UAQPre",$N122="QUEST","OUT-UAQ", $N122="Walk in","ColUATele")</f>
        <v>UA</v>
      </c>
      <c r="W122" s="70" t="str">
        <f t="shared" si="9"/>
        <v>UA : Urine Analysis In House</v>
      </c>
      <c r="X122" s="64" t="str">
        <f t="shared" si="10"/>
        <v>UA : Urine Analysis In House</v>
      </c>
      <c r="Y122" s="64" t="str">
        <f t="shared" si="11"/>
        <v>MATCH</v>
      </c>
      <c r="Z122" s="66" t="str">
        <f t="shared" si="12"/>
        <v> </v>
      </c>
      <c r="AA122" s="71"/>
    </row>
    <row r="123" ht="15.75" customHeight="1">
      <c r="A123" s="56" t="str">
        <f t="shared" si="1"/>
        <v>1747244628</v>
      </c>
      <c r="B123" s="56" t="str">
        <f>IFS($C123=FALSE,"",$C123,VLOOKUP($C123,'PATIENT DATA (072721)'!A:C, 2, 0))</f>
        <v>CEVEDO, JAIME</v>
      </c>
      <c r="C123" s="57">
        <v>17472.0</v>
      </c>
      <c r="D123" s="127" t="str">
        <f>IF(COUNTIF('PATIENT DATA (072721)'!A:A, C123)=0, "X","✓")</f>
        <v>✓</v>
      </c>
      <c r="E123" s="79">
        <f>IFS($C123=FALSE,"",$C123,VLOOKUP($C123,'PATIENT DATA (072721)'!A:C, 3, 0))</f>
        <v>23857</v>
      </c>
      <c r="F123" s="80">
        <v>44628.0</v>
      </c>
      <c r="G123" s="81">
        <f>ifs($C123="","",$C123, VLOOKUP($C123&amp;$F123, 'MARCH - VISIT DATA'!A:O,3,0))</f>
        <v>0.6458333333</v>
      </c>
      <c r="H123" s="83" t="s">
        <v>6560</v>
      </c>
      <c r="I123" s="122" t="str">
        <f>VLOOKUP($C123&amp;$F123,'MARCH - VISIT DATA'!A:J, 9, FALSE)</f>
        <v>TORRES</v>
      </c>
      <c r="J123" s="85" t="str">
        <f>VLOOKUP(C123&amp;F123,'MARCH - VISIT DATA'!A:O,10,FALSE)</f>
        <v>FRIDAY HEALTH PLAN</v>
      </c>
      <c r="K123" s="86"/>
      <c r="L123" s="86" t="s">
        <v>6559</v>
      </c>
      <c r="M123" s="86"/>
      <c r="N123" s="86"/>
      <c r="O123" s="121" t="str">
        <f t="shared" si="2"/>
        <v>✓</v>
      </c>
      <c r="P123" s="79" t="str">
        <f t="shared" si="3"/>
        <v>#VALUE!</v>
      </c>
      <c r="Q123" s="123" t="str">
        <f t="shared" si="4"/>
        <v>#VALUE!</v>
      </c>
      <c r="R123" s="124" t="str">
        <f t="shared" si="5"/>
        <v>#VALUE!</v>
      </c>
      <c r="S123" s="125" t="str">
        <f t="shared" si="6"/>
        <v>#VALUE!</v>
      </c>
      <c r="T123" s="125" t="str">
        <f t="shared" si="7"/>
        <v>#VALUE!</v>
      </c>
      <c r="U123" s="83">
        <f t="shared" si="8"/>
        <v>0</v>
      </c>
      <c r="V123" s="88" t="str">
        <f>ifs($N123="",VLOOKUP($C123&amp;$F123,'MARCH - VISIT DATA'!$A$2:$J600,7,FALSE), $N123="SWAB","OUTSA-RW",$N123="SWQU","OUTSA-SaQu", AND($L123="X",$M123="X",$N123="QUEST"),"OUT-UAQPre",$N123="QUEST","OUT-UAQ", $N123="Walk in","ColUATele")</f>
        <v>UA</v>
      </c>
      <c r="W123" s="70" t="str">
        <f t="shared" si="9"/>
        <v>UA : Urine Analysis In House</v>
      </c>
      <c r="X123" s="64" t="str">
        <f t="shared" si="10"/>
        <v>UA : Urine Analysis In House</v>
      </c>
      <c r="Y123" s="64" t="str">
        <f t="shared" si="11"/>
        <v>MATCH</v>
      </c>
      <c r="Z123" s="66" t="str">
        <f t="shared" si="12"/>
        <v> </v>
      </c>
      <c r="AA123" s="71"/>
    </row>
    <row r="124" ht="15.75" customHeight="1">
      <c r="A124" s="56" t="str">
        <f t="shared" si="1"/>
        <v>1751344628</v>
      </c>
      <c r="B124" s="56" t="str">
        <f>IFS($C124=FALSE,"",$C124,VLOOKUP($C124,'PATIENT DATA (072721)'!A:C, 2, 0))</f>
        <v>ALARCON, MARGARITA S</v>
      </c>
      <c r="C124" s="57">
        <v>17513.0</v>
      </c>
      <c r="D124" s="127" t="str">
        <f>IF(COUNTIF('PATIENT DATA (072721)'!A:A, C124)=0, "X","✓")</f>
        <v>✓</v>
      </c>
      <c r="E124" s="79">
        <f>IFS($C124=FALSE,"",$C124,VLOOKUP($C124,'PATIENT DATA (072721)'!A:C, 3, 0))</f>
        <v>13668</v>
      </c>
      <c r="F124" s="80">
        <v>44628.0</v>
      </c>
      <c r="G124" s="81">
        <f>ifs($C124="","",$C124, VLOOKUP($C124&amp;$F124, 'MARCH - VISIT DATA'!A:O,3,0))</f>
        <v>0.6145833333</v>
      </c>
      <c r="H124" s="83" t="s">
        <v>6561</v>
      </c>
      <c r="I124" s="122" t="str">
        <f>VLOOKUP($C124&amp;$F124,'MARCH - VISIT DATA'!A:J, 9, FALSE)</f>
        <v>LOPEZ</v>
      </c>
      <c r="J124" s="85" t="str">
        <f>VLOOKUP(C124&amp;F124,'MARCH - VISIT DATA'!A:O,10,FALSE)</f>
        <v>MEDICARE TEXAS</v>
      </c>
      <c r="K124" s="86"/>
      <c r="L124" s="86" t="s">
        <v>6559</v>
      </c>
      <c r="M124" s="86"/>
      <c r="N124" s="86"/>
      <c r="O124" s="121" t="str">
        <f t="shared" si="2"/>
        <v>✓</v>
      </c>
      <c r="P124" s="79" t="str">
        <f t="shared" si="3"/>
        <v>#VALUE!</v>
      </c>
      <c r="Q124" s="123" t="str">
        <f t="shared" si="4"/>
        <v>#VALUE!</v>
      </c>
      <c r="R124" s="124" t="str">
        <f t="shared" si="5"/>
        <v>#VALUE!</v>
      </c>
      <c r="S124" s="125" t="str">
        <f t="shared" si="6"/>
        <v>#VALUE!</v>
      </c>
      <c r="T124" s="125" t="str">
        <f t="shared" si="7"/>
        <v>#VALUE!</v>
      </c>
      <c r="U124" s="83">
        <f t="shared" si="8"/>
        <v>0</v>
      </c>
      <c r="V124" s="88" t="str">
        <f>ifs($N124="",VLOOKUP($C124&amp;$F124,'MARCH - VISIT DATA'!$A$2:$J600,7,FALSE), $N124="SWAB","OUTSA-RW",$N124="SWQU","OUTSA-SaQu", AND($L124="X",$M124="X",$N124="QUEST"),"OUT-UAQPre",$N124="QUEST","OUT-UAQ", $N124="Walk in","ColUATele")</f>
        <v>UA</v>
      </c>
      <c r="W124" s="70" t="str">
        <f t="shared" si="9"/>
        <v>UA : Urine Analysis In House</v>
      </c>
      <c r="X124" s="64" t="str">
        <f t="shared" si="10"/>
        <v>UA : Urine Analysis In House</v>
      </c>
      <c r="Y124" s="64" t="str">
        <f t="shared" si="11"/>
        <v>MATCH</v>
      </c>
      <c r="Z124" s="66" t="str">
        <f t="shared" si="12"/>
        <v> </v>
      </c>
      <c r="AA124" s="71"/>
    </row>
    <row r="125" ht="15.75" customHeight="1">
      <c r="A125" s="56" t="str">
        <f t="shared" si="1"/>
        <v>1760644628</v>
      </c>
      <c r="B125" s="56" t="str">
        <f>IFS($C125=FALSE,"",$C125,VLOOKUP($C125,'PATIENT DATA (072721)'!A:C, 2, 0))</f>
        <v>VEGA, DELIA</v>
      </c>
      <c r="C125" s="57">
        <v>17606.0</v>
      </c>
      <c r="D125" s="127" t="str">
        <f>IF(COUNTIF('PATIENT DATA (072721)'!A:A, C125)=0, "X","✓")</f>
        <v>✓</v>
      </c>
      <c r="E125" s="79">
        <f>IFS($C125=FALSE,"",$C125,VLOOKUP($C125,'PATIENT DATA (072721)'!A:C, 3, 0))</f>
        <v>17098</v>
      </c>
      <c r="F125" s="80">
        <v>44628.0</v>
      </c>
      <c r="G125" s="81">
        <f>ifs($C125="","",$C125, VLOOKUP($C125&amp;$F125, 'MARCH - VISIT DATA'!A:O,3,0))</f>
        <v>0.6458333333</v>
      </c>
      <c r="H125" s="83" t="s">
        <v>6560</v>
      </c>
      <c r="I125" s="122" t="str">
        <f>VLOOKUP($C125&amp;$F125,'MARCH - VISIT DATA'!A:J, 9, FALSE)</f>
        <v>TORRES</v>
      </c>
      <c r="J125" s="85" t="str">
        <f>VLOOKUP(C125&amp;F125,'MARCH - VISIT DATA'!A:O,10,FALSE)</f>
        <v>BCBS FEDERAL</v>
      </c>
      <c r="K125" s="86"/>
      <c r="L125" s="86" t="s">
        <v>6559</v>
      </c>
      <c r="M125" s="86"/>
      <c r="N125" s="86"/>
      <c r="O125" s="121" t="str">
        <f t="shared" si="2"/>
        <v>✓</v>
      </c>
      <c r="P125" s="79" t="str">
        <f t="shared" si="3"/>
        <v>#VALUE!</v>
      </c>
      <c r="Q125" s="123" t="str">
        <f t="shared" si="4"/>
        <v>#VALUE!</v>
      </c>
      <c r="R125" s="124" t="str">
        <f t="shared" si="5"/>
        <v>#VALUE!</v>
      </c>
      <c r="S125" s="125" t="str">
        <f t="shared" si="6"/>
        <v>#VALUE!</v>
      </c>
      <c r="T125" s="125" t="str">
        <f t="shared" si="7"/>
        <v>#VALUE!</v>
      </c>
      <c r="U125" s="83">
        <f t="shared" si="8"/>
        <v>0</v>
      </c>
      <c r="V125" s="88" t="str">
        <f>ifs($N125="",VLOOKUP($C125&amp;$F125,'MARCH - VISIT DATA'!$A$2:$J600,7,FALSE), $N125="SWAB","OUTSA-RW",$N125="SWQU","OUTSA-SaQu", AND($L125="X",$M125="X",$N125="QUEST"),"OUT-UAQPre",$N125="QUEST","OUT-UAQ", $N125="Walk in","ColUATele")</f>
        <v>UA</v>
      </c>
      <c r="W125" s="70" t="str">
        <f t="shared" si="9"/>
        <v>UA : Urine Analysis In House</v>
      </c>
      <c r="X125" s="64" t="str">
        <f t="shared" si="10"/>
        <v>UA : Urine Analysis In House</v>
      </c>
      <c r="Y125" s="64" t="str">
        <f t="shared" si="11"/>
        <v>MATCH</v>
      </c>
      <c r="Z125" s="66" t="str">
        <f t="shared" si="12"/>
        <v> </v>
      </c>
      <c r="AA125" s="71"/>
    </row>
    <row r="126" ht="15.75" customHeight="1">
      <c r="A126" s="56" t="str">
        <f t="shared" si="1"/>
        <v>1771444628</v>
      </c>
      <c r="B126" s="56" t="str">
        <f>IFS($C126=FALSE,"",$C126,VLOOKUP($C126,'PATIENT DATA (072721)'!A:C, 2, 0))</f>
        <v>NELSON, AUDREY A</v>
      </c>
      <c r="C126" s="57">
        <v>17714.0</v>
      </c>
      <c r="D126" s="127" t="str">
        <f>IF(COUNTIF('PATIENT DATA (072721)'!A:A, C126)=0, "X","✓")</f>
        <v>✓</v>
      </c>
      <c r="E126" s="79">
        <f>IFS($C126=FALSE,"",$C126,VLOOKUP($C126,'PATIENT DATA (072721)'!A:C, 3, 0))</f>
        <v>27440</v>
      </c>
      <c r="F126" s="80">
        <v>44628.0</v>
      </c>
      <c r="G126" s="81">
        <f>ifs($C126="","",$C126, VLOOKUP($C126&amp;$F126, 'MARCH - VISIT DATA'!A:O,3,0))</f>
        <v>0.46875</v>
      </c>
      <c r="H126" s="83" t="s">
        <v>6561</v>
      </c>
      <c r="I126" s="122" t="str">
        <f>VLOOKUP($C126&amp;$F126,'MARCH - VISIT DATA'!A:J, 9, FALSE)</f>
        <v>LOPEZ</v>
      </c>
      <c r="J126" s="85" t="str">
        <f>VLOOKUP(C126&amp;F126,'MARCH - VISIT DATA'!A:O,10,FALSE)</f>
        <v>TRICARE PRIME</v>
      </c>
      <c r="K126" s="86"/>
      <c r="L126" s="86" t="s">
        <v>6559</v>
      </c>
      <c r="M126" s="86"/>
      <c r="N126" s="86"/>
      <c r="O126" s="121" t="str">
        <f t="shared" si="2"/>
        <v>✓</v>
      </c>
      <c r="P126" s="79" t="str">
        <f t="shared" si="3"/>
        <v>#VALUE!</v>
      </c>
      <c r="Q126" s="123" t="str">
        <f t="shared" si="4"/>
        <v>#VALUE!</v>
      </c>
      <c r="R126" s="124" t="str">
        <f t="shared" si="5"/>
        <v>#VALUE!</v>
      </c>
      <c r="S126" s="125" t="str">
        <f t="shared" si="6"/>
        <v>#VALUE!</v>
      </c>
      <c r="T126" s="125" t="str">
        <f t="shared" si="7"/>
        <v>#VALUE!</v>
      </c>
      <c r="U126" s="83">
        <f t="shared" si="8"/>
        <v>0</v>
      </c>
      <c r="V126" s="88" t="str">
        <f>ifs($N126="",VLOOKUP($C126&amp;$F126,'MARCH - VISIT DATA'!$A$2:$J600,7,FALSE), $N126="SWAB","OUTSA-RW",$N126="SWQU","OUTSA-SaQu", AND($L126="X",$M126="X",$N126="QUEST"),"OUT-UAQPre",$N126="QUEST","OUT-UAQ", $N126="Walk in","ColUATele")</f>
        <v>UA</v>
      </c>
      <c r="W126" s="70" t="str">
        <f t="shared" si="9"/>
        <v>UA : Urine Analysis In House</v>
      </c>
      <c r="X126" s="64" t="str">
        <f t="shared" si="10"/>
        <v>UA : Urine Analysis In House</v>
      </c>
      <c r="Y126" s="64" t="str">
        <f t="shared" si="11"/>
        <v>MATCH</v>
      </c>
      <c r="Z126" s="66" t="str">
        <f t="shared" si="12"/>
        <v> </v>
      </c>
      <c r="AA126" s="71"/>
    </row>
    <row r="127" ht="15.75" customHeight="1">
      <c r="A127" s="56" t="str">
        <f t="shared" si="1"/>
        <v>1776144628</v>
      </c>
      <c r="B127" s="56" t="str">
        <f>IFS($C127=FALSE,"",$C127,VLOOKUP($C127,'PATIENT DATA (072721)'!A:C, 2, 0))</f>
        <v>CALDERON, JUAN</v>
      </c>
      <c r="C127" s="57">
        <v>17761.0</v>
      </c>
      <c r="D127" s="127" t="str">
        <f>IF(COUNTIF('PATIENT DATA (072721)'!A:A, C127)=0, "X","✓")</f>
        <v>✓</v>
      </c>
      <c r="E127" s="79">
        <f>IFS($C127=FALSE,"",$C127,VLOOKUP($C127,'PATIENT DATA (072721)'!A:C, 3, 0))</f>
        <v>16187</v>
      </c>
      <c r="F127" s="80">
        <v>44628.0</v>
      </c>
      <c r="G127" s="81">
        <f>ifs($C127="","",$C127, VLOOKUP($C127&amp;$F127, 'MARCH - VISIT DATA'!A:O,3,0))</f>
        <v>0.3333333333</v>
      </c>
      <c r="H127" s="83" t="s">
        <v>6561</v>
      </c>
      <c r="I127" s="122" t="str">
        <f>VLOOKUP($C127&amp;$F127,'MARCH - VISIT DATA'!A:J, 9, FALSE)</f>
        <v>LOPEZ</v>
      </c>
      <c r="J127" s="85" t="str">
        <f>VLOOKUP(C127&amp;F127,'MARCH - VISIT DATA'!A:O,10,FALSE)</f>
        <v>AETNA MEDICARE ADVANTAGE</v>
      </c>
      <c r="K127" s="86"/>
      <c r="L127" s="86" t="s">
        <v>6559</v>
      </c>
      <c r="M127" s="86"/>
      <c r="N127" s="86"/>
      <c r="O127" s="121" t="str">
        <f t="shared" si="2"/>
        <v>✓</v>
      </c>
      <c r="P127" s="79" t="str">
        <f t="shared" si="3"/>
        <v>#VALUE!</v>
      </c>
      <c r="Q127" s="123" t="str">
        <f t="shared" si="4"/>
        <v>#VALUE!</v>
      </c>
      <c r="R127" s="124" t="str">
        <f t="shared" si="5"/>
        <v>#VALUE!</v>
      </c>
      <c r="S127" s="125" t="str">
        <f t="shared" si="6"/>
        <v>#VALUE!</v>
      </c>
      <c r="T127" s="125" t="str">
        <f t="shared" si="7"/>
        <v>#VALUE!</v>
      </c>
      <c r="U127" s="83">
        <f t="shared" si="8"/>
        <v>0</v>
      </c>
      <c r="V127" s="88" t="str">
        <f>ifs($N127="",VLOOKUP($C127&amp;$F127,'MARCH - VISIT DATA'!$A$2:$J600,7,FALSE), $N127="SWAB","OUTSA-RW",$N127="SWQU","OUTSA-SaQu", AND($L127="X",$M127="X",$N127="QUEST"),"OUT-UAQPre",$N127="QUEST","OUT-UAQ", $N127="Walk in","ColUATele")</f>
        <v>UA</v>
      </c>
      <c r="W127" s="70" t="str">
        <f t="shared" si="9"/>
        <v>UA : Urine Analysis In House</v>
      </c>
      <c r="X127" s="64" t="str">
        <f t="shared" si="10"/>
        <v>UA : Urine Analysis In House</v>
      </c>
      <c r="Y127" s="64" t="str">
        <f t="shared" si="11"/>
        <v>MATCH</v>
      </c>
      <c r="Z127" s="66" t="str">
        <f t="shared" si="12"/>
        <v> </v>
      </c>
      <c r="AA127" s="71"/>
    </row>
    <row r="128" ht="15.75" hidden="1" customHeight="1">
      <c r="A128" s="56" t="str">
        <f t="shared" si="1"/>
        <v>924544630</v>
      </c>
      <c r="B128" s="56" t="str">
        <f>IFS($C128=FALSE,"",$C128,VLOOKUP($C128,'PATIENT DATA (072721)'!A:C, 2, 0))</f>
        <v>GONZALEZ, EVANGELINA</v>
      </c>
      <c r="C128" s="57">
        <v>9245.0</v>
      </c>
      <c r="D128" s="127" t="str">
        <f>IF(COUNTIF('PATIENT DATA (072721)'!A:A, C128)=0, "X","✓")</f>
        <v>✓</v>
      </c>
      <c r="E128" s="79">
        <f>IFS($C128=FALSE,"",$C128,VLOOKUP($C128,'PATIENT DATA (072721)'!A:C, 3, 0))</f>
        <v>16580</v>
      </c>
      <c r="F128" s="80">
        <v>44630.0</v>
      </c>
      <c r="G128" s="81">
        <f>ifs($C128="","",$C128, VLOOKUP($C128&amp;$F128, 'MARCH - VISIT DATA'!A:O,3,0))</f>
        <v>0.3333333333</v>
      </c>
      <c r="H128" s="83" t="s">
        <v>6560</v>
      </c>
      <c r="I128" s="122" t="str">
        <f>VLOOKUP($C128&amp;$F128,'MARCH - VISIT DATA'!A:J, 9, FALSE)</f>
        <v>TORRES</v>
      </c>
      <c r="J128" s="85" t="str">
        <f>VLOOKUP(C128&amp;F128,'MARCH - VISIT DATA'!A:O,10,FALSE)</f>
        <v>HUMANA GOLD PLUS HMO</v>
      </c>
      <c r="K128" s="86"/>
      <c r="L128" s="86" t="s">
        <v>6559</v>
      </c>
      <c r="M128" s="86" t="s">
        <v>6559</v>
      </c>
      <c r="N128" s="86"/>
      <c r="O128" s="121" t="str">
        <f t="shared" si="2"/>
        <v>✓</v>
      </c>
      <c r="P128" s="79" t="str">
        <f t="shared" si="3"/>
        <v>#VALUE!</v>
      </c>
      <c r="Q128" s="123" t="str">
        <f t="shared" si="4"/>
        <v>#VALUE!</v>
      </c>
      <c r="R128" s="124" t="str">
        <f t="shared" si="5"/>
        <v>#VALUE!</v>
      </c>
      <c r="S128" s="125" t="str">
        <f t="shared" si="6"/>
        <v>#VALUE!</v>
      </c>
      <c r="T128" s="125" t="str">
        <f t="shared" si="7"/>
        <v>#VALUE!</v>
      </c>
      <c r="U128" s="83">
        <f t="shared" si="8"/>
        <v>0</v>
      </c>
      <c r="V128" s="88" t="str">
        <f>ifs($N128="",VLOOKUP($C128&amp;$F128,'MARCH - VISIT DATA'!$A$2:$J600,7,FALSE), $N128="SWAB","OUTSA-RW",$N128="SWQU","OUTSA-SaQu", AND($L128="X",$M128="X",$N128="QUEST"),"OUT-UAQPre",$N128="QUEST","OUT-UAQ", $N128="Walk in","ColUATele")</f>
        <v>UA-Prelim</v>
      </c>
      <c r="W128" s="70" t="str">
        <f t="shared" si="9"/>
        <v>UA-Prelim : Preliminary UA Test</v>
      </c>
      <c r="X128" s="64" t="str">
        <f t="shared" si="10"/>
        <v>UA-Prelim : Preliminary UA Test</v>
      </c>
      <c r="Y128" s="64" t="str">
        <f t="shared" si="11"/>
        <v>MATCH</v>
      </c>
      <c r="Z128" s="66" t="str">
        <f t="shared" si="12"/>
        <v> </v>
      </c>
      <c r="AA128" s="71"/>
    </row>
    <row r="129" ht="15.75" customHeight="1">
      <c r="A129" s="56" t="str">
        <f t="shared" si="1"/>
        <v>981044630</v>
      </c>
      <c r="B129" s="56" t="str">
        <f>IFS($C129=FALSE,"",$C129,VLOOKUP($C129,'PATIENT DATA (072721)'!A:C, 2, 0))</f>
        <v>SILVA, GRACIELA</v>
      </c>
      <c r="C129" s="57">
        <v>9810.0</v>
      </c>
      <c r="D129" s="127" t="str">
        <f>IF(COUNTIF('PATIENT DATA (072721)'!A:A, C129)=0, "X","✓")</f>
        <v>✓</v>
      </c>
      <c r="E129" s="79">
        <f>IFS($C129=FALSE,"",$C129,VLOOKUP($C129,'PATIENT DATA (072721)'!A:C, 3, 0))</f>
        <v>20018</v>
      </c>
      <c r="F129" s="80">
        <v>44630.0</v>
      </c>
      <c r="G129" s="81">
        <f>ifs($C129="","",$C129, VLOOKUP($C129&amp;$F129, 'MARCH - VISIT DATA'!A:O,3,0))</f>
        <v>0.4479166667</v>
      </c>
      <c r="H129" s="83" t="s">
        <v>6562</v>
      </c>
      <c r="I129" s="122" t="str">
        <f>VLOOKUP($C129&amp;$F129,'MARCH - VISIT DATA'!A:J, 9, FALSE)</f>
        <v>THOMAS</v>
      </c>
      <c r="J129" s="85" t="str">
        <f>VLOOKUP(C129&amp;F129,'MARCH - VISIT DATA'!A:O,10,FALSE)</f>
        <v>MEDICARE TEXAS</v>
      </c>
      <c r="K129" s="86"/>
      <c r="L129" s="86" t="s">
        <v>6559</v>
      </c>
      <c r="M129" s="86"/>
      <c r="N129" s="86"/>
      <c r="O129" s="121" t="str">
        <f t="shared" si="2"/>
        <v>✓</v>
      </c>
      <c r="P129" s="79" t="str">
        <f t="shared" si="3"/>
        <v>#VALUE!</v>
      </c>
      <c r="Q129" s="123" t="str">
        <f t="shared" si="4"/>
        <v>#VALUE!</v>
      </c>
      <c r="R129" s="124" t="str">
        <f t="shared" si="5"/>
        <v>#VALUE!</v>
      </c>
      <c r="S129" s="125" t="str">
        <f t="shared" si="6"/>
        <v>#VALUE!</v>
      </c>
      <c r="T129" s="125" t="str">
        <f t="shared" si="7"/>
        <v>#VALUE!</v>
      </c>
      <c r="U129" s="83">
        <f t="shared" si="8"/>
        <v>0</v>
      </c>
      <c r="V129" s="88" t="str">
        <f>ifs($N129="",VLOOKUP($C129&amp;$F129,'MARCH - VISIT DATA'!$A$2:$J600,7,FALSE), $N129="SWAB","OUTSA-RW",$N129="SWQU","OUTSA-SaQu", AND($L129="X",$M129="X",$N129="QUEST"),"OUT-UAQPre",$N129="QUEST","OUT-UAQ", $N129="Walk in","ColUATele")</f>
        <v>UA</v>
      </c>
      <c r="W129" s="70" t="str">
        <f t="shared" si="9"/>
        <v>UA : Urine Analysis In House</v>
      </c>
      <c r="X129" s="64" t="str">
        <f t="shared" si="10"/>
        <v>UA : Urine Analysis In House</v>
      </c>
      <c r="Y129" s="64" t="str">
        <f t="shared" si="11"/>
        <v>MATCH</v>
      </c>
      <c r="Z129" s="66" t="str">
        <f t="shared" si="12"/>
        <v> </v>
      </c>
      <c r="AA129" s="71"/>
    </row>
    <row r="130" ht="15.75" customHeight="1">
      <c r="A130" s="56" t="str">
        <f t="shared" si="1"/>
        <v>999844630</v>
      </c>
      <c r="B130" s="56" t="str">
        <f>IFS($C130=FALSE,"",$C130,VLOOKUP($C130,'PATIENT DATA (072721)'!A:C, 2, 0))</f>
        <v>SANCHEZ, DAVINA</v>
      </c>
      <c r="C130" s="57">
        <v>9998.0</v>
      </c>
      <c r="D130" s="127" t="str">
        <f>IF(COUNTIF('PATIENT DATA (072721)'!A:A, C130)=0, "X","✓")</f>
        <v>✓</v>
      </c>
      <c r="E130" s="79">
        <f>IFS($C130=FALSE,"",$C130,VLOOKUP($C130,'PATIENT DATA (072721)'!A:C, 3, 0))</f>
        <v>33532</v>
      </c>
      <c r="F130" s="80">
        <v>44630.0</v>
      </c>
      <c r="G130" s="81">
        <f>ifs($C130="","",$C130, VLOOKUP($C130&amp;$F130, 'MARCH - VISIT DATA'!A:O,3,0))</f>
        <v>0.6041666667</v>
      </c>
      <c r="H130" s="83" t="s">
        <v>6562</v>
      </c>
      <c r="I130" s="122" t="str">
        <f>VLOOKUP($C130&amp;$F130,'MARCH - VISIT DATA'!A:J, 9, FALSE)</f>
        <v>THOMAS</v>
      </c>
      <c r="J130" s="85" t="str">
        <f>VLOOKUP(C130&amp;F130,'MARCH - VISIT DATA'!A:O,10,FALSE)</f>
        <v>BCBSTX PPO</v>
      </c>
      <c r="K130" s="86"/>
      <c r="L130" s="86" t="s">
        <v>6559</v>
      </c>
      <c r="M130" s="86"/>
      <c r="N130" s="86"/>
      <c r="O130" s="121" t="str">
        <f t="shared" si="2"/>
        <v>✓</v>
      </c>
      <c r="P130" s="79" t="str">
        <f t="shared" si="3"/>
        <v>#VALUE!</v>
      </c>
      <c r="Q130" s="123" t="str">
        <f t="shared" si="4"/>
        <v>#VALUE!</v>
      </c>
      <c r="R130" s="124" t="str">
        <f t="shared" si="5"/>
        <v>#VALUE!</v>
      </c>
      <c r="S130" s="125" t="str">
        <f t="shared" si="6"/>
        <v>#VALUE!</v>
      </c>
      <c r="T130" s="125" t="str">
        <f t="shared" si="7"/>
        <v>#VALUE!</v>
      </c>
      <c r="U130" s="83">
        <f t="shared" si="8"/>
        <v>0</v>
      </c>
      <c r="V130" s="88" t="str">
        <f>ifs($N130="",VLOOKUP($C130&amp;$F130,'MARCH - VISIT DATA'!$A$2:$J600,7,FALSE), $N130="SWAB","OUTSA-RW",$N130="SWQU","OUTSA-SaQu", AND($L130="X",$M130="X",$N130="QUEST"),"OUT-UAQPre",$N130="QUEST","OUT-UAQ", $N130="Walk in","ColUATele")</f>
        <v>UA</v>
      </c>
      <c r="W130" s="70" t="str">
        <f t="shared" si="9"/>
        <v>UA : Urine Analysis In House</v>
      </c>
      <c r="X130" s="64" t="str">
        <f t="shared" si="10"/>
        <v>UA : Urine Analysis In House</v>
      </c>
      <c r="Y130" s="64" t="str">
        <f t="shared" si="11"/>
        <v>MATCH</v>
      </c>
      <c r="Z130" s="66" t="str">
        <f t="shared" si="12"/>
        <v> </v>
      </c>
      <c r="AA130" s="71"/>
    </row>
    <row r="131" ht="15.75" customHeight="1">
      <c r="A131" s="56" t="str">
        <f t="shared" si="1"/>
        <v>1010044630</v>
      </c>
      <c r="B131" s="56" t="str">
        <f>IFS($C131=FALSE,"",$C131,VLOOKUP($C131,'PATIENT DATA (072721)'!A:C, 2, 0))</f>
        <v>HUBACKER, LUANA</v>
      </c>
      <c r="C131" s="57">
        <v>10100.0</v>
      </c>
      <c r="D131" s="127" t="str">
        <f>IF(COUNTIF('PATIENT DATA (072721)'!A:A, C131)=0, "X","✓")</f>
        <v>✓</v>
      </c>
      <c r="E131" s="79">
        <f>IFS($C131=FALSE,"",$C131,VLOOKUP($C131,'PATIENT DATA (072721)'!A:C, 3, 0))</f>
        <v>21315</v>
      </c>
      <c r="F131" s="80">
        <v>44630.0</v>
      </c>
      <c r="G131" s="81">
        <f>ifs($C131="","",$C131, VLOOKUP($C131&amp;$F131, 'MARCH - VISIT DATA'!A:O,3,0))</f>
        <v>0.5416666667</v>
      </c>
      <c r="H131" s="83" t="s">
        <v>6560</v>
      </c>
      <c r="I131" s="122" t="str">
        <f>VLOOKUP($C131&amp;$F131,'MARCH - VISIT DATA'!A:J, 9, FALSE)</f>
        <v>TORRES</v>
      </c>
      <c r="J131" s="85" t="str">
        <f>VLOOKUP(C131&amp;F131,'MARCH - VISIT DATA'!A:O,10,FALSE)</f>
        <v>UHC MEDICARE COMPLETE</v>
      </c>
      <c r="K131" s="86"/>
      <c r="L131" s="86" t="s">
        <v>6559</v>
      </c>
      <c r="M131" s="86"/>
      <c r="N131" s="86"/>
      <c r="O131" s="121" t="str">
        <f t="shared" si="2"/>
        <v>✓</v>
      </c>
      <c r="P131" s="79" t="str">
        <f t="shared" si="3"/>
        <v>#VALUE!</v>
      </c>
      <c r="Q131" s="123" t="str">
        <f t="shared" si="4"/>
        <v>#VALUE!</v>
      </c>
      <c r="R131" s="124" t="str">
        <f t="shared" si="5"/>
        <v>#VALUE!</v>
      </c>
      <c r="S131" s="125" t="str">
        <f t="shared" si="6"/>
        <v>#VALUE!</v>
      </c>
      <c r="T131" s="125" t="str">
        <f t="shared" si="7"/>
        <v>#VALUE!</v>
      </c>
      <c r="U131" s="83">
        <f t="shared" si="8"/>
        <v>0</v>
      </c>
      <c r="V131" s="88" t="str">
        <f>ifs($N131="",VLOOKUP($C131&amp;$F131,'MARCH - VISIT DATA'!$A$2:$J600,7,FALSE), $N131="SWAB","OUTSA-RW",$N131="SWQU","OUTSA-SaQu", AND($L131="X",$M131="X",$N131="QUEST"),"OUT-UAQPre",$N131="QUEST","OUT-UAQ", $N131="Walk in","ColUATele")</f>
        <v>UA</v>
      </c>
      <c r="W131" s="70" t="str">
        <f t="shared" si="9"/>
        <v>UA : Urine Analysis In House</v>
      </c>
      <c r="X131" s="64" t="str">
        <f t="shared" si="10"/>
        <v>UA : Urine Analysis In House</v>
      </c>
      <c r="Y131" s="64" t="str">
        <f t="shared" si="11"/>
        <v>MATCH</v>
      </c>
      <c r="Z131" s="66" t="str">
        <f t="shared" si="12"/>
        <v> </v>
      </c>
      <c r="AA131" s="71"/>
    </row>
    <row r="132" ht="15.75" customHeight="1">
      <c r="A132" s="56" t="str">
        <f t="shared" si="1"/>
        <v>1115244630</v>
      </c>
      <c r="B132" s="56" t="str">
        <f>IFS($C132=FALSE,"",$C132,VLOOKUP($C132,'PATIENT DATA (072721)'!A:C, 2, 0))</f>
        <v>GARCIA, RAQUEL</v>
      </c>
      <c r="C132" s="57">
        <v>11152.0</v>
      </c>
      <c r="D132" s="127" t="str">
        <f>IF(COUNTIF('PATIENT DATA (072721)'!A:A, C132)=0, "X","✓")</f>
        <v>✓</v>
      </c>
      <c r="E132" s="79">
        <f>IFS($C132=FALSE,"",$C132,VLOOKUP($C132,'PATIENT DATA (072721)'!A:C, 3, 0))</f>
        <v>29447</v>
      </c>
      <c r="F132" s="80">
        <v>44630.0</v>
      </c>
      <c r="G132" s="81">
        <f>ifs($C132="","",$C132, VLOOKUP($C132&amp;$F132, 'MARCH - VISIT DATA'!A:O,3,0))</f>
        <v>0.3645833333</v>
      </c>
      <c r="H132" s="83" t="s">
        <v>6560</v>
      </c>
      <c r="I132" s="122" t="str">
        <f>VLOOKUP($C132&amp;$F132,'MARCH - VISIT DATA'!A:J, 9, FALSE)</f>
        <v>TORRES</v>
      </c>
      <c r="J132" s="85" t="str">
        <f>VLOOKUP(C132&amp;F132,'MARCH - VISIT DATA'!A:O,10,FALSE)</f>
        <v>EL PASO HEALTH PLAN</v>
      </c>
      <c r="K132" s="86"/>
      <c r="L132" s="86" t="s">
        <v>6559</v>
      </c>
      <c r="M132" s="86"/>
      <c r="N132" s="86"/>
      <c r="O132" s="121" t="str">
        <f t="shared" si="2"/>
        <v>✓</v>
      </c>
      <c r="P132" s="79" t="str">
        <f t="shared" si="3"/>
        <v>#VALUE!</v>
      </c>
      <c r="Q132" s="123" t="str">
        <f t="shared" si="4"/>
        <v>#VALUE!</v>
      </c>
      <c r="R132" s="124" t="str">
        <f t="shared" si="5"/>
        <v>#VALUE!</v>
      </c>
      <c r="S132" s="125" t="str">
        <f t="shared" si="6"/>
        <v>#VALUE!</v>
      </c>
      <c r="T132" s="125" t="str">
        <f t="shared" si="7"/>
        <v>#VALUE!</v>
      </c>
      <c r="U132" s="83">
        <f t="shared" si="8"/>
        <v>0</v>
      </c>
      <c r="V132" s="88" t="str">
        <f>ifs($N132="",VLOOKUP($C132&amp;$F132,'MARCH - VISIT DATA'!$A$2:$J600,7,FALSE), $N132="SWAB","OUTSA-RW",$N132="SWQU","OUTSA-SaQu", AND($L132="X",$M132="X",$N132="QUEST"),"OUT-UAQPre",$N132="QUEST","OUT-UAQ", $N132="Walk in","ColUATele")</f>
        <v>UA</v>
      </c>
      <c r="W132" s="70" t="str">
        <f t="shared" si="9"/>
        <v>UA : Urine Analysis In House</v>
      </c>
      <c r="X132" s="64" t="str">
        <f t="shared" si="10"/>
        <v>UA : Urine Analysis In House</v>
      </c>
      <c r="Y132" s="64" t="str">
        <f t="shared" si="11"/>
        <v>MATCH</v>
      </c>
      <c r="Z132" s="66" t="str">
        <f t="shared" si="12"/>
        <v> </v>
      </c>
      <c r="AA132" s="71"/>
    </row>
    <row r="133" ht="15.75" customHeight="1">
      <c r="A133" s="56" t="str">
        <f t="shared" si="1"/>
        <v>1117444630</v>
      </c>
      <c r="B133" s="56" t="str">
        <f>IFS($C133=FALSE,"",$C133,VLOOKUP($C133,'PATIENT DATA (072721)'!A:C, 2, 0))</f>
        <v>BROWN, DEBORAH K</v>
      </c>
      <c r="C133" s="57">
        <v>11174.0</v>
      </c>
      <c r="D133" s="127" t="str">
        <f>IF(COUNTIF('PATIENT DATA (072721)'!A:A, C133)=0, "X","✓")</f>
        <v>✓</v>
      </c>
      <c r="E133" s="79">
        <f>IFS($C133=FALSE,"",$C133,VLOOKUP($C133,'PATIENT DATA (072721)'!A:C, 3, 0))</f>
        <v>20173</v>
      </c>
      <c r="F133" s="80">
        <v>44630.0</v>
      </c>
      <c r="G133" s="81">
        <f>ifs($C133="","",$C133, VLOOKUP($C133&amp;$F133, 'MARCH - VISIT DATA'!A:O,3,0))</f>
        <v>0.5416666667</v>
      </c>
      <c r="H133" s="83" t="s">
        <v>6558</v>
      </c>
      <c r="I133" s="122" t="str">
        <f>VLOOKUP($C133&amp;$F133,'MARCH - VISIT DATA'!A:J, 9, FALSE)</f>
        <v>MARTINEZ</v>
      </c>
      <c r="J133" s="85" t="str">
        <f>VLOOKUP(C133&amp;F133,'MARCH - VISIT DATA'!A:O,10,FALSE)</f>
        <v>HUMANA MEDICARE PPO</v>
      </c>
      <c r="K133" s="86"/>
      <c r="L133" s="86" t="s">
        <v>6559</v>
      </c>
      <c r="M133" s="86"/>
      <c r="N133" s="86"/>
      <c r="O133" s="121" t="str">
        <f t="shared" si="2"/>
        <v>✓</v>
      </c>
      <c r="P133" s="79" t="str">
        <f t="shared" si="3"/>
        <v>#VALUE!</v>
      </c>
      <c r="Q133" s="123" t="str">
        <f t="shared" si="4"/>
        <v>#VALUE!</v>
      </c>
      <c r="R133" s="124" t="str">
        <f t="shared" si="5"/>
        <v>#VALUE!</v>
      </c>
      <c r="S133" s="125" t="str">
        <f t="shared" si="6"/>
        <v>#VALUE!</v>
      </c>
      <c r="T133" s="125" t="str">
        <f t="shared" si="7"/>
        <v>#VALUE!</v>
      </c>
      <c r="U133" s="83">
        <f t="shared" si="8"/>
        <v>0</v>
      </c>
      <c r="V133" s="88" t="str">
        <f>ifs($N133="",VLOOKUP($C133&amp;$F133,'MARCH - VISIT DATA'!$A$2:$J600,7,FALSE), $N133="SWAB","OUTSA-RW",$N133="SWQU","OUTSA-SaQu", AND($L133="X",$M133="X",$N133="QUEST"),"OUT-UAQPre",$N133="QUEST","OUT-UAQ", $N133="Walk in","ColUATele")</f>
        <v>UA</v>
      </c>
      <c r="W133" s="70" t="str">
        <f t="shared" si="9"/>
        <v>UA : Urine Analysis In House</v>
      </c>
      <c r="X133" s="64" t="str">
        <f t="shared" si="10"/>
        <v>UA : Urine Analysis In House</v>
      </c>
      <c r="Y133" s="64" t="str">
        <f t="shared" si="11"/>
        <v>MATCH</v>
      </c>
      <c r="Z133" s="66" t="str">
        <f t="shared" si="12"/>
        <v> </v>
      </c>
      <c r="AA133" s="71"/>
    </row>
    <row r="134" ht="15.75" hidden="1" customHeight="1">
      <c r="A134" s="56" t="str">
        <f t="shared" si="1"/>
        <v>1179244630</v>
      </c>
      <c r="B134" s="56" t="str">
        <f>IFS($C134=FALSE,"",$C134,VLOOKUP($C134,'PATIENT DATA (072721)'!A:C, 2, 0))</f>
        <v>ORTEGA, ESPERANZA</v>
      </c>
      <c r="C134" s="57">
        <v>11792.0</v>
      </c>
      <c r="D134" s="127" t="str">
        <f>IF(COUNTIF('PATIENT DATA (072721)'!A:A, C134)=0, "X","✓")</f>
        <v>✓</v>
      </c>
      <c r="E134" s="79">
        <f>IFS($C134=FALSE,"",$C134,VLOOKUP($C134,'PATIENT DATA (072721)'!A:C, 3, 0))</f>
        <v>20872</v>
      </c>
      <c r="F134" s="80">
        <v>44630.0</v>
      </c>
      <c r="G134" s="81">
        <f>ifs($C134="","",$C134, VLOOKUP($C134&amp;$F134, 'MARCH - VISIT DATA'!A:O,3,0))</f>
        <v>0.3541666667</v>
      </c>
      <c r="H134" s="83" t="s">
        <v>6560</v>
      </c>
      <c r="I134" s="122" t="str">
        <f>VLOOKUP($C134&amp;$F134,'MARCH - VISIT DATA'!A:J, 9, FALSE)</f>
        <v>TORRES</v>
      </c>
      <c r="J134" s="85" t="str">
        <f>VLOOKUP(C134&amp;F134,'MARCH - VISIT DATA'!A:O,10,FALSE)</f>
        <v>MEDICARE TEXAS</v>
      </c>
      <c r="K134" s="86"/>
      <c r="L134" s="86" t="s">
        <v>6559</v>
      </c>
      <c r="M134" s="86" t="s">
        <v>6559</v>
      </c>
      <c r="N134" s="86"/>
      <c r="O134" s="121" t="str">
        <f t="shared" si="2"/>
        <v>✓</v>
      </c>
      <c r="P134" s="79" t="str">
        <f t="shared" si="3"/>
        <v>#VALUE!</v>
      </c>
      <c r="Q134" s="123" t="str">
        <f t="shared" si="4"/>
        <v>#VALUE!</v>
      </c>
      <c r="R134" s="124" t="str">
        <f t="shared" si="5"/>
        <v>#VALUE!</v>
      </c>
      <c r="S134" s="125" t="str">
        <f t="shared" si="6"/>
        <v>#VALUE!</v>
      </c>
      <c r="T134" s="125" t="str">
        <f t="shared" si="7"/>
        <v>#VALUE!</v>
      </c>
      <c r="U134" s="83">
        <f t="shared" si="8"/>
        <v>0</v>
      </c>
      <c r="V134" s="88" t="str">
        <f>ifs($N134="",VLOOKUP($C134&amp;$F134,'MARCH - VISIT DATA'!$A$2:$J600,7,FALSE), $N134="SWAB","OUTSA-RW",$N134="SWQU","OUTSA-SaQu", AND($L134="X",$M134="X",$N134="QUEST"),"OUT-UAQPre",$N134="QUEST","OUT-UAQ", $N134="Walk in","ColUATele")</f>
        <v>UA-Prelim</v>
      </c>
      <c r="W134" s="70" t="str">
        <f t="shared" si="9"/>
        <v>UA-Prelim : Preliminary UA Test</v>
      </c>
      <c r="X134" s="64" t="str">
        <f t="shared" si="10"/>
        <v>UA-Prelim : Preliminary UA Test</v>
      </c>
      <c r="Y134" s="64" t="str">
        <f t="shared" si="11"/>
        <v>MATCH</v>
      </c>
      <c r="Z134" s="66" t="str">
        <f t="shared" si="12"/>
        <v> </v>
      </c>
      <c r="AA134" s="71"/>
    </row>
    <row r="135" ht="15.75" customHeight="1">
      <c r="A135" s="56" t="str">
        <f t="shared" si="1"/>
        <v>1257244630</v>
      </c>
      <c r="B135" s="56" t="str">
        <f>IFS($C135=FALSE,"",$C135,VLOOKUP($C135,'PATIENT DATA (072721)'!A:C, 2, 0))</f>
        <v>KRUG, BARBARA</v>
      </c>
      <c r="C135" s="57">
        <v>12572.0</v>
      </c>
      <c r="D135" s="127" t="str">
        <f>IF(COUNTIF('PATIENT DATA (072721)'!A:A, C135)=0, "X","✓")</f>
        <v>✓</v>
      </c>
      <c r="E135" s="79">
        <f>IFS($C135=FALSE,"",$C135,VLOOKUP($C135,'PATIENT DATA (072721)'!A:C, 3, 0))</f>
        <v>18267</v>
      </c>
      <c r="F135" s="80">
        <v>44630.0</v>
      </c>
      <c r="G135" s="81">
        <f>ifs($C135="","",$C135, VLOOKUP($C135&amp;$F135, 'MARCH - VISIT DATA'!A:O,3,0))</f>
        <v>0.5833333333</v>
      </c>
      <c r="H135" s="83" t="s">
        <v>6560</v>
      </c>
      <c r="I135" s="122" t="str">
        <f>VLOOKUP($C135&amp;$F135,'MARCH - VISIT DATA'!A:J, 9, FALSE)</f>
        <v>TORRES</v>
      </c>
      <c r="J135" s="85" t="str">
        <f>VLOOKUP(C135&amp;F135,'MARCH - VISIT DATA'!A:O,10,FALSE)</f>
        <v>MEDICARE TEXAS</v>
      </c>
      <c r="K135" s="86"/>
      <c r="L135" s="86" t="s">
        <v>6559</v>
      </c>
      <c r="M135" s="86"/>
      <c r="N135" s="86"/>
      <c r="O135" s="121" t="str">
        <f t="shared" si="2"/>
        <v>✓</v>
      </c>
      <c r="P135" s="79" t="str">
        <f t="shared" si="3"/>
        <v>#VALUE!</v>
      </c>
      <c r="Q135" s="123" t="str">
        <f t="shared" si="4"/>
        <v>#VALUE!</v>
      </c>
      <c r="R135" s="124" t="str">
        <f t="shared" si="5"/>
        <v>#VALUE!</v>
      </c>
      <c r="S135" s="125" t="str">
        <f t="shared" si="6"/>
        <v>#VALUE!</v>
      </c>
      <c r="T135" s="125" t="str">
        <f t="shared" si="7"/>
        <v>#VALUE!</v>
      </c>
      <c r="U135" s="83">
        <f t="shared" si="8"/>
        <v>0</v>
      </c>
      <c r="V135" s="88" t="str">
        <f>ifs($N135="",VLOOKUP($C135&amp;$F135,'MARCH - VISIT DATA'!$A$2:$J600,7,FALSE), $N135="SWAB","OUTSA-RW",$N135="SWQU","OUTSA-SaQu", AND($L135="X",$M135="X",$N135="QUEST"),"OUT-UAQPre",$N135="QUEST","OUT-UAQ", $N135="Walk in","ColUATele")</f>
        <v>UA</v>
      </c>
      <c r="W135" s="70" t="str">
        <f t="shared" si="9"/>
        <v>UA : Urine Analysis In House</v>
      </c>
      <c r="X135" s="64" t="str">
        <f t="shared" si="10"/>
        <v>UA : Urine Analysis In House</v>
      </c>
      <c r="Y135" s="64" t="str">
        <f t="shared" si="11"/>
        <v>MATCH</v>
      </c>
      <c r="Z135" s="66" t="str">
        <f t="shared" si="12"/>
        <v> </v>
      </c>
      <c r="AA135" s="71"/>
    </row>
    <row r="136" ht="15.75" customHeight="1">
      <c r="A136" s="56" t="str">
        <f t="shared" si="1"/>
        <v>1351244630</v>
      </c>
      <c r="B136" s="56" t="str">
        <f>IFS($C136=FALSE,"",$C136,VLOOKUP($C136,'PATIENT DATA (072721)'!A:C, 2, 0))</f>
        <v>CORTEZ, LUIS</v>
      </c>
      <c r="C136" s="57">
        <v>13512.0</v>
      </c>
      <c r="D136" s="127" t="str">
        <f>IF(COUNTIF('PATIENT DATA (072721)'!A:A, C136)=0, "X","✓")</f>
        <v>✓</v>
      </c>
      <c r="E136" s="79">
        <f>IFS($C136=FALSE,"",$C136,VLOOKUP($C136,'PATIENT DATA (072721)'!A:C, 3, 0))</f>
        <v>14802</v>
      </c>
      <c r="F136" s="80">
        <v>44630.0</v>
      </c>
      <c r="G136" s="81">
        <f>ifs($C136="","",$C136, VLOOKUP($C136&amp;$F136, 'MARCH - VISIT DATA'!A:O,3,0))</f>
        <v>0.6145833333</v>
      </c>
      <c r="H136" s="83" t="s">
        <v>6562</v>
      </c>
      <c r="I136" s="122" t="str">
        <f>VLOOKUP($C136&amp;$F136,'MARCH - VISIT DATA'!A:J, 9, FALSE)</f>
        <v>THOMAS</v>
      </c>
      <c r="J136" s="85" t="str">
        <f>VLOOKUP(C136&amp;F136,'MARCH - VISIT DATA'!A:O,10,FALSE)</f>
        <v>MEDICARE TEXAS</v>
      </c>
      <c r="K136" s="86"/>
      <c r="L136" s="86" t="s">
        <v>6559</v>
      </c>
      <c r="M136" s="86"/>
      <c r="N136" s="86"/>
      <c r="O136" s="121" t="str">
        <f t="shared" si="2"/>
        <v>✓</v>
      </c>
      <c r="P136" s="79" t="str">
        <f t="shared" si="3"/>
        <v>#VALUE!</v>
      </c>
      <c r="Q136" s="123" t="str">
        <f t="shared" si="4"/>
        <v>#VALUE!</v>
      </c>
      <c r="R136" s="124" t="str">
        <f t="shared" si="5"/>
        <v>#VALUE!</v>
      </c>
      <c r="S136" s="125" t="str">
        <f t="shared" si="6"/>
        <v>#VALUE!</v>
      </c>
      <c r="T136" s="125" t="str">
        <f t="shared" si="7"/>
        <v>#VALUE!</v>
      </c>
      <c r="U136" s="83">
        <f t="shared" si="8"/>
        <v>0</v>
      </c>
      <c r="V136" s="88" t="str">
        <f>ifs($N136="",VLOOKUP($C136&amp;$F136,'MARCH - VISIT DATA'!$A$2:$J600,7,FALSE), $N136="SWAB","OUTSA-RW",$N136="SWQU","OUTSA-SaQu", AND($L136="X",$M136="X",$N136="QUEST"),"OUT-UAQPre",$N136="QUEST","OUT-UAQ", $N136="Walk in","ColUATele")</f>
        <v>UA</v>
      </c>
      <c r="W136" s="70" t="str">
        <f t="shared" si="9"/>
        <v>UA : Urine Analysis In House</v>
      </c>
      <c r="X136" s="64" t="str">
        <f t="shared" si="10"/>
        <v>UA : Urine Analysis In House</v>
      </c>
      <c r="Y136" s="64" t="str">
        <f t="shared" si="11"/>
        <v>MATCH</v>
      </c>
      <c r="Z136" s="66" t="str">
        <f t="shared" si="12"/>
        <v> </v>
      </c>
      <c r="AA136" s="71"/>
    </row>
    <row r="137" ht="15.75" hidden="1" customHeight="1">
      <c r="A137" s="56" t="str">
        <f t="shared" si="1"/>
        <v>1440644630</v>
      </c>
      <c r="B137" s="56" t="str">
        <f>IFS($C137=FALSE,"",$C137,VLOOKUP($C137,'PATIENT DATA (072721)'!A:C, 2, 0))</f>
        <v>CORTEZ, CRESENCIO A</v>
      </c>
      <c r="C137" s="57">
        <v>14406.0</v>
      </c>
      <c r="D137" s="127" t="str">
        <f>IF(COUNTIF('PATIENT DATA (072721)'!A:A, C137)=0, "X","✓")</f>
        <v>✓</v>
      </c>
      <c r="E137" s="79">
        <f>IFS($C137=FALSE,"",$C137,VLOOKUP($C137,'PATIENT DATA (072721)'!A:C, 3, 0))</f>
        <v>28161</v>
      </c>
      <c r="F137" s="80">
        <v>44630.0</v>
      </c>
      <c r="G137" s="81">
        <f>ifs($C137="","",$C137, VLOOKUP($C137&amp;$F137, 'MARCH - VISIT DATA'!A:O,3,0))</f>
        <v>0.3541666667</v>
      </c>
      <c r="H137" s="83" t="s">
        <v>6560</v>
      </c>
      <c r="I137" s="122" t="str">
        <f>VLOOKUP($C137&amp;$F137,'MARCH - VISIT DATA'!A:J, 9, FALSE)</f>
        <v>TORRES</v>
      </c>
      <c r="J137" s="85" t="str">
        <f>VLOOKUP(C137&amp;F137,'MARCH - VISIT DATA'!A:O,10,FALSE)</f>
        <v>SUPERIOR HEALTH PLAN</v>
      </c>
      <c r="K137" s="86"/>
      <c r="L137" s="86" t="s">
        <v>6559</v>
      </c>
      <c r="M137" s="86" t="s">
        <v>6559</v>
      </c>
      <c r="N137" s="86"/>
      <c r="O137" s="121" t="str">
        <f t="shared" si="2"/>
        <v>✓</v>
      </c>
      <c r="P137" s="79" t="str">
        <f t="shared" si="3"/>
        <v>#VALUE!</v>
      </c>
      <c r="Q137" s="123" t="str">
        <f t="shared" si="4"/>
        <v>#VALUE!</v>
      </c>
      <c r="R137" s="124" t="str">
        <f t="shared" si="5"/>
        <v>#VALUE!</v>
      </c>
      <c r="S137" s="125" t="str">
        <f t="shared" si="6"/>
        <v>#VALUE!</v>
      </c>
      <c r="T137" s="125" t="str">
        <f t="shared" si="7"/>
        <v>#VALUE!</v>
      </c>
      <c r="U137" s="83">
        <f t="shared" si="8"/>
        <v>0</v>
      </c>
      <c r="V137" s="88" t="str">
        <f>ifs($N137="",VLOOKUP($C137&amp;$F137,'MARCH - VISIT DATA'!$A$2:$J600,7,FALSE), $N137="SWAB","OUTSA-RW",$N137="SWQU","OUTSA-SaQu", AND($L137="X",$M137="X",$N137="QUEST"),"OUT-UAQPre",$N137="QUEST","OUT-UAQ", $N137="Walk in","ColUATele")</f>
        <v>UA-Prelim</v>
      </c>
      <c r="W137" s="70" t="str">
        <f t="shared" si="9"/>
        <v>UA-Prelim : Preliminary UA Test</v>
      </c>
      <c r="X137" s="64" t="str">
        <f t="shared" si="10"/>
        <v>UA-Prelim : Preliminary UA Test</v>
      </c>
      <c r="Y137" s="64" t="str">
        <f t="shared" si="11"/>
        <v>MATCH</v>
      </c>
      <c r="Z137" s="66" t="str">
        <f t="shared" si="12"/>
        <v> </v>
      </c>
      <c r="AA137" s="71"/>
    </row>
    <row r="138" ht="15.75" customHeight="1">
      <c r="A138" s="56" t="str">
        <f t="shared" si="1"/>
        <v>1554444630</v>
      </c>
      <c r="B138" s="56" t="str">
        <f>IFS($C138=FALSE,"",$C138,VLOOKUP($C138,'PATIENT DATA (072721)'!A:C, 2, 0))</f>
        <v>RODRIGUEZ, STEPHANIE G</v>
      </c>
      <c r="C138" s="57">
        <v>15544.0</v>
      </c>
      <c r="D138" s="127" t="str">
        <f>IF(COUNTIF('PATIENT DATA (072721)'!A:A, C138)=0, "X","✓")</f>
        <v>✓</v>
      </c>
      <c r="E138" s="79">
        <f>IFS($C138=FALSE,"",$C138,VLOOKUP($C138,'PATIENT DATA (072721)'!A:C, 3, 0))</f>
        <v>33593</v>
      </c>
      <c r="F138" s="80">
        <v>44630.0</v>
      </c>
      <c r="G138" s="81">
        <f>ifs($C138="","",$C138, VLOOKUP($C138&amp;$F138, 'MARCH - VISIT DATA'!A:O,3,0))</f>
        <v>0.6458333333</v>
      </c>
      <c r="H138" s="83" t="s">
        <v>6558</v>
      </c>
      <c r="I138" s="122" t="str">
        <f>VLOOKUP($C138&amp;$F138,'MARCH - VISIT DATA'!A:J, 9, FALSE)</f>
        <v>MARTINEZ</v>
      </c>
      <c r="J138" s="85" t="str">
        <f>VLOOKUP(C138&amp;F138,'MARCH - VISIT DATA'!A:O,10,FALSE)</f>
        <v>BCBS FEDERAL</v>
      </c>
      <c r="K138" s="86"/>
      <c r="L138" s="86" t="s">
        <v>6559</v>
      </c>
      <c r="M138" s="86"/>
      <c r="N138" s="86"/>
      <c r="O138" s="121" t="str">
        <f t="shared" si="2"/>
        <v>✓</v>
      </c>
      <c r="P138" s="79" t="str">
        <f t="shared" si="3"/>
        <v>#VALUE!</v>
      </c>
      <c r="Q138" s="123" t="str">
        <f t="shared" si="4"/>
        <v>#VALUE!</v>
      </c>
      <c r="R138" s="124" t="str">
        <f t="shared" si="5"/>
        <v>#VALUE!</v>
      </c>
      <c r="S138" s="125" t="str">
        <f t="shared" si="6"/>
        <v>#VALUE!</v>
      </c>
      <c r="T138" s="125" t="str">
        <f t="shared" si="7"/>
        <v>#VALUE!</v>
      </c>
      <c r="U138" s="83">
        <f t="shared" si="8"/>
        <v>0</v>
      </c>
      <c r="V138" s="88" t="str">
        <f>ifs($N138="",VLOOKUP($C138&amp;$F138,'MARCH - VISIT DATA'!$A$2:$J600,7,FALSE), $N138="SWAB","OUTSA-RW",$N138="SWQU","OUTSA-SaQu", AND($L138="X",$M138="X",$N138="QUEST"),"OUT-UAQPre",$N138="QUEST","OUT-UAQ", $N138="Walk in","ColUATele")</f>
        <v>UA</v>
      </c>
      <c r="W138" s="70" t="str">
        <f t="shared" si="9"/>
        <v>UA : Urine Analysis In House</v>
      </c>
      <c r="X138" s="64" t="str">
        <f t="shared" si="10"/>
        <v>UA : Urine Analysis In House</v>
      </c>
      <c r="Y138" s="64" t="str">
        <f t="shared" si="11"/>
        <v>MATCH</v>
      </c>
      <c r="Z138" s="66" t="str">
        <f t="shared" si="12"/>
        <v> </v>
      </c>
      <c r="AA138" s="71"/>
    </row>
    <row r="139" ht="15.75" customHeight="1">
      <c r="A139" s="56" t="str">
        <f t="shared" si="1"/>
        <v>1566844630</v>
      </c>
      <c r="B139" s="56" t="str">
        <f>IFS($C139=FALSE,"",$C139,VLOOKUP($C139,'PATIENT DATA (072721)'!A:C, 2, 0))</f>
        <v>RAMIREZ, CONSUELO M</v>
      </c>
      <c r="C139" s="57">
        <v>15668.0</v>
      </c>
      <c r="D139" s="127" t="str">
        <f>IF(COUNTIF('PATIENT DATA (072721)'!A:A, C139)=0, "X","✓")</f>
        <v>✓</v>
      </c>
      <c r="E139" s="79">
        <f>IFS($C139=FALSE,"",$C139,VLOOKUP($C139,'PATIENT DATA (072721)'!A:C, 3, 0))</f>
        <v>18726</v>
      </c>
      <c r="F139" s="80">
        <v>44630.0</v>
      </c>
      <c r="G139" s="81">
        <f>ifs($C139="","",$C139, VLOOKUP($C139&amp;$F139, 'MARCH - VISIT DATA'!A:O,3,0))</f>
        <v>0.5625</v>
      </c>
      <c r="H139" s="83" t="s">
        <v>6558</v>
      </c>
      <c r="I139" s="122" t="str">
        <f>VLOOKUP($C139&amp;$F139,'MARCH - VISIT DATA'!A:J, 9, FALSE)</f>
        <v>MARTINEZ</v>
      </c>
      <c r="J139" s="85" t="str">
        <f>VLOOKUP(C139&amp;F139,'MARCH - VISIT DATA'!A:O,10,FALSE)</f>
        <v>AMERIVANTAGE DUAL</v>
      </c>
      <c r="K139" s="86"/>
      <c r="L139" s="86" t="s">
        <v>6559</v>
      </c>
      <c r="M139" s="86"/>
      <c r="N139" s="86"/>
      <c r="O139" s="121" t="str">
        <f t="shared" si="2"/>
        <v>✓</v>
      </c>
      <c r="P139" s="79" t="str">
        <f t="shared" si="3"/>
        <v>#VALUE!</v>
      </c>
      <c r="Q139" s="123" t="str">
        <f t="shared" si="4"/>
        <v>#VALUE!</v>
      </c>
      <c r="R139" s="124" t="str">
        <f t="shared" si="5"/>
        <v>#VALUE!</v>
      </c>
      <c r="S139" s="125" t="str">
        <f t="shared" si="6"/>
        <v>#VALUE!</v>
      </c>
      <c r="T139" s="125" t="str">
        <f t="shared" si="7"/>
        <v>#VALUE!</v>
      </c>
      <c r="U139" s="83">
        <f t="shared" si="8"/>
        <v>0</v>
      </c>
      <c r="V139" s="88" t="str">
        <f>ifs($N139="",VLOOKUP($C139&amp;$F139,'MARCH - VISIT DATA'!$A$2:$J600,7,FALSE), $N139="SWAB","OUTSA-RW",$N139="SWQU","OUTSA-SaQu", AND($L139="X",$M139="X",$N139="QUEST"),"OUT-UAQPre",$N139="QUEST","OUT-UAQ", $N139="Walk in","ColUATele")</f>
        <v>UA</v>
      </c>
      <c r="W139" s="70" t="str">
        <f t="shared" si="9"/>
        <v>UA : Urine Analysis In House</v>
      </c>
      <c r="X139" s="64" t="str">
        <f t="shared" si="10"/>
        <v>UA : Urine Analysis In House</v>
      </c>
      <c r="Y139" s="64" t="str">
        <f t="shared" si="11"/>
        <v>MATCH</v>
      </c>
      <c r="Z139" s="66" t="str">
        <f t="shared" si="12"/>
        <v> </v>
      </c>
      <c r="AA139" s="71"/>
    </row>
    <row r="140" ht="15.75" customHeight="1">
      <c r="A140" s="56" t="str">
        <f t="shared" si="1"/>
        <v>1568344630</v>
      </c>
      <c r="B140" s="56" t="str">
        <f>IFS($C140=FALSE,"",$C140,VLOOKUP($C140,'PATIENT DATA (072721)'!A:C, 2, 0))</f>
        <v>BRASWELL, PETER</v>
      </c>
      <c r="C140" s="57">
        <v>15683.0</v>
      </c>
      <c r="D140" s="127" t="str">
        <f>IF(COUNTIF('PATIENT DATA (072721)'!A:A, C140)=0, "X","✓")</f>
        <v>✓</v>
      </c>
      <c r="E140" s="79">
        <f>IFS($C140=FALSE,"",$C140,VLOOKUP($C140,'PATIENT DATA (072721)'!A:C, 3, 0))</f>
        <v>25687</v>
      </c>
      <c r="F140" s="80">
        <v>44630.0</v>
      </c>
      <c r="G140" s="81">
        <f>ifs($C140="","",$C140, VLOOKUP($C140&amp;$F140, 'MARCH - VISIT DATA'!A:O,3,0))</f>
        <v>0.34375</v>
      </c>
      <c r="H140" s="83" t="s">
        <v>6558</v>
      </c>
      <c r="I140" s="122" t="str">
        <f>VLOOKUP($C140&amp;$F140,'MARCH - VISIT DATA'!A:J, 9, FALSE)</f>
        <v>MARTINEZ</v>
      </c>
      <c r="J140" s="85" t="str">
        <f>VLOOKUP(C140&amp;F140,'MARCH - VISIT DATA'!A:O,10,FALSE)</f>
        <v>AETNA MEDICARE ADVANTAGE</v>
      </c>
      <c r="K140" s="86"/>
      <c r="L140" s="86" t="s">
        <v>6559</v>
      </c>
      <c r="M140" s="86"/>
      <c r="N140" s="86"/>
      <c r="O140" s="121" t="str">
        <f t="shared" si="2"/>
        <v>✓</v>
      </c>
      <c r="P140" s="79" t="str">
        <f t="shared" si="3"/>
        <v>#VALUE!</v>
      </c>
      <c r="Q140" s="123" t="str">
        <f t="shared" si="4"/>
        <v>#VALUE!</v>
      </c>
      <c r="R140" s="124" t="str">
        <f t="shared" si="5"/>
        <v>#VALUE!</v>
      </c>
      <c r="S140" s="125" t="str">
        <f t="shared" si="6"/>
        <v>#VALUE!</v>
      </c>
      <c r="T140" s="125" t="str">
        <f t="shared" si="7"/>
        <v>#VALUE!</v>
      </c>
      <c r="U140" s="83">
        <f t="shared" si="8"/>
        <v>0</v>
      </c>
      <c r="V140" s="88" t="str">
        <f>ifs($N140="",VLOOKUP($C140&amp;$F140,'MARCH - VISIT DATA'!$A$2:$J600,7,FALSE), $N140="SWAB","OUTSA-RW",$N140="SWQU","OUTSA-SaQu", AND($L140="X",$M140="X",$N140="QUEST"),"OUT-UAQPre",$N140="QUEST","OUT-UAQ", $N140="Walk in","ColUATele")</f>
        <v>UA</v>
      </c>
      <c r="W140" s="70" t="str">
        <f t="shared" si="9"/>
        <v>UA : Urine Analysis In House</v>
      </c>
      <c r="X140" s="64" t="str">
        <f t="shared" si="10"/>
        <v>UA : Urine Analysis In House</v>
      </c>
      <c r="Y140" s="64" t="str">
        <f t="shared" si="11"/>
        <v>MATCH</v>
      </c>
      <c r="Z140" s="66" t="str">
        <f t="shared" si="12"/>
        <v> </v>
      </c>
      <c r="AA140" s="71"/>
    </row>
    <row r="141" ht="15.75" hidden="1" customHeight="1">
      <c r="A141" s="56" t="str">
        <f t="shared" si="1"/>
        <v>1580344630</v>
      </c>
      <c r="B141" s="56" t="str">
        <f>IFS($C141=FALSE,"",$C141,VLOOKUP($C141,'PATIENT DATA (072721)'!A:C, 2, 0))</f>
        <v>VICARI, LESLIE C</v>
      </c>
      <c r="C141" s="57">
        <v>15803.0</v>
      </c>
      <c r="D141" s="127" t="str">
        <f>IF(COUNTIF('PATIENT DATA (072721)'!A:A, C141)=0, "X","✓")</f>
        <v>✓</v>
      </c>
      <c r="E141" s="79">
        <f>IFS($C141=FALSE,"",$C141,VLOOKUP($C141,'PATIENT DATA (072721)'!A:C, 3, 0))</f>
        <v>23681</v>
      </c>
      <c r="F141" s="80">
        <v>44630.0</v>
      </c>
      <c r="G141" s="81">
        <f>ifs($C141="","",$C141, VLOOKUP($C141&amp;$F141, 'MARCH - VISIT DATA'!A:O,3,0))</f>
        <v>0.6458333333</v>
      </c>
      <c r="H141" s="83" t="s">
        <v>6558</v>
      </c>
      <c r="I141" s="122" t="str">
        <f>VLOOKUP($C141&amp;$F141,'MARCH - VISIT DATA'!A:J, 9, FALSE)</f>
        <v>MARTINEZ</v>
      </c>
      <c r="J141" s="85" t="str">
        <f>VLOOKUP(C141&amp;F141,'MARCH - VISIT DATA'!A:O,10,FALSE)</f>
        <v>CIGNA</v>
      </c>
      <c r="K141" s="86"/>
      <c r="L141" s="86" t="s">
        <v>6559</v>
      </c>
      <c r="M141" s="86" t="s">
        <v>6559</v>
      </c>
      <c r="N141" s="86"/>
      <c r="O141" s="121" t="str">
        <f t="shared" si="2"/>
        <v>✓</v>
      </c>
      <c r="P141" s="79" t="str">
        <f t="shared" si="3"/>
        <v>#VALUE!</v>
      </c>
      <c r="Q141" s="123" t="str">
        <f t="shared" si="4"/>
        <v>#VALUE!</v>
      </c>
      <c r="R141" s="124" t="str">
        <f t="shared" si="5"/>
        <v>#VALUE!</v>
      </c>
      <c r="S141" s="125" t="str">
        <f t="shared" si="6"/>
        <v>#VALUE!</v>
      </c>
      <c r="T141" s="125" t="str">
        <f t="shared" si="7"/>
        <v>#VALUE!</v>
      </c>
      <c r="U141" s="83">
        <f t="shared" si="8"/>
        <v>0</v>
      </c>
      <c r="V141" s="88" t="str">
        <f>ifs($N141="",VLOOKUP($C141&amp;$F141,'MARCH - VISIT DATA'!$A$2:$J600,7,FALSE), $N141="SWAB","OUTSA-RW",$N141="SWQU","OUTSA-SaQu", AND($L141="X",$M141="X",$N141="QUEST"),"OUT-UAQPre",$N141="QUEST","OUT-UAQ", $N141="Walk in","ColUATele")</f>
        <v>UA-Prelim</v>
      </c>
      <c r="W141" s="70" t="str">
        <f t="shared" si="9"/>
        <v>UA-Prelim : Preliminary UA Test</v>
      </c>
      <c r="X141" s="64" t="str">
        <f t="shared" si="10"/>
        <v>UA-Prelim : Preliminary UA Test</v>
      </c>
      <c r="Y141" s="64" t="str">
        <f t="shared" si="11"/>
        <v>MATCH</v>
      </c>
      <c r="Z141" s="66" t="str">
        <f t="shared" si="12"/>
        <v> </v>
      </c>
      <c r="AA141" s="71"/>
    </row>
    <row r="142" ht="15.75" hidden="1" customHeight="1">
      <c r="A142" s="56" t="str">
        <f t="shared" si="1"/>
        <v>1610644630</v>
      </c>
      <c r="B142" s="56" t="str">
        <f>IFS($C142=FALSE,"",$C142,VLOOKUP($C142,'PATIENT DATA (072721)'!A:C, 2, 0))</f>
        <v>GUTIERREZ, LETICIA</v>
      </c>
      <c r="C142" s="57">
        <v>16106.0</v>
      </c>
      <c r="D142" s="127" t="str">
        <f>IF(COUNTIF('PATIENT DATA (072721)'!A:A, C142)=0, "X","✓")</f>
        <v>✓</v>
      </c>
      <c r="E142" s="79">
        <f>IFS($C142=FALSE,"",$C142,VLOOKUP($C142,'PATIENT DATA (072721)'!A:C, 3, 0))</f>
        <v>23484</v>
      </c>
      <c r="F142" s="80">
        <v>44630.0</v>
      </c>
      <c r="G142" s="81">
        <f>ifs($C142="","",$C142, VLOOKUP($C142&amp;$F142, 'MARCH - VISIT DATA'!A:O,3,0))</f>
        <v>0.375</v>
      </c>
      <c r="H142" s="83" t="s">
        <v>6560</v>
      </c>
      <c r="I142" s="122" t="str">
        <f>VLOOKUP($C142&amp;$F142,'MARCH - VISIT DATA'!A:J, 9, FALSE)</f>
        <v>TORRES</v>
      </c>
      <c r="J142" s="85" t="str">
        <f>VLOOKUP(C142&amp;F142,'MARCH - VISIT DATA'!A:O,10,FALSE)</f>
        <v>MEDICARE TEXAS</v>
      </c>
      <c r="K142" s="86"/>
      <c r="L142" s="86" t="s">
        <v>6559</v>
      </c>
      <c r="M142" s="86" t="s">
        <v>6559</v>
      </c>
      <c r="N142" s="86"/>
      <c r="O142" s="121" t="str">
        <f t="shared" si="2"/>
        <v>✓</v>
      </c>
      <c r="P142" s="79" t="str">
        <f t="shared" si="3"/>
        <v>#VALUE!</v>
      </c>
      <c r="Q142" s="123" t="str">
        <f t="shared" si="4"/>
        <v>#VALUE!</v>
      </c>
      <c r="R142" s="124" t="str">
        <f t="shared" si="5"/>
        <v>#VALUE!</v>
      </c>
      <c r="S142" s="125" t="str">
        <f t="shared" si="6"/>
        <v>#VALUE!</v>
      </c>
      <c r="T142" s="125" t="str">
        <f t="shared" si="7"/>
        <v>#VALUE!</v>
      </c>
      <c r="U142" s="83">
        <f t="shared" si="8"/>
        <v>0</v>
      </c>
      <c r="V142" s="88" t="str">
        <f>ifs($N142="",VLOOKUP($C142&amp;$F142,'MARCH - VISIT DATA'!$A$2:$J600,7,FALSE), $N142="SWAB","OUTSA-RW",$N142="SWQU","OUTSA-SaQu", AND($L142="X",$M142="X",$N142="QUEST"),"OUT-UAQPre",$N142="QUEST","OUT-UAQ", $N142="Walk in","ColUATele")</f>
        <v>UA-Prelim</v>
      </c>
      <c r="W142" s="70" t="str">
        <f t="shared" si="9"/>
        <v>UA-Prelim : Preliminary UA Test</v>
      </c>
      <c r="X142" s="64" t="str">
        <f t="shared" si="10"/>
        <v>UA-Prelim : Preliminary UA Test</v>
      </c>
      <c r="Y142" s="64" t="str">
        <f t="shared" si="11"/>
        <v>MATCH</v>
      </c>
      <c r="Z142" s="66" t="str">
        <f t="shared" si="12"/>
        <v> </v>
      </c>
      <c r="AA142" s="71"/>
    </row>
    <row r="143" ht="15.75" customHeight="1">
      <c r="A143" s="56" t="str">
        <f t="shared" si="1"/>
        <v>1629944630</v>
      </c>
      <c r="B143" s="56" t="str">
        <f>IFS($C143=FALSE,"",$C143,VLOOKUP($C143,'PATIENT DATA (072721)'!A:C, 2, 0))</f>
        <v>IZUNDU, CHIEMEKA S</v>
      </c>
      <c r="C143" s="57">
        <v>16299.0</v>
      </c>
      <c r="D143" s="127" t="str">
        <f>IF(COUNTIF('PATIENT DATA (072721)'!A:A, C143)=0, "X","✓")</f>
        <v>✓</v>
      </c>
      <c r="E143" s="79">
        <f>IFS($C143=FALSE,"",$C143,VLOOKUP($C143,'PATIENT DATA (072721)'!A:C, 3, 0))</f>
        <v>17491</v>
      </c>
      <c r="F143" s="80">
        <v>44630.0</v>
      </c>
      <c r="G143" s="81">
        <f>ifs($C143="","",$C143, VLOOKUP($C143&amp;$F143, 'MARCH - VISIT DATA'!A:O,3,0))</f>
        <v>0.3854166667</v>
      </c>
      <c r="H143" s="83" t="s">
        <v>6560</v>
      </c>
      <c r="I143" s="122" t="str">
        <f>VLOOKUP($C143&amp;$F143,'MARCH - VISIT DATA'!A:J, 9, FALSE)</f>
        <v>TORRES</v>
      </c>
      <c r="J143" s="85" t="str">
        <f>VLOOKUP(C143&amp;F143,'MARCH - VISIT DATA'!A:O,10,FALSE)</f>
        <v>AETNA</v>
      </c>
      <c r="K143" s="86"/>
      <c r="L143" s="86" t="s">
        <v>6559</v>
      </c>
      <c r="M143" s="86"/>
      <c r="N143" s="86"/>
      <c r="O143" s="121" t="str">
        <f t="shared" si="2"/>
        <v>✓</v>
      </c>
      <c r="P143" s="79" t="str">
        <f t="shared" si="3"/>
        <v>#VALUE!</v>
      </c>
      <c r="Q143" s="123" t="str">
        <f t="shared" si="4"/>
        <v>#VALUE!</v>
      </c>
      <c r="R143" s="124" t="str">
        <f t="shared" si="5"/>
        <v>#VALUE!</v>
      </c>
      <c r="S143" s="125" t="str">
        <f t="shared" si="6"/>
        <v>#VALUE!</v>
      </c>
      <c r="T143" s="125" t="str">
        <f t="shared" si="7"/>
        <v>#VALUE!</v>
      </c>
      <c r="U143" s="83">
        <f t="shared" si="8"/>
        <v>0</v>
      </c>
      <c r="V143" s="88" t="str">
        <f>ifs($N143="",VLOOKUP($C143&amp;$F143,'MARCH - VISIT DATA'!$A$2:$J600,7,FALSE), $N143="SWAB","OUTSA-RW",$N143="SWQU","OUTSA-SaQu", AND($L143="X",$M143="X",$N143="QUEST"),"OUT-UAQPre",$N143="QUEST","OUT-UAQ", $N143="Walk in","ColUATele")</f>
        <v>UA</v>
      </c>
      <c r="W143" s="70" t="str">
        <f t="shared" si="9"/>
        <v>UA : Urine Analysis In House</v>
      </c>
      <c r="X143" s="64" t="str">
        <f t="shared" si="10"/>
        <v>UA : Urine Analysis In House</v>
      </c>
      <c r="Y143" s="64" t="str">
        <f t="shared" si="11"/>
        <v>MATCH</v>
      </c>
      <c r="Z143" s="66" t="str">
        <f t="shared" si="12"/>
        <v> </v>
      </c>
      <c r="AA143" s="71"/>
    </row>
    <row r="144" ht="15.75" hidden="1" customHeight="1">
      <c r="A144" s="56" t="str">
        <f t="shared" si="1"/>
        <v>1644244630</v>
      </c>
      <c r="B144" s="56" t="str">
        <f>IFS($C144=FALSE,"",$C144,VLOOKUP($C144,'PATIENT DATA (072721)'!A:C, 2, 0))</f>
        <v>SILVA, SUSANA</v>
      </c>
      <c r="C144" s="57">
        <v>16442.0</v>
      </c>
      <c r="D144" s="127" t="str">
        <f>IF(COUNTIF('PATIENT DATA (072721)'!A:A, C144)=0, "X","✓")</f>
        <v>✓</v>
      </c>
      <c r="E144" s="79">
        <f>IFS($C144=FALSE,"",$C144,VLOOKUP($C144,'PATIENT DATA (072721)'!A:C, 3, 0))</f>
        <v>22978</v>
      </c>
      <c r="F144" s="80">
        <v>44630.0</v>
      </c>
      <c r="G144" s="81">
        <f>ifs($C144="","",$C144, VLOOKUP($C144&amp;$F144, 'MARCH - VISIT DATA'!A:O,3,0))</f>
        <v>0.4375</v>
      </c>
      <c r="H144" s="83" t="s">
        <v>6560</v>
      </c>
      <c r="I144" s="122" t="str">
        <f>VLOOKUP($C144&amp;$F144,'MARCH - VISIT DATA'!A:J, 9, FALSE)</f>
        <v>TORRES</v>
      </c>
      <c r="J144" s="85" t="str">
        <f>VLOOKUP(C144&amp;F144,'MARCH - VISIT DATA'!A:O,10,FALSE)</f>
        <v>AMERIVANTAGE DUAL</v>
      </c>
      <c r="K144" s="86"/>
      <c r="L144" s="86" t="s">
        <v>6559</v>
      </c>
      <c r="M144" s="86" t="s">
        <v>6559</v>
      </c>
      <c r="N144" s="86"/>
      <c r="O144" s="121" t="str">
        <f t="shared" si="2"/>
        <v>✓</v>
      </c>
      <c r="P144" s="79" t="str">
        <f t="shared" si="3"/>
        <v>#VALUE!</v>
      </c>
      <c r="Q144" s="123" t="str">
        <f t="shared" si="4"/>
        <v>#VALUE!</v>
      </c>
      <c r="R144" s="124" t="str">
        <f t="shared" si="5"/>
        <v>#VALUE!</v>
      </c>
      <c r="S144" s="125" t="str">
        <f t="shared" si="6"/>
        <v>#VALUE!</v>
      </c>
      <c r="T144" s="125" t="str">
        <f t="shared" si="7"/>
        <v>#VALUE!</v>
      </c>
      <c r="U144" s="83">
        <f t="shared" si="8"/>
        <v>0</v>
      </c>
      <c r="V144" s="88" t="str">
        <f>ifs($N144="",VLOOKUP($C144&amp;$F144,'MARCH - VISIT DATA'!$A$2:$J600,7,FALSE), $N144="SWAB","OUTSA-RW",$N144="SWQU","OUTSA-SaQu", AND($L144="X",$M144="X",$N144="QUEST"),"OUT-UAQPre",$N144="QUEST","OUT-UAQ", $N144="Walk in","ColUATele")</f>
        <v>UA-Prelim</v>
      </c>
      <c r="W144" s="70" t="str">
        <f t="shared" si="9"/>
        <v>UA-Prelim : Preliminary UA Test</v>
      </c>
      <c r="X144" s="64" t="str">
        <f t="shared" si="10"/>
        <v>UA-Prelim : Preliminary UA Test</v>
      </c>
      <c r="Y144" s="64" t="str">
        <f t="shared" si="11"/>
        <v>MATCH</v>
      </c>
      <c r="Z144" s="66" t="str">
        <f t="shared" si="12"/>
        <v> </v>
      </c>
      <c r="AA144" s="71"/>
    </row>
    <row r="145" ht="15.75" customHeight="1">
      <c r="A145" s="56" t="str">
        <f t="shared" si="1"/>
        <v>1657444630</v>
      </c>
      <c r="B145" s="56" t="str">
        <f>IFS($C145=FALSE,"",$C145,VLOOKUP($C145,'PATIENT DATA (072721)'!A:C, 2, 0))</f>
        <v>QUESADA, JORGE</v>
      </c>
      <c r="C145" s="57">
        <v>16574.0</v>
      </c>
      <c r="D145" s="127" t="str">
        <f>IF(COUNTIF('PATIENT DATA (072721)'!A:A, C145)=0, "X","✓")</f>
        <v>✓</v>
      </c>
      <c r="E145" s="79">
        <f>IFS($C145=FALSE,"",$C145,VLOOKUP($C145,'PATIENT DATA (072721)'!A:C, 3, 0))</f>
        <v>22806</v>
      </c>
      <c r="F145" s="80">
        <v>44630.0</v>
      </c>
      <c r="G145" s="81">
        <f>ifs($C145="","",$C145, VLOOKUP($C145&amp;$F145, 'MARCH - VISIT DATA'!A:O,3,0))</f>
        <v>0.3333333333</v>
      </c>
      <c r="H145" s="83" t="s">
        <v>6560</v>
      </c>
      <c r="I145" s="122" t="str">
        <f>VLOOKUP($C145&amp;$F145,'MARCH - VISIT DATA'!A:J, 9, FALSE)</f>
        <v>TORRES</v>
      </c>
      <c r="J145" s="85" t="str">
        <f>VLOOKUP(C145&amp;F145,'MARCH - VISIT DATA'!A:O,10,FALSE)</f>
        <v>HUMANA GOLD PLUS HMO</v>
      </c>
      <c r="K145" s="86"/>
      <c r="L145" s="86" t="s">
        <v>6559</v>
      </c>
      <c r="M145" s="86"/>
      <c r="N145" s="86"/>
      <c r="O145" s="121" t="str">
        <f t="shared" si="2"/>
        <v>✓</v>
      </c>
      <c r="P145" s="79" t="str">
        <f t="shared" si="3"/>
        <v>#VALUE!</v>
      </c>
      <c r="Q145" s="123" t="str">
        <f t="shared" si="4"/>
        <v>#VALUE!</v>
      </c>
      <c r="R145" s="124" t="str">
        <f t="shared" si="5"/>
        <v>#VALUE!</v>
      </c>
      <c r="S145" s="125" t="str">
        <f t="shared" si="6"/>
        <v>#VALUE!</v>
      </c>
      <c r="T145" s="125" t="str">
        <f t="shared" si="7"/>
        <v>#VALUE!</v>
      </c>
      <c r="U145" s="83">
        <f t="shared" si="8"/>
        <v>0</v>
      </c>
      <c r="V145" s="88" t="str">
        <f>ifs($N145="",VLOOKUP($C145&amp;$F145,'MARCH - VISIT DATA'!$A$2:$J600,7,FALSE), $N145="SWAB","OUTSA-RW",$N145="SWQU","OUTSA-SaQu", AND($L145="X",$M145="X",$N145="QUEST"),"OUT-UAQPre",$N145="QUEST","OUT-UAQ", $N145="Walk in","ColUATele")</f>
        <v>UA</v>
      </c>
      <c r="W145" s="70" t="str">
        <f t="shared" si="9"/>
        <v>UA : Urine Analysis In House</v>
      </c>
      <c r="X145" s="64" t="str">
        <f t="shared" si="10"/>
        <v>UA : Urine Analysis In House</v>
      </c>
      <c r="Y145" s="64" t="str">
        <f t="shared" si="11"/>
        <v>MATCH</v>
      </c>
      <c r="Z145" s="66" t="str">
        <f t="shared" si="12"/>
        <v> </v>
      </c>
      <c r="AA145" s="71"/>
    </row>
    <row r="146" ht="15.75" hidden="1" customHeight="1">
      <c r="A146" s="56" t="str">
        <f t="shared" si="1"/>
        <v>1692844630</v>
      </c>
      <c r="B146" s="56" t="str">
        <f>IFS($C146=FALSE,"",$C146,VLOOKUP($C146,'PATIENT DATA (072721)'!A:C, 2, 0))</f>
        <v>BERNAL, GILBERTO</v>
      </c>
      <c r="C146" s="57">
        <v>16928.0</v>
      </c>
      <c r="D146" s="127" t="str">
        <f>IF(COUNTIF('PATIENT DATA (072721)'!A:A, C146)=0, "X","✓")</f>
        <v>✓</v>
      </c>
      <c r="E146" s="79">
        <f>IFS($C146=FALSE,"",$C146,VLOOKUP($C146,'PATIENT DATA (072721)'!A:C, 3, 0))</f>
        <v>20393</v>
      </c>
      <c r="F146" s="80">
        <v>44630.0</v>
      </c>
      <c r="G146" s="81">
        <f>ifs($C146="","",$C146, VLOOKUP($C146&amp;$F146, 'MARCH - VISIT DATA'!A:O,3,0))</f>
        <v>0.3645833333</v>
      </c>
      <c r="H146" s="83" t="s">
        <v>6560</v>
      </c>
      <c r="I146" s="122" t="str">
        <f>VLOOKUP($C146&amp;$F146,'MARCH - VISIT DATA'!A:J, 9, FALSE)</f>
        <v>TORRES</v>
      </c>
      <c r="J146" s="85" t="str">
        <f>VLOOKUP(C146&amp;F146,'MARCH - VISIT DATA'!A:O,10,FALSE)</f>
        <v>WPS VA - COMMUNITY CARE</v>
      </c>
      <c r="K146" s="86"/>
      <c r="L146" s="86" t="s">
        <v>6559</v>
      </c>
      <c r="M146" s="86" t="s">
        <v>6559</v>
      </c>
      <c r="N146" s="86"/>
      <c r="O146" s="121" t="str">
        <f t="shared" si="2"/>
        <v>✓</v>
      </c>
      <c r="P146" s="79" t="str">
        <f t="shared" si="3"/>
        <v>#VALUE!</v>
      </c>
      <c r="Q146" s="123" t="str">
        <f t="shared" si="4"/>
        <v>#VALUE!</v>
      </c>
      <c r="R146" s="124" t="str">
        <f t="shared" si="5"/>
        <v>#VALUE!</v>
      </c>
      <c r="S146" s="125" t="str">
        <f t="shared" si="6"/>
        <v>#VALUE!</v>
      </c>
      <c r="T146" s="125" t="str">
        <f t="shared" si="7"/>
        <v>#VALUE!</v>
      </c>
      <c r="U146" s="83">
        <f t="shared" si="8"/>
        <v>0</v>
      </c>
      <c r="V146" s="88" t="str">
        <f>ifs($N146="",VLOOKUP($C146&amp;$F146,'MARCH - VISIT DATA'!$A$2:$J600,7,FALSE), $N146="SWAB","OUTSA-RW",$N146="SWQU","OUTSA-SaQu", AND($L146="X",$M146="X",$N146="QUEST"),"OUT-UAQPre",$N146="QUEST","OUT-UAQ", $N146="Walk in","ColUATele")</f>
        <v>UA-Prelim</v>
      </c>
      <c r="W146" s="70" t="str">
        <f t="shared" si="9"/>
        <v>UA-Prelim : Preliminary UA Test</v>
      </c>
      <c r="X146" s="64" t="str">
        <f t="shared" si="10"/>
        <v>UA-Prelim : Preliminary UA Test</v>
      </c>
      <c r="Y146" s="64" t="str">
        <f t="shared" si="11"/>
        <v>MATCH</v>
      </c>
      <c r="Z146" s="66" t="str">
        <f t="shared" si="12"/>
        <v> </v>
      </c>
      <c r="AA146" s="71"/>
    </row>
    <row r="147" ht="15.75" customHeight="1">
      <c r="A147" s="56" t="str">
        <f t="shared" si="1"/>
        <v>1699344630</v>
      </c>
      <c r="B147" s="56" t="str">
        <f>IFS($C147=FALSE,"",$C147,VLOOKUP($C147,'PATIENT DATA (072721)'!A:C, 2, 0))</f>
        <v>GUERRERO DE AGUIRE, MARIA</v>
      </c>
      <c r="C147" s="57">
        <v>16993.0</v>
      </c>
      <c r="D147" s="127" t="str">
        <f>IF(COUNTIF('PATIENT DATA (072721)'!A:A, C147)=0, "X","✓")</f>
        <v>✓</v>
      </c>
      <c r="E147" s="79">
        <f>IFS($C147=FALSE,"",$C147,VLOOKUP($C147,'PATIENT DATA (072721)'!A:C, 3, 0))</f>
        <v>14634</v>
      </c>
      <c r="F147" s="80">
        <v>44630.0</v>
      </c>
      <c r="G147" s="81">
        <f>ifs($C147="","",$C147, VLOOKUP($C147&amp;$F147, 'MARCH - VISIT DATA'!A:O,3,0))</f>
        <v>0.3541666667</v>
      </c>
      <c r="H147" s="83" t="s">
        <v>6558</v>
      </c>
      <c r="I147" s="122" t="str">
        <f>VLOOKUP($C147&amp;$F147,'MARCH - VISIT DATA'!A:J, 9, FALSE)</f>
        <v>MARTINEZ</v>
      </c>
      <c r="J147" s="85" t="str">
        <f>VLOOKUP(C147&amp;F147,'MARCH - VISIT DATA'!A:O,10,FALSE)</f>
        <v>HUMANA GOLD PLUS HMO</v>
      </c>
      <c r="K147" s="86"/>
      <c r="L147" s="86" t="s">
        <v>6559</v>
      </c>
      <c r="M147" s="86"/>
      <c r="N147" s="86"/>
      <c r="O147" s="121" t="str">
        <f t="shared" si="2"/>
        <v>✓</v>
      </c>
      <c r="P147" s="79" t="str">
        <f t="shared" si="3"/>
        <v>#VALUE!</v>
      </c>
      <c r="Q147" s="123" t="str">
        <f t="shared" si="4"/>
        <v>#VALUE!</v>
      </c>
      <c r="R147" s="124" t="str">
        <f t="shared" si="5"/>
        <v>#VALUE!</v>
      </c>
      <c r="S147" s="125" t="str">
        <f t="shared" si="6"/>
        <v>#VALUE!</v>
      </c>
      <c r="T147" s="125" t="str">
        <f t="shared" si="7"/>
        <v>#VALUE!</v>
      </c>
      <c r="U147" s="83">
        <f t="shared" si="8"/>
        <v>0</v>
      </c>
      <c r="V147" s="88" t="str">
        <f>ifs($N147="",VLOOKUP($C147&amp;$F147,'MARCH - VISIT DATA'!$A$2:$J600,7,FALSE), $N147="SWAB","OUTSA-RW",$N147="SWQU","OUTSA-SaQu", AND($L147="X",$M147="X",$N147="QUEST"),"OUT-UAQPre",$N147="QUEST","OUT-UAQ", $N147="Walk in","ColUATele")</f>
        <v>UA</v>
      </c>
      <c r="W147" s="70" t="str">
        <f t="shared" si="9"/>
        <v>UA : Urine Analysis In House</v>
      </c>
      <c r="X147" s="64" t="str">
        <f t="shared" si="10"/>
        <v>UA : Urine Analysis In House</v>
      </c>
      <c r="Y147" s="64" t="str">
        <f t="shared" si="11"/>
        <v>MATCH</v>
      </c>
      <c r="Z147" s="66" t="str">
        <f t="shared" si="12"/>
        <v> </v>
      </c>
      <c r="AA147" s="71"/>
    </row>
    <row r="148" ht="15.75" customHeight="1">
      <c r="A148" s="56" t="str">
        <f t="shared" si="1"/>
        <v>1755744630</v>
      </c>
      <c r="B148" s="56" t="str">
        <f>IFS($C148=FALSE,"",$C148,VLOOKUP($C148,'PATIENT DATA (072721)'!A:C, 2, 0))</f>
        <v>SHIVELY, PHILIP D</v>
      </c>
      <c r="C148" s="57">
        <v>17557.0</v>
      </c>
      <c r="D148" s="127" t="str">
        <f>IF(COUNTIF('PATIENT DATA (072721)'!A:A, C148)=0, "X","✓")</f>
        <v>✓</v>
      </c>
      <c r="E148" s="79">
        <f>IFS($C148=FALSE,"",$C148,VLOOKUP($C148,'PATIENT DATA (072721)'!A:C, 3, 0))</f>
        <v>21735</v>
      </c>
      <c r="F148" s="80">
        <v>44630.0</v>
      </c>
      <c r="G148" s="81">
        <f>ifs($C148="","",$C148, VLOOKUP($C148&amp;$F148, 'MARCH - VISIT DATA'!A:O,3,0))</f>
        <v>0.4583333333</v>
      </c>
      <c r="H148" s="83" t="s">
        <v>6558</v>
      </c>
      <c r="I148" s="122" t="str">
        <f>VLOOKUP($C148&amp;$F148,'MARCH - VISIT DATA'!A:J, 9, FALSE)</f>
        <v>MARTINEZ</v>
      </c>
      <c r="J148" s="85" t="str">
        <f>VLOOKUP(C148&amp;F148,'MARCH - VISIT DATA'!A:O,10,FALSE)</f>
        <v>MEDICARE TEXAS</v>
      </c>
      <c r="K148" s="86"/>
      <c r="L148" s="86" t="s">
        <v>6559</v>
      </c>
      <c r="M148" s="86"/>
      <c r="N148" s="86"/>
      <c r="O148" s="121" t="str">
        <f t="shared" si="2"/>
        <v>✓</v>
      </c>
      <c r="P148" s="79" t="str">
        <f t="shared" si="3"/>
        <v>#VALUE!</v>
      </c>
      <c r="Q148" s="123" t="str">
        <f t="shared" si="4"/>
        <v>#VALUE!</v>
      </c>
      <c r="R148" s="124" t="str">
        <f t="shared" si="5"/>
        <v>#VALUE!</v>
      </c>
      <c r="S148" s="125" t="str">
        <f t="shared" si="6"/>
        <v>#VALUE!</v>
      </c>
      <c r="T148" s="125" t="str">
        <f t="shared" si="7"/>
        <v>#VALUE!</v>
      </c>
      <c r="U148" s="83">
        <f t="shared" si="8"/>
        <v>0</v>
      </c>
      <c r="V148" s="88" t="str">
        <f>ifs($N148="",VLOOKUP($C148&amp;$F148,'MARCH - VISIT DATA'!$A$2:$J600,7,FALSE), $N148="SWAB","OUTSA-RW",$N148="SWQU","OUTSA-SaQu", AND($L148="X",$M148="X",$N148="QUEST"),"OUT-UAQPre",$N148="QUEST","OUT-UAQ", $N148="Walk in","ColUATele")</f>
        <v>UA</v>
      </c>
      <c r="W148" s="70" t="str">
        <f t="shared" si="9"/>
        <v>UA : Urine Analysis In House</v>
      </c>
      <c r="X148" s="64" t="str">
        <f t="shared" si="10"/>
        <v>UA : Urine Analysis In House</v>
      </c>
      <c r="Y148" s="64" t="str">
        <f t="shared" si="11"/>
        <v>MATCH</v>
      </c>
      <c r="Z148" s="66" t="str">
        <f t="shared" si="12"/>
        <v> </v>
      </c>
      <c r="AA148" s="71"/>
    </row>
    <row r="149" ht="15.75" customHeight="1">
      <c r="A149" s="56" t="str">
        <f t="shared" si="1"/>
        <v>1763544630</v>
      </c>
      <c r="B149" s="56" t="str">
        <f>IFS($C149=FALSE,"",$C149,VLOOKUP($C149,'PATIENT DATA (072721)'!A:C, 2, 0))</f>
        <v>LANDEROS, ERNESTO</v>
      </c>
      <c r="C149" s="57">
        <v>17635.0</v>
      </c>
      <c r="D149" s="127" t="str">
        <f>IF(COUNTIF('PATIENT DATA (072721)'!A:A, C149)=0, "X","✓")</f>
        <v>✓</v>
      </c>
      <c r="E149" s="79">
        <f>IFS($C149=FALSE,"",$C149,VLOOKUP($C149,'PATIENT DATA (072721)'!A:C, 3, 0))</f>
        <v>13329</v>
      </c>
      <c r="F149" s="80">
        <v>44630.0</v>
      </c>
      <c r="G149" s="81">
        <f>ifs($C149="","",$C149, VLOOKUP($C149&amp;$F149, 'MARCH - VISIT DATA'!A:O,3,0))</f>
        <v>0.6145833333</v>
      </c>
      <c r="H149" s="83" t="s">
        <v>6558</v>
      </c>
      <c r="I149" s="122" t="str">
        <f>VLOOKUP($C149&amp;$F149,'MARCH - VISIT DATA'!A:J, 9, FALSE)</f>
        <v>MARTINEZ</v>
      </c>
      <c r="J149" s="85" t="str">
        <f>VLOOKUP(C149&amp;F149,'MARCH - VISIT DATA'!A:O,10,FALSE)</f>
        <v>UNITED HEALTH CARE</v>
      </c>
      <c r="K149" s="86"/>
      <c r="L149" s="86" t="s">
        <v>6559</v>
      </c>
      <c r="M149" s="86"/>
      <c r="N149" s="86"/>
      <c r="O149" s="121" t="str">
        <f t="shared" si="2"/>
        <v>✓</v>
      </c>
      <c r="P149" s="79" t="str">
        <f t="shared" si="3"/>
        <v>#VALUE!</v>
      </c>
      <c r="Q149" s="123" t="str">
        <f t="shared" si="4"/>
        <v>#VALUE!</v>
      </c>
      <c r="R149" s="124" t="str">
        <f t="shared" si="5"/>
        <v>#VALUE!</v>
      </c>
      <c r="S149" s="125" t="str">
        <f t="shared" si="6"/>
        <v>#VALUE!</v>
      </c>
      <c r="T149" s="125" t="str">
        <f t="shared" si="7"/>
        <v>#VALUE!</v>
      </c>
      <c r="U149" s="83">
        <f t="shared" si="8"/>
        <v>0</v>
      </c>
      <c r="V149" s="88" t="str">
        <f>ifs($N149="",VLOOKUP($C149&amp;$F149,'MARCH - VISIT DATA'!$A$2:$J600,7,FALSE), $N149="SWAB","OUTSA-RW",$N149="SWQU","OUTSA-SaQu", AND($L149="X",$M149="X",$N149="QUEST"),"OUT-UAQPre",$N149="QUEST","OUT-UAQ", $N149="Walk in","ColUATele")</f>
        <v>UA</v>
      </c>
      <c r="W149" s="70" t="str">
        <f t="shared" si="9"/>
        <v>UA : Urine Analysis In House</v>
      </c>
      <c r="X149" s="64" t="str">
        <f t="shared" si="10"/>
        <v>UA : Urine Analysis In House</v>
      </c>
      <c r="Y149" s="64" t="str">
        <f t="shared" si="11"/>
        <v>MATCH</v>
      </c>
      <c r="Z149" s="66" t="str">
        <f t="shared" si="12"/>
        <v> </v>
      </c>
      <c r="AA149" s="71"/>
    </row>
    <row r="150" ht="15.75" customHeight="1">
      <c r="A150" s="56" t="str">
        <f t="shared" si="1"/>
        <v>1772644630</v>
      </c>
      <c r="B150" s="56" t="str">
        <f>IFS($C150=FALSE,"",$C150,VLOOKUP($C150,'PATIENT DATA (072721)'!A:C, 2, 0))</f>
        <v>GOMEZ, CRUZ</v>
      </c>
      <c r="C150" s="57">
        <v>17726.0</v>
      </c>
      <c r="D150" s="127" t="str">
        <f>IF(COUNTIF('PATIENT DATA (072721)'!A:A, C150)=0, "X","✓")</f>
        <v>✓</v>
      </c>
      <c r="E150" s="79">
        <f>IFS($C150=FALSE,"",$C150,VLOOKUP($C150,'PATIENT DATA (072721)'!A:C, 3, 0))</f>
        <v>25326</v>
      </c>
      <c r="F150" s="80">
        <v>44630.0</v>
      </c>
      <c r="G150" s="81">
        <f>ifs($C150="","",$C150, VLOOKUP($C150&amp;$F150, 'MARCH - VISIT DATA'!A:O,3,0))</f>
        <v>0.6041666667</v>
      </c>
      <c r="H150" s="83" t="s">
        <v>6560</v>
      </c>
      <c r="I150" s="122" t="str">
        <f>VLOOKUP($C150&amp;$F150,'MARCH - VISIT DATA'!A:J, 9, FALSE)</f>
        <v>TORRES</v>
      </c>
      <c r="J150" s="85" t="str">
        <f>VLOOKUP(C150&amp;F150,'MARCH - VISIT DATA'!A:O,10,FALSE)</f>
        <v>AMBETTER - SUPERIOR</v>
      </c>
      <c r="K150" s="86"/>
      <c r="L150" s="86" t="s">
        <v>6559</v>
      </c>
      <c r="M150" s="86"/>
      <c r="N150" s="86"/>
      <c r="O150" s="121" t="str">
        <f t="shared" si="2"/>
        <v>✓</v>
      </c>
      <c r="P150" s="79" t="str">
        <f t="shared" si="3"/>
        <v>#VALUE!</v>
      </c>
      <c r="Q150" s="123" t="str">
        <f t="shared" si="4"/>
        <v>#VALUE!</v>
      </c>
      <c r="R150" s="124" t="str">
        <f t="shared" si="5"/>
        <v>#VALUE!</v>
      </c>
      <c r="S150" s="125" t="str">
        <f t="shared" si="6"/>
        <v>#VALUE!</v>
      </c>
      <c r="T150" s="125" t="str">
        <f t="shared" si="7"/>
        <v>#VALUE!</v>
      </c>
      <c r="U150" s="83">
        <f t="shared" si="8"/>
        <v>0</v>
      </c>
      <c r="V150" s="88" t="str">
        <f>ifs($N150="",VLOOKUP($C150&amp;$F150,'MARCH - VISIT DATA'!$A$2:$J600,7,FALSE), $N150="SWAB","OUTSA-RW",$N150="SWQU","OUTSA-SaQu", AND($L150="X",$M150="X",$N150="QUEST"),"OUT-UAQPre",$N150="QUEST","OUT-UAQ", $N150="Walk in","ColUATele")</f>
        <v>UA</v>
      </c>
      <c r="W150" s="70" t="str">
        <f t="shared" si="9"/>
        <v>UA : Urine Analysis In House</v>
      </c>
      <c r="X150" s="64" t="str">
        <f t="shared" si="10"/>
        <v>UA : Urine Analysis In House</v>
      </c>
      <c r="Y150" s="64" t="str">
        <f t="shared" si="11"/>
        <v>MATCH</v>
      </c>
      <c r="Z150" s="66" t="str">
        <f t="shared" si="12"/>
        <v> </v>
      </c>
      <c r="AA150" s="71"/>
    </row>
    <row r="151" ht="15.75" customHeight="1">
      <c r="A151" s="56" t="str">
        <f t="shared" si="1"/>
        <v>1829044630</v>
      </c>
      <c r="B151" s="56" t="str">
        <f>IFS($C151=FALSE,"",$C151,VLOOKUP($C151,'PATIENT DATA (072721)'!A:C, 2, 0))</f>
        <v>WHITESIDE, STEPHANIE</v>
      </c>
      <c r="C151" s="57">
        <v>18290.0</v>
      </c>
      <c r="D151" s="127" t="str">
        <f>IF(COUNTIF('PATIENT DATA (072721)'!A:A, C151)=0, "X","✓")</f>
        <v>✓</v>
      </c>
      <c r="E151" s="79">
        <f>IFS($C151=FALSE,"",$C151,VLOOKUP($C151,'PATIENT DATA (072721)'!A:C, 3, 0))</f>
        <v>28181</v>
      </c>
      <c r="F151" s="80">
        <v>44630.0</v>
      </c>
      <c r="G151" s="81">
        <f>ifs($C151="","",$C151, VLOOKUP($C151&amp;$F151, 'MARCH - VISIT DATA'!A:O,3,0))</f>
        <v>0.4479166667</v>
      </c>
      <c r="H151" s="83" t="s">
        <v>6562</v>
      </c>
      <c r="I151" s="122" t="str">
        <f>VLOOKUP($C151&amp;$F151,'MARCH - VISIT DATA'!A:J, 9, FALSE)</f>
        <v>THOMAS</v>
      </c>
      <c r="J151" s="85" t="str">
        <f>VLOOKUP(C151&amp;F151,'MARCH - VISIT DATA'!A:O,10,FALSE)</f>
        <v>MEDICARE TEXAS</v>
      </c>
      <c r="K151" s="86" t="s">
        <v>6559</v>
      </c>
      <c r="L151" s="86"/>
      <c r="M151" s="86"/>
      <c r="N151" s="86"/>
      <c r="O151" s="121" t="str">
        <f t="shared" si="2"/>
        <v>✓</v>
      </c>
      <c r="P151" s="79" t="str">
        <f t="shared" si="3"/>
        <v>#VALUE!</v>
      </c>
      <c r="Q151" s="123" t="str">
        <f t="shared" si="4"/>
        <v>#VALUE!</v>
      </c>
      <c r="R151" s="124" t="str">
        <f t="shared" si="5"/>
        <v>#VALUE!</v>
      </c>
      <c r="S151" s="125" t="str">
        <f t="shared" si="6"/>
        <v>#VALUE!</v>
      </c>
      <c r="T151" s="125" t="str">
        <f t="shared" si="7"/>
        <v>#VALUE!</v>
      </c>
      <c r="U151" s="83">
        <f t="shared" si="8"/>
        <v>0</v>
      </c>
      <c r="V151" s="88" t="str">
        <f>ifs($N151="",VLOOKUP($C151&amp;$F151,'MARCH - VISIT DATA'!$A$2:$J600,7,FALSE), $N151="SWAB","OUTSA-RW",$N151="SWQU","OUTSA-SaQu", AND($L151="X",$M151="X",$N151="QUEST"),"OUT-UAQPre",$N151="QUEST","OUT-UAQ", $N151="Walk in","ColUATele")</f>
        <v>UA-NWPT</v>
      </c>
      <c r="W151" s="70" t="str">
        <f t="shared" si="9"/>
        <v>UA-NWPT : UA New Patient</v>
      </c>
      <c r="X151" s="64" t="str">
        <f t="shared" si="10"/>
        <v>UA-NWPT : UA New Patient</v>
      </c>
      <c r="Y151" s="64" t="str">
        <f t="shared" si="11"/>
        <v>MATCH</v>
      </c>
      <c r="Z151" s="66" t="str">
        <f t="shared" si="12"/>
        <v> </v>
      </c>
      <c r="AA151" s="71"/>
    </row>
    <row r="152" ht="15.75" customHeight="1">
      <c r="A152" s="56" t="str">
        <f t="shared" si="1"/>
        <v>1829244630</v>
      </c>
      <c r="B152" s="56" t="str">
        <f>IFS($C152=FALSE,"",$C152,VLOOKUP($C152,'PATIENT DATA (072721)'!A:C, 2, 0))</f>
        <v>RANGEL, SANDRA H</v>
      </c>
      <c r="C152" s="57">
        <v>18292.0</v>
      </c>
      <c r="D152" s="127" t="str">
        <f>IF(COUNTIF('PATIENT DATA (072721)'!A:A, C152)=0, "X","✓")</f>
        <v>✓</v>
      </c>
      <c r="E152" s="79">
        <f>IFS($C152=FALSE,"",$C152,VLOOKUP($C152,'PATIENT DATA (072721)'!A:C, 3, 0))</f>
        <v>23720</v>
      </c>
      <c r="F152" s="80">
        <v>44630.0</v>
      </c>
      <c r="G152" s="81">
        <f>ifs($C152="","",$C152, VLOOKUP($C152&amp;$F152, 'MARCH - VISIT DATA'!A:O,3,0))</f>
        <v>0.34375</v>
      </c>
      <c r="H152" s="83" t="s">
        <v>6562</v>
      </c>
      <c r="I152" s="122" t="str">
        <f>VLOOKUP($C152&amp;$F152,'MARCH - VISIT DATA'!A:J, 9, FALSE)</f>
        <v>THOMAS</v>
      </c>
      <c r="J152" s="85" t="str">
        <f>VLOOKUP(C152&amp;F152,'MARCH - VISIT DATA'!A:O,10,FALSE)</f>
        <v>BCBSTX PPO</v>
      </c>
      <c r="K152" s="86" t="s">
        <v>6559</v>
      </c>
      <c r="L152" s="86"/>
      <c r="M152" s="86"/>
      <c r="N152" s="86"/>
      <c r="O152" s="121" t="str">
        <f t="shared" si="2"/>
        <v>✓</v>
      </c>
      <c r="P152" s="79" t="str">
        <f t="shared" si="3"/>
        <v>#VALUE!</v>
      </c>
      <c r="Q152" s="123" t="str">
        <f t="shared" si="4"/>
        <v>#VALUE!</v>
      </c>
      <c r="R152" s="124" t="str">
        <f t="shared" si="5"/>
        <v>#VALUE!</v>
      </c>
      <c r="S152" s="125" t="str">
        <f t="shared" si="6"/>
        <v>#VALUE!</v>
      </c>
      <c r="T152" s="125" t="str">
        <f t="shared" si="7"/>
        <v>#VALUE!</v>
      </c>
      <c r="U152" s="83">
        <f t="shared" si="8"/>
        <v>0</v>
      </c>
      <c r="V152" s="88" t="str">
        <f>ifs($N152="",VLOOKUP($C152&amp;$F152,'MARCH - VISIT DATA'!$A$2:$J600,7,FALSE), $N152="SWAB","OUTSA-RW",$N152="SWQU","OUTSA-SaQu", AND($L152="X",$M152="X",$N152="QUEST"),"OUT-UAQPre",$N152="QUEST","OUT-UAQ", $N152="Walk in","ColUATele")</f>
        <v>UA-NWPT</v>
      </c>
      <c r="W152" s="70" t="str">
        <f t="shared" si="9"/>
        <v>UA-NWPT : UA New Patient</v>
      </c>
      <c r="X152" s="64" t="str">
        <f t="shared" si="10"/>
        <v>UA-NWPT : UA New Patient</v>
      </c>
      <c r="Y152" s="64" t="str">
        <f t="shared" si="11"/>
        <v>MATCH</v>
      </c>
      <c r="Z152" s="66" t="str">
        <f t="shared" si="12"/>
        <v> </v>
      </c>
      <c r="AA152" s="71"/>
    </row>
    <row r="153" ht="15.75" customHeight="1">
      <c r="A153" s="56" t="str">
        <f t="shared" si="1"/>
        <v>1830744630</v>
      </c>
      <c r="B153" s="56" t="str">
        <f>IFS($C153=FALSE,"",$C153,VLOOKUP($C153,'PATIENT DATA (072721)'!A:C, 2, 0))</f>
        <v>REVELES, JOSE</v>
      </c>
      <c r="C153" s="57">
        <v>18307.0</v>
      </c>
      <c r="D153" s="127" t="str">
        <f>IF(COUNTIF('PATIENT DATA (072721)'!A:A, C153)=0, "X","✓")</f>
        <v>✓</v>
      </c>
      <c r="E153" s="79">
        <f>IFS($C153=FALSE,"",$C153,VLOOKUP($C153,'PATIENT DATA (072721)'!A:C, 3, 0))</f>
        <v>19623</v>
      </c>
      <c r="F153" s="80">
        <v>44630.0</v>
      </c>
      <c r="G153" s="81">
        <f>ifs($C153="","",$C153, VLOOKUP($C153&amp;$F153, 'MARCH - VISIT DATA'!A:O,3,0))</f>
        <v>0.5416666667</v>
      </c>
      <c r="H153" s="83" t="s">
        <v>6562</v>
      </c>
      <c r="I153" s="122" t="str">
        <f>VLOOKUP($C153&amp;$F153,'MARCH - VISIT DATA'!A:J, 9, FALSE)</f>
        <v>THOMAS</v>
      </c>
      <c r="J153" s="85" t="str">
        <f>VLOOKUP(C153&amp;F153,'MARCH - VISIT DATA'!A:O,10,FALSE)</f>
        <v>MEDICARE TEXAS</v>
      </c>
      <c r="K153" s="86" t="s">
        <v>6559</v>
      </c>
      <c r="L153" s="86"/>
      <c r="M153" s="86"/>
      <c r="N153" s="86"/>
      <c r="O153" s="121" t="str">
        <f t="shared" si="2"/>
        <v>✓</v>
      </c>
      <c r="P153" s="79" t="str">
        <f t="shared" si="3"/>
        <v>#VALUE!</v>
      </c>
      <c r="Q153" s="123" t="str">
        <f t="shared" si="4"/>
        <v>#VALUE!</v>
      </c>
      <c r="R153" s="124" t="str">
        <f t="shared" si="5"/>
        <v>#VALUE!</v>
      </c>
      <c r="S153" s="125" t="str">
        <f t="shared" si="6"/>
        <v>#VALUE!</v>
      </c>
      <c r="T153" s="125" t="str">
        <f t="shared" si="7"/>
        <v>#VALUE!</v>
      </c>
      <c r="U153" s="83">
        <f t="shared" si="8"/>
        <v>0</v>
      </c>
      <c r="V153" s="88" t="str">
        <f>ifs($N153="",VLOOKUP($C153&amp;$F153,'MARCH - VISIT DATA'!$A$2:$J600,7,FALSE), $N153="SWAB","OUTSA-RW",$N153="SWQU","OUTSA-SaQu", AND($L153="X",$M153="X",$N153="QUEST"),"OUT-UAQPre",$N153="QUEST","OUT-UAQ", $N153="Walk in","ColUATele")</f>
        <v>UA-NWPT</v>
      </c>
      <c r="W153" s="70" t="str">
        <f t="shared" si="9"/>
        <v>UA-NWPT : UA New Patient</v>
      </c>
      <c r="X153" s="64" t="str">
        <f t="shared" si="10"/>
        <v>UA-NWPT : UA New Patient</v>
      </c>
      <c r="Y153" s="64" t="str">
        <f t="shared" si="11"/>
        <v>MATCH</v>
      </c>
      <c r="Z153" s="66" t="str">
        <f t="shared" si="12"/>
        <v> </v>
      </c>
      <c r="AA153" s="71"/>
    </row>
    <row r="154" ht="15.75" customHeight="1">
      <c r="A154" s="56" t="str">
        <f t="shared" si="1"/>
        <v>1833244630</v>
      </c>
      <c r="B154" s="56" t="str">
        <f>IFS($C154=FALSE,"",$C154,VLOOKUP($C154,'PATIENT DATA (072721)'!A:C, 2, 0))</f>
        <v>MCKENZIE, KARYN L</v>
      </c>
      <c r="C154" s="57">
        <v>18332.0</v>
      </c>
      <c r="D154" s="127" t="str">
        <f>IF(COUNTIF('PATIENT DATA (072721)'!A:A, C154)=0, "X","✓")</f>
        <v>✓</v>
      </c>
      <c r="E154" s="79">
        <f>IFS($C154=FALSE,"",$C154,VLOOKUP($C154,'PATIENT DATA (072721)'!A:C, 3, 0))</f>
        <v>18431</v>
      </c>
      <c r="F154" s="80">
        <v>44630.0</v>
      </c>
      <c r="G154" s="81">
        <f>ifs($C154="","",$C154, VLOOKUP($C154&amp;$F154, 'MARCH - VISIT DATA'!A:O,3,0))</f>
        <v>0.5416666667</v>
      </c>
      <c r="H154" s="83" t="s">
        <v>6562</v>
      </c>
      <c r="I154" s="122" t="str">
        <f>VLOOKUP($C154&amp;$F154,'MARCH - VISIT DATA'!A:J, 9, FALSE)</f>
        <v>THOMAS</v>
      </c>
      <c r="J154" s="85" t="str">
        <f>VLOOKUP(C154&amp;F154,'MARCH - VISIT DATA'!A:O,10,FALSE)</f>
        <v>MEDICARE TEXAS</v>
      </c>
      <c r="K154" s="86" t="s">
        <v>6559</v>
      </c>
      <c r="L154" s="86"/>
      <c r="M154" s="86"/>
      <c r="N154" s="86"/>
      <c r="O154" s="121" t="str">
        <f t="shared" si="2"/>
        <v>✓</v>
      </c>
      <c r="P154" s="79" t="str">
        <f t="shared" si="3"/>
        <v>#VALUE!</v>
      </c>
      <c r="Q154" s="123" t="str">
        <f t="shared" si="4"/>
        <v>#VALUE!</v>
      </c>
      <c r="R154" s="124" t="str">
        <f t="shared" si="5"/>
        <v>#VALUE!</v>
      </c>
      <c r="S154" s="125" t="str">
        <f t="shared" si="6"/>
        <v>#VALUE!</v>
      </c>
      <c r="T154" s="125" t="str">
        <f t="shared" si="7"/>
        <v>#VALUE!</v>
      </c>
      <c r="U154" s="83">
        <f t="shared" si="8"/>
        <v>0</v>
      </c>
      <c r="V154" s="88" t="str">
        <f>ifs($N154="",VLOOKUP($C154&amp;$F154,'MARCH - VISIT DATA'!$A$2:$J600,7,FALSE), $N154="SWAB","OUTSA-RW",$N154="SWQU","OUTSA-SaQu", AND($L154="X",$M154="X",$N154="QUEST"),"OUT-UAQPre",$N154="QUEST","OUT-UAQ", $N154="Walk in","ColUATele")</f>
        <v>UA-NWPT</v>
      </c>
      <c r="W154" s="70" t="str">
        <f t="shared" si="9"/>
        <v>UA-NWPT : UA New Patient</v>
      </c>
      <c r="X154" s="64" t="str">
        <f t="shared" si="10"/>
        <v>UA-NWPT : UA New Patient</v>
      </c>
      <c r="Y154" s="64" t="str">
        <f t="shared" si="11"/>
        <v>MATCH</v>
      </c>
      <c r="Z154" s="66" t="str">
        <f t="shared" si="12"/>
        <v> </v>
      </c>
      <c r="AA154" s="71"/>
    </row>
    <row r="155" ht="15.75" customHeight="1">
      <c r="A155" s="56" t="str">
        <f t="shared" si="1"/>
        <v>914144631</v>
      </c>
      <c r="B155" s="56" t="str">
        <f>IFS($C155=FALSE,"",$C155,VLOOKUP($C155,'PATIENT DATA (072721)'!A:C, 2, 0))</f>
        <v>ANGUIANO, MONIQUE</v>
      </c>
      <c r="C155" s="57">
        <v>9141.0</v>
      </c>
      <c r="D155" s="127" t="str">
        <f>IF(COUNTIF('PATIENT DATA (072721)'!A:A, C155)=0, "X","✓")</f>
        <v>✓</v>
      </c>
      <c r="E155" s="79">
        <f>IFS($C155=FALSE,"",$C155,VLOOKUP($C155,'PATIENT DATA (072721)'!A:C, 3, 0))</f>
        <v>30758</v>
      </c>
      <c r="F155" s="80">
        <v>44631.0</v>
      </c>
      <c r="G155" s="81">
        <f>ifs($C155="","",$C155, VLOOKUP($C155&amp;$F155, 'MARCH - VISIT DATA'!A:O,3,0))</f>
        <v>0.4479166667</v>
      </c>
      <c r="H155" s="83" t="s">
        <v>6560</v>
      </c>
      <c r="I155" s="122" t="str">
        <f>VLOOKUP($C155&amp;$F155,'MARCH - VISIT DATA'!A:J, 9, FALSE)</f>
        <v>TORRES</v>
      </c>
      <c r="J155" s="85" t="str">
        <f>VLOOKUP(C155&amp;F155,'MARCH - VISIT DATA'!A:O,10,FALSE)</f>
        <v>EL PASO HEALTH PLAN</v>
      </c>
      <c r="K155" s="86"/>
      <c r="L155" s="86" t="s">
        <v>6559</v>
      </c>
      <c r="M155" s="86"/>
      <c r="N155" s="86"/>
      <c r="O155" s="121" t="str">
        <f t="shared" si="2"/>
        <v>✓</v>
      </c>
      <c r="P155" s="79" t="str">
        <f t="shared" si="3"/>
        <v>#VALUE!</v>
      </c>
      <c r="Q155" s="123" t="str">
        <f t="shared" si="4"/>
        <v>#VALUE!</v>
      </c>
      <c r="R155" s="124" t="str">
        <f t="shared" si="5"/>
        <v>#VALUE!</v>
      </c>
      <c r="S155" s="125" t="str">
        <f t="shared" si="6"/>
        <v>#VALUE!</v>
      </c>
      <c r="T155" s="125" t="str">
        <f t="shared" si="7"/>
        <v>#VALUE!</v>
      </c>
      <c r="U155" s="83">
        <f t="shared" si="8"/>
        <v>0</v>
      </c>
      <c r="V155" s="88" t="str">
        <f>ifs($N155="",VLOOKUP($C155&amp;$F155,'MARCH - VISIT DATA'!$A$2:$J600,7,FALSE), $N155="SWAB","OUTSA-RW",$N155="SWQU","OUTSA-SaQu", AND($L155="X",$M155="X",$N155="QUEST"),"OUT-UAQPre",$N155="QUEST","OUT-UAQ", $N155="Walk in","ColUATele")</f>
        <v>UA</v>
      </c>
      <c r="W155" s="70" t="str">
        <f t="shared" si="9"/>
        <v>UA : Urine Analysis In House</v>
      </c>
      <c r="X155" s="64" t="str">
        <f t="shared" si="10"/>
        <v>UA : Urine Analysis In House</v>
      </c>
      <c r="Y155" s="64" t="str">
        <f t="shared" si="11"/>
        <v>MATCH</v>
      </c>
      <c r="Z155" s="66" t="str">
        <f t="shared" si="12"/>
        <v> </v>
      </c>
      <c r="AA155" s="71"/>
    </row>
    <row r="156" ht="15.75" customHeight="1">
      <c r="A156" s="56" t="str">
        <f t="shared" si="1"/>
        <v>917044631</v>
      </c>
      <c r="B156" s="56" t="str">
        <f>IFS($C156=FALSE,"",$C156,VLOOKUP($C156,'PATIENT DATA (072721)'!A:C, 2, 0))</f>
        <v>AGUILAR-RAMOS, FLORENCIO</v>
      </c>
      <c r="C156" s="57">
        <v>9170.0</v>
      </c>
      <c r="D156" s="127" t="str">
        <f>IF(COUNTIF('PATIENT DATA (072721)'!A:A, C156)=0, "X","✓")</f>
        <v>✓</v>
      </c>
      <c r="E156" s="79">
        <f>IFS($C156=FALSE,"",$C156,VLOOKUP($C156,'PATIENT DATA (072721)'!A:C, 3, 0))</f>
        <v>18503</v>
      </c>
      <c r="F156" s="80">
        <v>44631.0</v>
      </c>
      <c r="G156" s="81">
        <f>ifs($C156="","",$C156, VLOOKUP($C156&amp;$F156, 'MARCH - VISIT DATA'!A:O,3,0))</f>
        <v>0.3333333333</v>
      </c>
      <c r="H156" s="83" t="s">
        <v>6560</v>
      </c>
      <c r="I156" s="122" t="str">
        <f>VLOOKUP($C156&amp;$F156,'MARCH - VISIT DATA'!A:J, 9, FALSE)</f>
        <v>TORRES</v>
      </c>
      <c r="J156" s="85" t="str">
        <f>VLOOKUP(C156&amp;F156,'MARCH - VISIT DATA'!A:O,10,FALSE)</f>
        <v>HUMANA GOLD PLUS HMO</v>
      </c>
      <c r="K156" s="86"/>
      <c r="L156" s="86" t="s">
        <v>6559</v>
      </c>
      <c r="M156" s="86"/>
      <c r="N156" s="86"/>
      <c r="O156" s="121" t="str">
        <f t="shared" si="2"/>
        <v>✓</v>
      </c>
      <c r="P156" s="79" t="str">
        <f t="shared" si="3"/>
        <v>#VALUE!</v>
      </c>
      <c r="Q156" s="123" t="str">
        <f t="shared" si="4"/>
        <v>#VALUE!</v>
      </c>
      <c r="R156" s="124" t="str">
        <f t="shared" si="5"/>
        <v>#VALUE!</v>
      </c>
      <c r="S156" s="125" t="str">
        <f t="shared" si="6"/>
        <v>#VALUE!</v>
      </c>
      <c r="T156" s="125" t="str">
        <f t="shared" si="7"/>
        <v>#VALUE!</v>
      </c>
      <c r="U156" s="83">
        <f t="shared" si="8"/>
        <v>0</v>
      </c>
      <c r="V156" s="88" t="str">
        <f>ifs($N156="",VLOOKUP($C156&amp;$F156,'MARCH - VISIT DATA'!$A$2:$J600,7,FALSE), $N156="SWAB","OUTSA-RW",$N156="SWQU","OUTSA-SaQu", AND($L156="X",$M156="X",$N156="QUEST"),"OUT-UAQPre",$N156="QUEST","OUT-UAQ", $N156="Walk in","ColUATele")</f>
        <v>UA</v>
      </c>
      <c r="W156" s="70" t="str">
        <f t="shared" si="9"/>
        <v>UA : Urine Analysis In House</v>
      </c>
      <c r="X156" s="64" t="str">
        <f t="shared" si="10"/>
        <v>UA : Urine Analysis In House</v>
      </c>
      <c r="Y156" s="64" t="str">
        <f t="shared" si="11"/>
        <v>MATCH</v>
      </c>
      <c r="Z156" s="66" t="str">
        <f t="shared" si="12"/>
        <v> </v>
      </c>
      <c r="AA156" s="71"/>
    </row>
    <row r="157" ht="15.75" customHeight="1">
      <c r="A157" s="56" t="str">
        <f t="shared" si="1"/>
        <v>928444631</v>
      </c>
      <c r="B157" s="56" t="str">
        <f>IFS($C157=FALSE,"",$C157,VLOOKUP($C157,'PATIENT DATA (072721)'!A:C, 2, 0))</f>
        <v>SHALLENBERGER, JEAN</v>
      </c>
      <c r="C157" s="57">
        <v>9284.0</v>
      </c>
      <c r="D157" s="127" t="str">
        <f>IF(COUNTIF('PATIENT DATA (072721)'!A:A, C157)=0, "X","✓")</f>
        <v>✓</v>
      </c>
      <c r="E157" s="79">
        <f>IFS($C157=FALSE,"",$C157,VLOOKUP($C157,'PATIENT DATA (072721)'!A:C, 3, 0))</f>
        <v>12876</v>
      </c>
      <c r="F157" s="80">
        <v>44631.0</v>
      </c>
      <c r="G157" s="81">
        <f>ifs($C157="","",$C157, VLOOKUP($C157&amp;$F157, 'MARCH - VISIT DATA'!A:O,3,0))</f>
        <v>0.5729166667</v>
      </c>
      <c r="H157" s="83" t="s">
        <v>6560</v>
      </c>
      <c r="I157" s="122" t="str">
        <f>VLOOKUP($C157&amp;$F157,'MARCH - VISIT DATA'!A:J, 9, FALSE)</f>
        <v>TORRES</v>
      </c>
      <c r="J157" s="85" t="str">
        <f>VLOOKUP(C157&amp;F157,'MARCH - VISIT DATA'!A:O,10,FALSE)</f>
        <v>MEDICARE TEXAS</v>
      </c>
      <c r="K157" s="86"/>
      <c r="L157" s="86" t="s">
        <v>6559</v>
      </c>
      <c r="M157" s="86"/>
      <c r="N157" s="86"/>
      <c r="O157" s="121" t="str">
        <f t="shared" si="2"/>
        <v>✓</v>
      </c>
      <c r="P157" s="79" t="str">
        <f t="shared" si="3"/>
        <v>#VALUE!</v>
      </c>
      <c r="Q157" s="123" t="str">
        <f t="shared" si="4"/>
        <v>#VALUE!</v>
      </c>
      <c r="R157" s="124" t="str">
        <f t="shared" si="5"/>
        <v>#VALUE!</v>
      </c>
      <c r="S157" s="125" t="str">
        <f t="shared" si="6"/>
        <v>#VALUE!</v>
      </c>
      <c r="T157" s="125" t="str">
        <f t="shared" si="7"/>
        <v>#VALUE!</v>
      </c>
      <c r="U157" s="83">
        <f t="shared" si="8"/>
        <v>0</v>
      </c>
      <c r="V157" s="88" t="str">
        <f>ifs($N157="",VLOOKUP($C157&amp;$F157,'MARCH - VISIT DATA'!$A$2:$J600,7,FALSE), $N157="SWAB","OUTSA-RW",$N157="SWQU","OUTSA-SaQu", AND($L157="X",$M157="X",$N157="QUEST"),"OUT-UAQPre",$N157="QUEST","OUT-UAQ", $N157="Walk in","ColUATele")</f>
        <v>UA</v>
      </c>
      <c r="W157" s="70" t="str">
        <f t="shared" si="9"/>
        <v>UA : Urine Analysis In House</v>
      </c>
      <c r="X157" s="64" t="str">
        <f t="shared" si="10"/>
        <v>UA : Urine Analysis In House</v>
      </c>
      <c r="Y157" s="64" t="str">
        <f t="shared" si="11"/>
        <v>MATCH</v>
      </c>
      <c r="Z157" s="66" t="str">
        <f t="shared" si="12"/>
        <v> </v>
      </c>
      <c r="AA157" s="71"/>
    </row>
    <row r="158" ht="15.75" customHeight="1">
      <c r="A158" s="56" t="str">
        <f t="shared" si="1"/>
        <v>962344631</v>
      </c>
      <c r="B158" s="56" t="str">
        <f>IFS($C158=FALSE,"",$C158,VLOOKUP($C158,'PATIENT DATA (072721)'!A:C, 2, 0))</f>
        <v>REBNER, MICHAEL</v>
      </c>
      <c r="C158" s="57">
        <v>9623.0</v>
      </c>
      <c r="D158" s="127" t="str">
        <f>IF(COUNTIF('PATIENT DATA (072721)'!A:A, C158)=0, "X","✓")</f>
        <v>✓</v>
      </c>
      <c r="E158" s="79">
        <f>IFS($C158=FALSE,"",$C158,VLOOKUP($C158,'PATIENT DATA (072721)'!A:C, 3, 0))</f>
        <v>24448</v>
      </c>
      <c r="F158" s="80">
        <v>44631.0</v>
      </c>
      <c r="G158" s="81">
        <f>ifs($C158="","",$C158, VLOOKUP($C158&amp;$F158, 'MARCH - VISIT DATA'!A:O,3,0))</f>
        <v>0.6041666667</v>
      </c>
      <c r="H158" s="83" t="s">
        <v>6558</v>
      </c>
      <c r="I158" s="122" t="str">
        <f>VLOOKUP($C158&amp;$F158,'MARCH - VISIT DATA'!A:J, 9, FALSE)</f>
        <v>MARTINEZ</v>
      </c>
      <c r="J158" s="85" t="str">
        <f>VLOOKUP(C158&amp;F158,'MARCH - VISIT DATA'!A:O,10,FALSE)</f>
        <v>WPS VA - COMMUNITY CARE</v>
      </c>
      <c r="K158" s="86"/>
      <c r="L158" s="86" t="s">
        <v>6559</v>
      </c>
      <c r="M158" s="86"/>
      <c r="N158" s="86"/>
      <c r="O158" s="121" t="str">
        <f t="shared" si="2"/>
        <v>✓</v>
      </c>
      <c r="P158" s="79" t="str">
        <f t="shared" si="3"/>
        <v>#VALUE!</v>
      </c>
      <c r="Q158" s="123" t="str">
        <f t="shared" si="4"/>
        <v>#VALUE!</v>
      </c>
      <c r="R158" s="124" t="str">
        <f t="shared" si="5"/>
        <v>#VALUE!</v>
      </c>
      <c r="S158" s="125" t="str">
        <f t="shared" si="6"/>
        <v>#VALUE!</v>
      </c>
      <c r="T158" s="125" t="str">
        <f t="shared" si="7"/>
        <v>#VALUE!</v>
      </c>
      <c r="U158" s="83">
        <f t="shared" si="8"/>
        <v>0</v>
      </c>
      <c r="V158" s="88" t="str">
        <f>ifs($N158="",VLOOKUP($C158&amp;$F158,'MARCH - VISIT DATA'!$A$2:$J600,7,FALSE), $N158="SWAB","OUTSA-RW",$N158="SWQU","OUTSA-SaQu", AND($L158="X",$M158="X",$N158="QUEST"),"OUT-UAQPre",$N158="QUEST","OUT-UAQ", $N158="Walk in","ColUATele")</f>
        <v>UA</v>
      </c>
      <c r="W158" s="70" t="str">
        <f t="shared" si="9"/>
        <v>UA : Urine Analysis In House</v>
      </c>
      <c r="X158" s="64" t="str">
        <f t="shared" si="10"/>
        <v>UA : Urine Analysis In House</v>
      </c>
      <c r="Y158" s="64" t="str">
        <f t="shared" si="11"/>
        <v>MATCH</v>
      </c>
      <c r="Z158" s="66" t="str">
        <f t="shared" si="12"/>
        <v> </v>
      </c>
      <c r="AA158" s="71"/>
    </row>
    <row r="159" ht="15.75" customHeight="1">
      <c r="A159" s="56" t="str">
        <f t="shared" si="1"/>
        <v>985844631</v>
      </c>
      <c r="B159" s="56" t="str">
        <f>IFS($C159=FALSE,"",$C159,VLOOKUP($C159,'PATIENT DATA (072721)'!A:C, 2, 0))</f>
        <v>CARRILLO, TERESA G</v>
      </c>
      <c r="C159" s="57">
        <v>9858.0</v>
      </c>
      <c r="D159" s="127" t="str">
        <f>IF(COUNTIF('PATIENT DATA (072721)'!A:A, C159)=0, "X","✓")</f>
        <v>✓</v>
      </c>
      <c r="E159" s="79">
        <f>IFS($C159=FALSE,"",$C159,VLOOKUP($C159,'PATIENT DATA (072721)'!A:C, 3, 0))</f>
        <v>13270</v>
      </c>
      <c r="F159" s="80">
        <v>44631.0</v>
      </c>
      <c r="G159" s="81">
        <f>ifs($C159="","",$C159, VLOOKUP($C159&amp;$F159, 'MARCH - VISIT DATA'!A:O,3,0))</f>
        <v>0.625</v>
      </c>
      <c r="H159" s="83" t="s">
        <v>6562</v>
      </c>
      <c r="I159" s="122" t="str">
        <f>VLOOKUP($C159&amp;$F159,'MARCH - VISIT DATA'!A:J, 9, FALSE)</f>
        <v>THOMAS</v>
      </c>
      <c r="J159" s="85" t="str">
        <f>VLOOKUP(C159&amp;F159,'MARCH - VISIT DATA'!A:O,10,FALSE)</f>
        <v>MEDICARE TEXAS</v>
      </c>
      <c r="K159" s="86"/>
      <c r="L159" s="86" t="s">
        <v>6559</v>
      </c>
      <c r="M159" s="86"/>
      <c r="N159" s="86"/>
      <c r="O159" s="121" t="str">
        <f t="shared" si="2"/>
        <v>✓</v>
      </c>
      <c r="P159" s="79" t="str">
        <f t="shared" si="3"/>
        <v>#VALUE!</v>
      </c>
      <c r="Q159" s="123" t="str">
        <f t="shared" si="4"/>
        <v>#VALUE!</v>
      </c>
      <c r="R159" s="124" t="str">
        <f t="shared" si="5"/>
        <v>#VALUE!</v>
      </c>
      <c r="S159" s="125" t="str">
        <f t="shared" si="6"/>
        <v>#VALUE!</v>
      </c>
      <c r="T159" s="125" t="str">
        <f t="shared" si="7"/>
        <v>#VALUE!</v>
      </c>
      <c r="U159" s="83">
        <f t="shared" si="8"/>
        <v>0</v>
      </c>
      <c r="V159" s="88" t="str">
        <f>ifs($N159="",VLOOKUP($C159&amp;$F159,'MARCH - VISIT DATA'!$A$2:$J600,7,FALSE), $N159="SWAB","OUTSA-RW",$N159="SWQU","OUTSA-SaQu", AND($L159="X",$M159="X",$N159="QUEST"),"OUT-UAQPre",$N159="QUEST","OUT-UAQ", $N159="Walk in","ColUATele")</f>
        <v>UA</v>
      </c>
      <c r="W159" s="70" t="str">
        <f t="shared" si="9"/>
        <v>UA : Urine Analysis In House</v>
      </c>
      <c r="X159" s="64" t="str">
        <f t="shared" si="10"/>
        <v>UA : Urine Analysis In House</v>
      </c>
      <c r="Y159" s="64" t="str">
        <f t="shared" si="11"/>
        <v>MATCH</v>
      </c>
      <c r="Z159" s="66" t="str">
        <f t="shared" si="12"/>
        <v> </v>
      </c>
      <c r="AA159" s="71"/>
    </row>
    <row r="160" ht="15.75" customHeight="1">
      <c r="A160" s="56" t="str">
        <f t="shared" si="1"/>
        <v>994544631</v>
      </c>
      <c r="B160" s="56" t="str">
        <f>IFS($C160=FALSE,"",$C160,VLOOKUP($C160,'PATIENT DATA (072721)'!A:C, 2, 0))</f>
        <v>PAZ, JORGE R</v>
      </c>
      <c r="C160" s="57">
        <v>9945.0</v>
      </c>
      <c r="D160" s="127" t="str">
        <f>IF(COUNTIF('PATIENT DATA (072721)'!A:A, C160)=0, "X","✓")</f>
        <v>✓</v>
      </c>
      <c r="E160" s="79">
        <f>IFS($C160=FALSE,"",$C160,VLOOKUP($C160,'PATIENT DATA (072721)'!A:C, 3, 0))</f>
        <v>21443</v>
      </c>
      <c r="F160" s="80">
        <v>44631.0</v>
      </c>
      <c r="G160" s="81">
        <f>ifs($C160="","",$C160, VLOOKUP($C160&amp;$F160, 'MARCH - VISIT DATA'!A:O,3,0))</f>
        <v>0.4583333333</v>
      </c>
      <c r="H160" s="83" t="s">
        <v>6560</v>
      </c>
      <c r="I160" s="122" t="str">
        <f>VLOOKUP($C160&amp;$F160,'MARCH - VISIT DATA'!A:J, 9, FALSE)</f>
        <v>TORRES</v>
      </c>
      <c r="J160" s="85" t="str">
        <f>VLOOKUP(C160&amp;F160,'MARCH - VISIT DATA'!A:O,10,FALSE)</f>
        <v>WPS VA - COMMUNITY CARE</v>
      </c>
      <c r="K160" s="86"/>
      <c r="L160" s="86" t="s">
        <v>6559</v>
      </c>
      <c r="M160" s="86"/>
      <c r="N160" s="86"/>
      <c r="O160" s="121" t="str">
        <f t="shared" si="2"/>
        <v>✓</v>
      </c>
      <c r="P160" s="79" t="str">
        <f t="shared" si="3"/>
        <v>#VALUE!</v>
      </c>
      <c r="Q160" s="123" t="str">
        <f t="shared" si="4"/>
        <v>#VALUE!</v>
      </c>
      <c r="R160" s="124" t="str">
        <f t="shared" si="5"/>
        <v>#VALUE!</v>
      </c>
      <c r="S160" s="125" t="str">
        <f t="shared" si="6"/>
        <v>#VALUE!</v>
      </c>
      <c r="T160" s="125" t="str">
        <f t="shared" si="7"/>
        <v>#VALUE!</v>
      </c>
      <c r="U160" s="83">
        <f t="shared" si="8"/>
        <v>0</v>
      </c>
      <c r="V160" s="88" t="str">
        <f>ifs($N160="",VLOOKUP($C160&amp;$F160,'MARCH - VISIT DATA'!$A$2:$J600,7,FALSE), $N160="SWAB","OUTSA-RW",$N160="SWQU","OUTSA-SaQu", AND($L160="X",$M160="X",$N160="QUEST"),"OUT-UAQPre",$N160="QUEST","OUT-UAQ", $N160="Walk in","ColUATele")</f>
        <v>UA</v>
      </c>
      <c r="W160" s="70" t="str">
        <f t="shared" si="9"/>
        <v>UA : Urine Analysis In House</v>
      </c>
      <c r="X160" s="64" t="str">
        <f t="shared" si="10"/>
        <v>UA : Urine Analysis In House</v>
      </c>
      <c r="Y160" s="64" t="str">
        <f t="shared" si="11"/>
        <v>MATCH</v>
      </c>
      <c r="Z160" s="66" t="str">
        <f t="shared" si="12"/>
        <v> </v>
      </c>
      <c r="AA160" s="71"/>
    </row>
    <row r="161" ht="15.75" customHeight="1">
      <c r="A161" s="56" t="str">
        <f t="shared" si="1"/>
        <v>1015444631</v>
      </c>
      <c r="B161" s="56" t="str">
        <f>IFS($C161=FALSE,"",$C161,VLOOKUP($C161,'PATIENT DATA (072721)'!A:C, 2, 0))</f>
        <v>RETANA, LUIS A</v>
      </c>
      <c r="C161" s="57">
        <v>10154.0</v>
      </c>
      <c r="D161" s="127" t="str">
        <f>IF(COUNTIF('PATIENT DATA (072721)'!A:A, C161)=0, "X","✓")</f>
        <v>✓</v>
      </c>
      <c r="E161" s="79">
        <f>IFS($C161=FALSE,"",$C161,VLOOKUP($C161,'PATIENT DATA (072721)'!A:C, 3, 0))</f>
        <v>18673</v>
      </c>
      <c r="F161" s="80">
        <v>44631.0</v>
      </c>
      <c r="G161" s="81">
        <f>ifs($C161="","",$C161, VLOOKUP($C161&amp;$F161, 'MARCH - VISIT DATA'!A:O,3,0))</f>
        <v>0.5625</v>
      </c>
      <c r="H161" s="83" t="s">
        <v>6560</v>
      </c>
      <c r="I161" s="122" t="str">
        <f>VLOOKUP($C161&amp;$F161,'MARCH - VISIT DATA'!A:J, 9, FALSE)</f>
        <v>TORRES</v>
      </c>
      <c r="J161" s="85" t="str">
        <f>VLOOKUP(C161&amp;F161,'MARCH - VISIT DATA'!A:O,10,FALSE)</f>
        <v>AMERIVANTAGE</v>
      </c>
      <c r="K161" s="86"/>
      <c r="L161" s="86" t="s">
        <v>6559</v>
      </c>
      <c r="M161" s="86"/>
      <c r="N161" s="86"/>
      <c r="O161" s="121" t="str">
        <f t="shared" si="2"/>
        <v>✓</v>
      </c>
      <c r="P161" s="79" t="str">
        <f t="shared" si="3"/>
        <v>#VALUE!</v>
      </c>
      <c r="Q161" s="123" t="str">
        <f t="shared" si="4"/>
        <v>#VALUE!</v>
      </c>
      <c r="R161" s="124" t="str">
        <f t="shared" si="5"/>
        <v>#VALUE!</v>
      </c>
      <c r="S161" s="125" t="str">
        <f t="shared" si="6"/>
        <v>#VALUE!</v>
      </c>
      <c r="T161" s="125" t="str">
        <f t="shared" si="7"/>
        <v>#VALUE!</v>
      </c>
      <c r="U161" s="83">
        <f t="shared" si="8"/>
        <v>0</v>
      </c>
      <c r="V161" s="88" t="str">
        <f>ifs($N161="",VLOOKUP($C161&amp;$F161,'MARCH - VISIT DATA'!$A$2:$J600,7,FALSE), $N161="SWAB","OUTSA-RW",$N161="SWQU","OUTSA-SaQu", AND($L161="X",$M161="X",$N161="QUEST"),"OUT-UAQPre",$N161="QUEST","OUT-UAQ", $N161="Walk in","ColUATele")</f>
        <v>UA</v>
      </c>
      <c r="W161" s="70" t="str">
        <f t="shared" si="9"/>
        <v>UA : Urine Analysis In House</v>
      </c>
      <c r="X161" s="64" t="str">
        <f t="shared" si="10"/>
        <v>UA : Urine Analysis In House</v>
      </c>
      <c r="Y161" s="64" t="str">
        <f t="shared" si="11"/>
        <v>MATCH</v>
      </c>
      <c r="Z161" s="66" t="str">
        <f t="shared" si="12"/>
        <v> </v>
      </c>
      <c r="AA161" s="71"/>
    </row>
    <row r="162" ht="15.75" customHeight="1">
      <c r="A162" s="56" t="str">
        <f t="shared" si="1"/>
        <v>1017644631</v>
      </c>
      <c r="B162" s="56" t="str">
        <f>IFS($C162=FALSE,"",$C162,VLOOKUP($C162,'PATIENT DATA (072721)'!A:C, 2, 0))</f>
        <v>DE LA ROSA, MICHELLE</v>
      </c>
      <c r="C162" s="57">
        <v>10176.0</v>
      </c>
      <c r="D162" s="127" t="str">
        <f>IF(COUNTIF('PATIENT DATA (072721)'!A:A, C162)=0, "X","✓")</f>
        <v>✓</v>
      </c>
      <c r="E162" s="79">
        <f>IFS($C162=FALSE,"",$C162,VLOOKUP($C162,'PATIENT DATA (072721)'!A:C, 3, 0))</f>
        <v>29241</v>
      </c>
      <c r="F162" s="80">
        <v>44631.0</v>
      </c>
      <c r="G162" s="81">
        <f>ifs($C162="","",$C162, VLOOKUP($C162&amp;$F162, 'MARCH - VISIT DATA'!A:O,3,0))</f>
        <v>0.4479166667</v>
      </c>
      <c r="H162" s="83" t="s">
        <v>6558</v>
      </c>
      <c r="I162" s="122" t="str">
        <f>VLOOKUP($C162&amp;$F162,'MARCH - VISIT DATA'!A:J, 9, FALSE)</f>
        <v>MARTINEZ</v>
      </c>
      <c r="J162" s="85" t="str">
        <f>VLOOKUP(C162&amp;F162,'MARCH - VISIT DATA'!A:O,10,FALSE)</f>
        <v>EL PASO HEALTH PLAN</v>
      </c>
      <c r="K162" s="86"/>
      <c r="L162" s="86" t="s">
        <v>6559</v>
      </c>
      <c r="M162" s="86"/>
      <c r="N162" s="86"/>
      <c r="O162" s="121" t="str">
        <f t="shared" si="2"/>
        <v>✓</v>
      </c>
      <c r="P162" s="79" t="str">
        <f t="shared" si="3"/>
        <v>#VALUE!</v>
      </c>
      <c r="Q162" s="123" t="str">
        <f t="shared" si="4"/>
        <v>#VALUE!</v>
      </c>
      <c r="R162" s="124" t="str">
        <f t="shared" si="5"/>
        <v>#VALUE!</v>
      </c>
      <c r="S162" s="125" t="str">
        <f t="shared" si="6"/>
        <v>#VALUE!</v>
      </c>
      <c r="T162" s="125" t="str">
        <f t="shared" si="7"/>
        <v>#VALUE!</v>
      </c>
      <c r="U162" s="83">
        <f t="shared" si="8"/>
        <v>0</v>
      </c>
      <c r="V162" s="88" t="str">
        <f>ifs($N162="",VLOOKUP($C162&amp;$F162,'MARCH - VISIT DATA'!$A$2:$J600,7,FALSE), $N162="SWAB","OUTSA-RW",$N162="SWQU","OUTSA-SaQu", AND($L162="X",$M162="X",$N162="QUEST"),"OUT-UAQPre",$N162="QUEST","OUT-UAQ", $N162="Walk in","ColUATele")</f>
        <v>UA</v>
      </c>
      <c r="W162" s="70" t="str">
        <f t="shared" si="9"/>
        <v>UA : Urine Analysis In House</v>
      </c>
      <c r="X162" s="64" t="str">
        <f t="shared" si="10"/>
        <v>UA : Urine Analysis In House</v>
      </c>
      <c r="Y162" s="64" t="str">
        <f t="shared" si="11"/>
        <v>MATCH</v>
      </c>
      <c r="Z162" s="66" t="str">
        <f t="shared" si="12"/>
        <v> </v>
      </c>
      <c r="AA162" s="71"/>
    </row>
    <row r="163" ht="15.75" hidden="1" customHeight="1">
      <c r="A163" s="56" t="str">
        <f t="shared" si="1"/>
        <v>1027744631</v>
      </c>
      <c r="B163" s="56" t="str">
        <f>IFS($C163=FALSE,"",$C163,VLOOKUP($C163,'PATIENT DATA (072721)'!A:C, 2, 0))</f>
        <v>ANDREWS, THOMAS F</v>
      </c>
      <c r="C163" s="57">
        <v>10277.0</v>
      </c>
      <c r="D163" s="127" t="str">
        <f>IF(COUNTIF('PATIENT DATA (072721)'!A:A, C163)=0, "X","✓")</f>
        <v>✓</v>
      </c>
      <c r="E163" s="79">
        <f>IFS($C163=FALSE,"",$C163,VLOOKUP($C163,'PATIENT DATA (072721)'!A:C, 3, 0))</f>
        <v>19210</v>
      </c>
      <c r="F163" s="80">
        <v>44631.0</v>
      </c>
      <c r="G163" s="81">
        <f>ifs($C163="","",$C163, VLOOKUP($C163&amp;$F163, 'MARCH - VISIT DATA'!A:O,3,0))</f>
        <v>0.3541666667</v>
      </c>
      <c r="H163" s="83" t="s">
        <v>6562</v>
      </c>
      <c r="I163" s="122" t="str">
        <f>VLOOKUP($C163&amp;$F163,'MARCH - VISIT DATA'!A:J, 9, FALSE)</f>
        <v>THOMAS</v>
      </c>
      <c r="J163" s="85" t="str">
        <f>VLOOKUP(C163&amp;F163,'MARCH - VISIT DATA'!A:O,10,FALSE)</f>
        <v>MEDICARE TEXAS</v>
      </c>
      <c r="K163" s="86"/>
      <c r="L163" s="86" t="s">
        <v>6559</v>
      </c>
      <c r="M163" s="86" t="s">
        <v>6559</v>
      </c>
      <c r="N163" s="86"/>
      <c r="O163" s="121" t="str">
        <f t="shared" si="2"/>
        <v>✓</v>
      </c>
      <c r="P163" s="79" t="str">
        <f t="shared" si="3"/>
        <v>#VALUE!</v>
      </c>
      <c r="Q163" s="123" t="str">
        <f t="shared" si="4"/>
        <v>#VALUE!</v>
      </c>
      <c r="R163" s="124" t="str">
        <f t="shared" si="5"/>
        <v>#VALUE!</v>
      </c>
      <c r="S163" s="125" t="str">
        <f t="shared" si="6"/>
        <v>#VALUE!</v>
      </c>
      <c r="T163" s="125" t="str">
        <f t="shared" si="7"/>
        <v>#VALUE!</v>
      </c>
      <c r="U163" s="83">
        <f t="shared" si="8"/>
        <v>0</v>
      </c>
      <c r="V163" s="88" t="str">
        <f>ifs($N163="",VLOOKUP($C163&amp;$F163,'MARCH - VISIT DATA'!$A$2:$J600,7,FALSE), $N163="SWAB","OUTSA-RW",$N163="SWQU","OUTSA-SaQu", AND($L163="X",$M163="X",$N163="QUEST"),"OUT-UAQPre",$N163="QUEST","OUT-UAQ", $N163="Walk in","ColUATele")</f>
        <v>UA-Prelim</v>
      </c>
      <c r="W163" s="70" t="str">
        <f t="shared" si="9"/>
        <v>UA-Prelim : Preliminary UA Test</v>
      </c>
      <c r="X163" s="64" t="str">
        <f t="shared" si="10"/>
        <v>UA-Prelim : Preliminary UA Test</v>
      </c>
      <c r="Y163" s="64" t="str">
        <f t="shared" si="11"/>
        <v>MATCH</v>
      </c>
      <c r="Z163" s="66" t="str">
        <f t="shared" si="12"/>
        <v> </v>
      </c>
      <c r="AA163" s="71"/>
    </row>
    <row r="164" ht="15.75" customHeight="1">
      <c r="A164" s="56" t="str">
        <f t="shared" si="1"/>
        <v>1052544631</v>
      </c>
      <c r="B164" s="56" t="str">
        <f>IFS($C164=FALSE,"",$C164,VLOOKUP($C164,'PATIENT DATA (072721)'!A:C, 2, 0))</f>
        <v>ROMERO, JOSE</v>
      </c>
      <c r="C164" s="57">
        <v>10525.0</v>
      </c>
      <c r="D164" s="127" t="str">
        <f>IF(COUNTIF('PATIENT DATA (072721)'!A:A, C164)=0, "X","✓")</f>
        <v>✓</v>
      </c>
      <c r="E164" s="79">
        <f>IFS($C164=FALSE,"",$C164,VLOOKUP($C164,'PATIENT DATA (072721)'!A:C, 3, 0))</f>
        <v>21713</v>
      </c>
      <c r="F164" s="80">
        <v>44631.0</v>
      </c>
      <c r="G164" s="81">
        <f>ifs($C164="","",$C164, VLOOKUP($C164&amp;$F164, 'MARCH - VISIT DATA'!A:O,3,0))</f>
        <v>0.3333333333</v>
      </c>
      <c r="H164" s="83" t="s">
        <v>6560</v>
      </c>
      <c r="I164" s="122" t="str">
        <f>VLOOKUP($C164&amp;$F164,'MARCH - VISIT DATA'!A:J, 9, FALSE)</f>
        <v>TORRES</v>
      </c>
      <c r="J164" s="85" t="str">
        <f>VLOOKUP(C164&amp;F164,'MARCH - VISIT DATA'!A:O,10,FALSE)</f>
        <v>WPS VA - COMMUNITY CARE</v>
      </c>
      <c r="K164" s="86"/>
      <c r="L164" s="86" t="s">
        <v>6559</v>
      </c>
      <c r="M164" s="86"/>
      <c r="N164" s="86"/>
      <c r="O164" s="121" t="str">
        <f t="shared" si="2"/>
        <v>✓</v>
      </c>
      <c r="P164" s="79" t="str">
        <f t="shared" si="3"/>
        <v>#VALUE!</v>
      </c>
      <c r="Q164" s="123" t="str">
        <f t="shared" si="4"/>
        <v>#VALUE!</v>
      </c>
      <c r="R164" s="124" t="str">
        <f t="shared" si="5"/>
        <v>#VALUE!</v>
      </c>
      <c r="S164" s="125" t="str">
        <f t="shared" si="6"/>
        <v>#VALUE!</v>
      </c>
      <c r="T164" s="125" t="str">
        <f t="shared" si="7"/>
        <v>#VALUE!</v>
      </c>
      <c r="U164" s="83">
        <f t="shared" si="8"/>
        <v>0</v>
      </c>
      <c r="V164" s="88" t="str">
        <f>ifs($N164="",VLOOKUP($C164&amp;$F164,'MARCH - VISIT DATA'!$A$2:$J600,7,FALSE), $N164="SWAB","OUTSA-RW",$N164="SWQU","OUTSA-SaQu", AND($L164="X",$M164="X",$N164="QUEST"),"OUT-UAQPre",$N164="QUEST","OUT-UAQ", $N164="Walk in","ColUATele")</f>
        <v>UA</v>
      </c>
      <c r="W164" s="70" t="str">
        <f t="shared" si="9"/>
        <v>UA : Urine Analysis In House</v>
      </c>
      <c r="X164" s="64" t="str">
        <f t="shared" si="10"/>
        <v>UA : Urine Analysis In House</v>
      </c>
      <c r="Y164" s="64" t="str">
        <f t="shared" si="11"/>
        <v>MATCH</v>
      </c>
      <c r="Z164" s="66" t="str">
        <f t="shared" si="12"/>
        <v> </v>
      </c>
      <c r="AA164" s="71"/>
    </row>
    <row r="165" ht="15.75" customHeight="1">
      <c r="A165" s="56" t="str">
        <f t="shared" si="1"/>
        <v>1103444631</v>
      </c>
      <c r="B165" s="56" t="str">
        <f>IFS($C165=FALSE,"",$C165,VLOOKUP($C165,'PATIENT DATA (072721)'!A:C, 2, 0))</f>
        <v>GUTIERREZ, WENDY</v>
      </c>
      <c r="C165" s="57">
        <v>11034.0</v>
      </c>
      <c r="D165" s="127" t="str">
        <f>IF(COUNTIF('PATIENT DATA (072721)'!A:A, C165)=0, "X","✓")</f>
        <v>✓</v>
      </c>
      <c r="E165" s="79">
        <f>IFS($C165=FALSE,"",$C165,VLOOKUP($C165,'PATIENT DATA (072721)'!A:C, 3, 0))</f>
        <v>27225</v>
      </c>
      <c r="F165" s="80">
        <v>44631.0</v>
      </c>
      <c r="G165" s="81">
        <f>ifs($C165="","",$C165, VLOOKUP($C165&amp;$F165, 'MARCH - VISIT DATA'!A:O,3,0))</f>
        <v>0.40625</v>
      </c>
      <c r="H165" s="83" t="s">
        <v>6558</v>
      </c>
      <c r="I165" s="122" t="str">
        <f>VLOOKUP($C165&amp;$F165,'MARCH - VISIT DATA'!A:J, 9, FALSE)</f>
        <v>MARTINEZ</v>
      </c>
      <c r="J165" s="85" t="str">
        <f>VLOOKUP(C165&amp;F165,'MARCH - VISIT DATA'!A:O,10,FALSE)</f>
        <v>UNITED HEALTH CARE CHOICEPLUS</v>
      </c>
      <c r="K165" s="86"/>
      <c r="L165" s="86" t="s">
        <v>6559</v>
      </c>
      <c r="M165" s="86"/>
      <c r="N165" s="86"/>
      <c r="O165" s="121" t="str">
        <f t="shared" si="2"/>
        <v>✓</v>
      </c>
      <c r="P165" s="79" t="str">
        <f t="shared" si="3"/>
        <v>#VALUE!</v>
      </c>
      <c r="Q165" s="123" t="str">
        <f t="shared" si="4"/>
        <v>#VALUE!</v>
      </c>
      <c r="R165" s="124" t="str">
        <f t="shared" si="5"/>
        <v>#VALUE!</v>
      </c>
      <c r="S165" s="125" t="str">
        <f t="shared" si="6"/>
        <v>#VALUE!</v>
      </c>
      <c r="T165" s="125" t="str">
        <f t="shared" si="7"/>
        <v>#VALUE!</v>
      </c>
      <c r="U165" s="83">
        <f t="shared" si="8"/>
        <v>0</v>
      </c>
      <c r="V165" s="88" t="str">
        <f>ifs($N165="",VLOOKUP($C165&amp;$F165,'MARCH - VISIT DATA'!$A$2:$J600,7,FALSE), $N165="SWAB","OUTSA-RW",$N165="SWQU","OUTSA-SaQu", AND($L165="X",$M165="X",$N165="QUEST"),"OUT-UAQPre",$N165="QUEST","OUT-UAQ", $N165="Walk in","ColUATele")</f>
        <v>UA</v>
      </c>
      <c r="W165" s="70" t="str">
        <f t="shared" si="9"/>
        <v>UA : Urine Analysis In House</v>
      </c>
      <c r="X165" s="64" t="str">
        <f t="shared" si="10"/>
        <v>UA : Urine Analysis In House</v>
      </c>
      <c r="Y165" s="64" t="str">
        <f t="shared" si="11"/>
        <v>MATCH</v>
      </c>
      <c r="Z165" s="66" t="str">
        <f t="shared" si="12"/>
        <v> </v>
      </c>
      <c r="AA165" s="71"/>
    </row>
    <row r="166" ht="15.75" customHeight="1">
      <c r="A166" s="56" t="str">
        <f t="shared" si="1"/>
        <v>1108444631</v>
      </c>
      <c r="B166" s="56" t="str">
        <f>IFS($C166=FALSE,"",$C166,VLOOKUP($C166,'PATIENT DATA (072721)'!A:C, 2, 0))</f>
        <v>TAYLOR, PATRICIA</v>
      </c>
      <c r="C166" s="57">
        <v>11084.0</v>
      </c>
      <c r="D166" s="127" t="str">
        <f>IF(COUNTIF('PATIENT DATA (072721)'!A:A, C166)=0, "X","✓")</f>
        <v>✓</v>
      </c>
      <c r="E166" s="79">
        <f>IFS($C166=FALSE,"",$C166,VLOOKUP($C166,'PATIENT DATA (072721)'!A:C, 3, 0))</f>
        <v>21028</v>
      </c>
      <c r="F166" s="80">
        <v>44631.0</v>
      </c>
      <c r="G166" s="81">
        <f>ifs($C166="","",$C166, VLOOKUP($C166&amp;$F166, 'MARCH - VISIT DATA'!A:O,3,0))</f>
        <v>0.4375</v>
      </c>
      <c r="H166" s="83" t="s">
        <v>6558</v>
      </c>
      <c r="I166" s="122" t="str">
        <f>VLOOKUP($C166&amp;$F166,'MARCH - VISIT DATA'!A:J, 9, FALSE)</f>
        <v>MARTINEZ</v>
      </c>
      <c r="J166" s="85" t="str">
        <f>VLOOKUP(C166&amp;F166,'MARCH - VISIT DATA'!A:O,10,FALSE)</f>
        <v>TRICARE PRIME</v>
      </c>
      <c r="K166" s="86"/>
      <c r="L166" s="86" t="s">
        <v>6559</v>
      </c>
      <c r="M166" s="86"/>
      <c r="N166" s="86"/>
      <c r="O166" s="121" t="str">
        <f t="shared" si="2"/>
        <v>✓</v>
      </c>
      <c r="P166" s="79" t="str">
        <f t="shared" si="3"/>
        <v>#VALUE!</v>
      </c>
      <c r="Q166" s="123" t="str">
        <f t="shared" si="4"/>
        <v>#VALUE!</v>
      </c>
      <c r="R166" s="124" t="str">
        <f t="shared" si="5"/>
        <v>#VALUE!</v>
      </c>
      <c r="S166" s="125" t="str">
        <f t="shared" si="6"/>
        <v>#VALUE!</v>
      </c>
      <c r="T166" s="125" t="str">
        <f t="shared" si="7"/>
        <v>#VALUE!</v>
      </c>
      <c r="U166" s="83">
        <f t="shared" si="8"/>
        <v>0</v>
      </c>
      <c r="V166" s="88" t="str">
        <f>ifs($N166="",VLOOKUP($C166&amp;$F166,'MARCH - VISIT DATA'!$A$2:$J600,7,FALSE), $N166="SWAB","OUTSA-RW",$N166="SWQU","OUTSA-SaQu", AND($L166="X",$M166="X",$N166="QUEST"),"OUT-UAQPre",$N166="QUEST","OUT-UAQ", $N166="Walk in","ColUATele")</f>
        <v>UA</v>
      </c>
      <c r="W166" s="70" t="str">
        <f t="shared" si="9"/>
        <v>UA : Urine Analysis In House</v>
      </c>
      <c r="X166" s="64" t="str">
        <f t="shared" si="10"/>
        <v>UA : Urine Analysis In House</v>
      </c>
      <c r="Y166" s="64" t="str">
        <f t="shared" si="11"/>
        <v>MATCH</v>
      </c>
      <c r="Z166" s="66" t="str">
        <f t="shared" si="12"/>
        <v> </v>
      </c>
      <c r="AA166" s="71"/>
    </row>
    <row r="167" ht="15.75" customHeight="1">
      <c r="A167" s="56" t="str">
        <f t="shared" si="1"/>
        <v>1121844631</v>
      </c>
      <c r="B167" s="56" t="str">
        <f>IFS($C167=FALSE,"",$C167,VLOOKUP($C167,'PATIENT DATA (072721)'!A:C, 2, 0))</f>
        <v>LOPEZ, ENRIQUE</v>
      </c>
      <c r="C167" s="57">
        <v>11218.0</v>
      </c>
      <c r="D167" s="127" t="str">
        <f>IF(COUNTIF('PATIENT DATA (072721)'!A:A, C167)=0, "X","✓")</f>
        <v>✓</v>
      </c>
      <c r="E167" s="79">
        <f>IFS($C167=FALSE,"",$C167,VLOOKUP($C167,'PATIENT DATA (072721)'!A:C, 3, 0))</f>
        <v>20869</v>
      </c>
      <c r="F167" s="80">
        <v>44631.0</v>
      </c>
      <c r="G167" s="81">
        <f>ifs($C167="","",$C167, VLOOKUP($C167&amp;$F167, 'MARCH - VISIT DATA'!A:O,3,0))</f>
        <v>0.3645833333</v>
      </c>
      <c r="H167" s="83" t="s">
        <v>6562</v>
      </c>
      <c r="I167" s="122" t="str">
        <f>VLOOKUP($C167&amp;$F167,'MARCH - VISIT DATA'!A:J, 9, FALSE)</f>
        <v>THOMAS</v>
      </c>
      <c r="J167" s="85" t="str">
        <f>VLOOKUP(C167&amp;F167,'MARCH - VISIT DATA'!A:O,10,FALSE)</f>
        <v>MEDICARE TEXAS</v>
      </c>
      <c r="K167" s="86"/>
      <c r="L167" s="86" t="s">
        <v>6559</v>
      </c>
      <c r="M167" s="86"/>
      <c r="N167" s="86"/>
      <c r="O167" s="121" t="str">
        <f t="shared" si="2"/>
        <v>✓</v>
      </c>
      <c r="P167" s="79" t="str">
        <f t="shared" si="3"/>
        <v>#VALUE!</v>
      </c>
      <c r="Q167" s="123" t="str">
        <f t="shared" si="4"/>
        <v>#VALUE!</v>
      </c>
      <c r="R167" s="124" t="str">
        <f t="shared" si="5"/>
        <v>#VALUE!</v>
      </c>
      <c r="S167" s="125" t="str">
        <f t="shared" si="6"/>
        <v>#VALUE!</v>
      </c>
      <c r="T167" s="125" t="str">
        <f t="shared" si="7"/>
        <v>#VALUE!</v>
      </c>
      <c r="U167" s="83">
        <f t="shared" si="8"/>
        <v>0</v>
      </c>
      <c r="V167" s="88" t="str">
        <f>ifs($N167="",VLOOKUP($C167&amp;$F167,'MARCH - VISIT DATA'!$A$2:$J600,7,FALSE), $N167="SWAB","OUTSA-RW",$N167="SWQU","OUTSA-SaQu", AND($L167="X",$M167="X",$N167="QUEST"),"OUT-UAQPre",$N167="QUEST","OUT-UAQ", $N167="Walk in","ColUATele")</f>
        <v>UA</v>
      </c>
      <c r="W167" s="70" t="str">
        <f t="shared" si="9"/>
        <v>UA : Urine Analysis In House</v>
      </c>
      <c r="X167" s="64" t="str">
        <f t="shared" si="10"/>
        <v>UA : Urine Analysis In House</v>
      </c>
      <c r="Y167" s="64" t="str">
        <f t="shared" si="11"/>
        <v>MATCH</v>
      </c>
      <c r="Z167" s="66" t="str">
        <f t="shared" si="12"/>
        <v> </v>
      </c>
      <c r="AA167" s="71"/>
    </row>
    <row r="168" ht="15.75" hidden="1" customHeight="1">
      <c r="A168" s="56" t="str">
        <f t="shared" si="1"/>
        <v>1188144631</v>
      </c>
      <c r="B168" s="56" t="str">
        <f>IFS($C168=FALSE,"",$C168,VLOOKUP($C168,'PATIENT DATA (072721)'!A:C, 2, 0))</f>
        <v>MCDONALD, JOHN J</v>
      </c>
      <c r="C168" s="57">
        <v>11881.0</v>
      </c>
      <c r="D168" s="127" t="str">
        <f>IF(COUNTIF('PATIENT DATA (072721)'!A:A, C168)=0, "X","✓")</f>
        <v>✓</v>
      </c>
      <c r="E168" s="79">
        <f>IFS($C168=FALSE,"",$C168,VLOOKUP($C168,'PATIENT DATA (072721)'!A:C, 3, 0))</f>
        <v>14449</v>
      </c>
      <c r="F168" s="80">
        <v>44631.0</v>
      </c>
      <c r="G168" s="81">
        <f>ifs($C168="","",$C168, VLOOKUP($C168&amp;$F168, 'MARCH - VISIT DATA'!A:O,3,0))</f>
        <v>0.5625</v>
      </c>
      <c r="H168" s="83" t="s">
        <v>6562</v>
      </c>
      <c r="I168" s="122" t="str">
        <f>VLOOKUP($C168&amp;$F168,'MARCH - VISIT DATA'!A:J, 9, FALSE)</f>
        <v>THOMAS</v>
      </c>
      <c r="J168" s="85" t="str">
        <f>VLOOKUP(C168&amp;F168,'MARCH - VISIT DATA'!A:O,10,FALSE)</f>
        <v>MEDICARE TEXAS</v>
      </c>
      <c r="K168" s="86"/>
      <c r="L168" s="86" t="s">
        <v>6559</v>
      </c>
      <c r="M168" s="86" t="s">
        <v>6559</v>
      </c>
      <c r="N168" s="86"/>
      <c r="O168" s="121" t="str">
        <f t="shared" si="2"/>
        <v>✓</v>
      </c>
      <c r="P168" s="79" t="str">
        <f t="shared" si="3"/>
        <v>#VALUE!</v>
      </c>
      <c r="Q168" s="123" t="str">
        <f t="shared" si="4"/>
        <v>#VALUE!</v>
      </c>
      <c r="R168" s="124" t="str">
        <f t="shared" si="5"/>
        <v>#VALUE!</v>
      </c>
      <c r="S168" s="125" t="str">
        <f t="shared" si="6"/>
        <v>#VALUE!</v>
      </c>
      <c r="T168" s="125" t="str">
        <f t="shared" si="7"/>
        <v>#VALUE!</v>
      </c>
      <c r="U168" s="83">
        <f t="shared" si="8"/>
        <v>0</v>
      </c>
      <c r="V168" s="88" t="str">
        <f>ifs($N168="",VLOOKUP($C168&amp;$F168,'MARCH - VISIT DATA'!$A$2:$J600,7,FALSE), $N168="SWAB","OUTSA-RW",$N168="SWQU","OUTSA-SaQu", AND($L168="X",$M168="X",$N168="QUEST"),"OUT-UAQPre",$N168="QUEST","OUT-UAQ", $N168="Walk in","ColUATele")</f>
        <v>UA-Prelim</v>
      </c>
      <c r="W168" s="70" t="str">
        <f t="shared" si="9"/>
        <v>UA-Prelim : Preliminary UA Test</v>
      </c>
      <c r="X168" s="64" t="str">
        <f t="shared" si="10"/>
        <v>UA-Prelim : Preliminary UA Test</v>
      </c>
      <c r="Y168" s="64" t="str">
        <f t="shared" si="11"/>
        <v>MATCH</v>
      </c>
      <c r="Z168" s="66" t="str">
        <f t="shared" si="12"/>
        <v> </v>
      </c>
      <c r="AA168" s="71"/>
    </row>
    <row r="169" ht="15.75" customHeight="1">
      <c r="A169" s="56" t="str">
        <f t="shared" si="1"/>
        <v>1267544631</v>
      </c>
      <c r="B169" s="56" t="str">
        <f>IFS($C169=FALSE,"",$C169,VLOOKUP($C169,'PATIENT DATA (072721)'!A:C, 2, 0))</f>
        <v>SHELTON, JAMES</v>
      </c>
      <c r="C169" s="57">
        <v>12675.0</v>
      </c>
      <c r="D169" s="127" t="str">
        <f>IF(COUNTIF('PATIENT DATA (072721)'!A:A, C169)=0, "X","✓")</f>
        <v>✓</v>
      </c>
      <c r="E169" s="79">
        <f>IFS($C169=FALSE,"",$C169,VLOOKUP($C169,'PATIENT DATA (072721)'!A:C, 3, 0))</f>
        <v>19718</v>
      </c>
      <c r="F169" s="80">
        <v>44631.0</v>
      </c>
      <c r="G169" s="81">
        <f>ifs($C169="","",$C169, VLOOKUP($C169&amp;$F169, 'MARCH - VISIT DATA'!A:O,3,0))</f>
        <v>0.5833333333</v>
      </c>
      <c r="H169" s="83" t="s">
        <v>6558</v>
      </c>
      <c r="I169" s="122" t="str">
        <f>VLOOKUP($C169&amp;$F169,'MARCH - VISIT DATA'!A:J, 9, FALSE)</f>
        <v>MARTINEZ</v>
      </c>
      <c r="J169" s="85" t="str">
        <f>VLOOKUP(C169&amp;F169,'MARCH - VISIT DATA'!A:O,10,FALSE)</f>
        <v>MEDICARE TEXAS</v>
      </c>
      <c r="K169" s="86"/>
      <c r="L169" s="86" t="s">
        <v>6559</v>
      </c>
      <c r="M169" s="86"/>
      <c r="N169" s="86"/>
      <c r="O169" s="121" t="str">
        <f t="shared" si="2"/>
        <v>✓</v>
      </c>
      <c r="P169" s="79" t="str">
        <f t="shared" si="3"/>
        <v>#VALUE!</v>
      </c>
      <c r="Q169" s="123" t="str">
        <f t="shared" si="4"/>
        <v>#VALUE!</v>
      </c>
      <c r="R169" s="124" t="str">
        <f t="shared" si="5"/>
        <v>#VALUE!</v>
      </c>
      <c r="S169" s="125" t="str">
        <f t="shared" si="6"/>
        <v>#VALUE!</v>
      </c>
      <c r="T169" s="125" t="str">
        <f t="shared" si="7"/>
        <v>#VALUE!</v>
      </c>
      <c r="U169" s="83">
        <f t="shared" si="8"/>
        <v>0</v>
      </c>
      <c r="V169" s="88" t="str">
        <f>ifs($N169="",VLOOKUP($C169&amp;$F169,'MARCH - VISIT DATA'!$A$2:$J600,7,FALSE), $N169="SWAB","OUTSA-RW",$N169="SWQU","OUTSA-SaQu", AND($L169="X",$M169="X",$N169="QUEST"),"OUT-UAQPre",$N169="QUEST","OUT-UAQ", $N169="Walk in","ColUATele")</f>
        <v>UA</v>
      </c>
      <c r="W169" s="70" t="str">
        <f t="shared" si="9"/>
        <v>UA : Urine Analysis In House</v>
      </c>
      <c r="X169" s="64" t="str">
        <f t="shared" si="10"/>
        <v>UA : Urine Analysis In House</v>
      </c>
      <c r="Y169" s="64" t="str">
        <f t="shared" si="11"/>
        <v>MATCH</v>
      </c>
      <c r="Z169" s="66" t="str">
        <f t="shared" si="12"/>
        <v> </v>
      </c>
      <c r="AA169" s="71"/>
    </row>
    <row r="170" ht="15.75" customHeight="1">
      <c r="A170" s="56" t="str">
        <f t="shared" si="1"/>
        <v>1275244631</v>
      </c>
      <c r="B170" s="56" t="str">
        <f>IFS($C170=FALSE,"",$C170,VLOOKUP($C170,'PATIENT DATA (072721)'!A:C, 2, 0))</f>
        <v>GUERRA, ERIKA M</v>
      </c>
      <c r="C170" s="57">
        <v>12752.0</v>
      </c>
      <c r="D170" s="127" t="str">
        <f>IF(COUNTIF('PATIENT DATA (072721)'!A:A, C170)=0, "X","✓")</f>
        <v>✓</v>
      </c>
      <c r="E170" s="79">
        <f>IFS($C170=FALSE,"",$C170,VLOOKUP($C170,'PATIENT DATA (072721)'!A:C, 3, 0))</f>
        <v>25799</v>
      </c>
      <c r="F170" s="80">
        <v>44631.0</v>
      </c>
      <c r="G170" s="81">
        <f>ifs($C170="","",$C170, VLOOKUP($C170&amp;$F170, 'MARCH - VISIT DATA'!A:O,3,0))</f>
        <v>0.6145833333</v>
      </c>
      <c r="H170" s="83" t="s">
        <v>6560</v>
      </c>
      <c r="I170" s="122" t="str">
        <f>VLOOKUP($C170&amp;$F170,'MARCH - VISIT DATA'!A:J, 9, FALSE)</f>
        <v>TORRES</v>
      </c>
      <c r="J170" s="85" t="str">
        <f>VLOOKUP(C170&amp;F170,'MARCH - VISIT DATA'!A:O,10,FALSE)</f>
        <v>BCBS HEALTH SELECT</v>
      </c>
      <c r="K170" s="86"/>
      <c r="L170" s="86" t="s">
        <v>6559</v>
      </c>
      <c r="M170" s="86"/>
      <c r="N170" s="86"/>
      <c r="O170" s="121" t="str">
        <f t="shared" si="2"/>
        <v>✓</v>
      </c>
      <c r="P170" s="79" t="str">
        <f t="shared" si="3"/>
        <v>#VALUE!</v>
      </c>
      <c r="Q170" s="123" t="str">
        <f t="shared" si="4"/>
        <v>#VALUE!</v>
      </c>
      <c r="R170" s="124" t="str">
        <f t="shared" si="5"/>
        <v>#VALUE!</v>
      </c>
      <c r="S170" s="125" t="str">
        <f t="shared" si="6"/>
        <v>#VALUE!</v>
      </c>
      <c r="T170" s="125" t="str">
        <f t="shared" si="7"/>
        <v>#VALUE!</v>
      </c>
      <c r="U170" s="83">
        <f t="shared" si="8"/>
        <v>0</v>
      </c>
      <c r="V170" s="88" t="str">
        <f>ifs($N170="",VLOOKUP($C170&amp;$F170,'MARCH - VISIT DATA'!$A$2:$J600,7,FALSE), $N170="SWAB","OUTSA-RW",$N170="SWQU","OUTSA-SaQu", AND($L170="X",$M170="X",$N170="QUEST"),"OUT-UAQPre",$N170="QUEST","OUT-UAQ", $N170="Walk in","ColUATele")</f>
        <v>UA</v>
      </c>
      <c r="W170" s="70" t="str">
        <f t="shared" si="9"/>
        <v>UA : Urine Analysis In House</v>
      </c>
      <c r="X170" s="64" t="str">
        <f t="shared" si="10"/>
        <v>UA : Urine Analysis In House</v>
      </c>
      <c r="Y170" s="64" t="str">
        <f t="shared" si="11"/>
        <v>MATCH</v>
      </c>
      <c r="Z170" s="66" t="str">
        <f t="shared" si="12"/>
        <v> </v>
      </c>
      <c r="AA170" s="71"/>
    </row>
    <row r="171" ht="15.75" customHeight="1">
      <c r="A171" s="56" t="str">
        <f t="shared" si="1"/>
        <v>1293844631</v>
      </c>
      <c r="B171" s="56" t="str">
        <f>IFS($C171=FALSE,"",$C171,VLOOKUP($C171,'PATIENT DATA (072721)'!A:C, 2, 0))</f>
        <v>CHAVEZ JR, DAVID</v>
      </c>
      <c r="C171" s="57">
        <v>12938.0</v>
      </c>
      <c r="D171" s="127" t="str">
        <f>IF(COUNTIF('PATIENT DATA (072721)'!A:A, C171)=0, "X","✓")</f>
        <v>✓</v>
      </c>
      <c r="E171" s="79">
        <f>IFS($C171=FALSE,"",$C171,VLOOKUP($C171,'PATIENT DATA (072721)'!A:C, 3, 0))</f>
        <v>18084</v>
      </c>
      <c r="F171" s="80">
        <v>44631.0</v>
      </c>
      <c r="G171" s="81">
        <f>ifs($C171="","",$C171, VLOOKUP($C171&amp;$F171, 'MARCH - VISIT DATA'!A:O,3,0))</f>
        <v>0.4583333333</v>
      </c>
      <c r="H171" s="83" t="s">
        <v>6558</v>
      </c>
      <c r="I171" s="122" t="str">
        <f>VLOOKUP($C171&amp;$F171,'MARCH - VISIT DATA'!A:J, 9, FALSE)</f>
        <v>MARTINEZ</v>
      </c>
      <c r="J171" s="85" t="str">
        <f>VLOOKUP(C171&amp;F171,'MARCH - VISIT DATA'!A:O,10,FALSE)</f>
        <v>WPS VA - COMMUNITY CARE</v>
      </c>
      <c r="K171" s="86"/>
      <c r="L171" s="86" t="s">
        <v>6559</v>
      </c>
      <c r="M171" s="86"/>
      <c r="N171" s="86"/>
      <c r="O171" s="121" t="str">
        <f t="shared" si="2"/>
        <v>✓</v>
      </c>
      <c r="P171" s="79" t="str">
        <f t="shared" si="3"/>
        <v>#VALUE!</v>
      </c>
      <c r="Q171" s="123" t="str">
        <f t="shared" si="4"/>
        <v>#VALUE!</v>
      </c>
      <c r="R171" s="124" t="str">
        <f t="shared" si="5"/>
        <v>#VALUE!</v>
      </c>
      <c r="S171" s="125" t="str">
        <f t="shared" si="6"/>
        <v>#VALUE!</v>
      </c>
      <c r="T171" s="125" t="str">
        <f t="shared" si="7"/>
        <v>#VALUE!</v>
      </c>
      <c r="U171" s="83">
        <f t="shared" si="8"/>
        <v>0</v>
      </c>
      <c r="V171" s="88" t="str">
        <f>ifs($N171="",VLOOKUP($C171&amp;$F171,'MARCH - VISIT DATA'!$A$2:$J600,7,FALSE), $N171="SWAB","OUTSA-RW",$N171="SWQU","OUTSA-SaQu", AND($L171="X",$M171="X",$N171="QUEST"),"OUT-UAQPre",$N171="QUEST","OUT-UAQ", $N171="Walk in","ColUATele")</f>
        <v>UA</v>
      </c>
      <c r="W171" s="70" t="str">
        <f t="shared" si="9"/>
        <v>UA : Urine Analysis In House</v>
      </c>
      <c r="X171" s="64" t="str">
        <f t="shared" si="10"/>
        <v>UA : Urine Analysis In House</v>
      </c>
      <c r="Y171" s="64" t="str">
        <f t="shared" si="11"/>
        <v>MATCH</v>
      </c>
      <c r="Z171" s="66" t="str">
        <f t="shared" si="12"/>
        <v> </v>
      </c>
      <c r="AA171" s="71"/>
    </row>
    <row r="172" ht="15.75" customHeight="1">
      <c r="A172" s="56" t="str">
        <f t="shared" si="1"/>
        <v>1329944631</v>
      </c>
      <c r="B172" s="56" t="str">
        <f>IFS($C172=FALSE,"",$C172,VLOOKUP($C172,'PATIENT DATA (072721)'!A:C, 2, 0))</f>
        <v>DOLZINBYRD, CHARLES</v>
      </c>
      <c r="C172" s="57">
        <v>13299.0</v>
      </c>
      <c r="D172" s="127" t="str">
        <f>IF(COUNTIF('PATIENT DATA (072721)'!A:A, C172)=0, "X","✓")</f>
        <v>✓</v>
      </c>
      <c r="E172" s="79">
        <f>IFS($C172=FALSE,"",$C172,VLOOKUP($C172,'PATIENT DATA (072721)'!A:C, 3, 0))</f>
        <v>28288</v>
      </c>
      <c r="F172" s="80">
        <v>44631.0</v>
      </c>
      <c r="G172" s="81">
        <f>ifs($C172="","",$C172, VLOOKUP($C172&amp;$F172, 'MARCH - VISIT DATA'!A:O,3,0))</f>
        <v>0.3645833333</v>
      </c>
      <c r="H172" s="83" t="s">
        <v>6560</v>
      </c>
      <c r="I172" s="122" t="str">
        <f>VLOOKUP($C172&amp;$F172,'MARCH - VISIT DATA'!A:J, 9, FALSE)</f>
        <v>TORRES</v>
      </c>
      <c r="J172" s="85" t="str">
        <f>VLOOKUP(C172&amp;F172,'MARCH - VISIT DATA'!A:O,10,FALSE)</f>
        <v>WPS VA - COMMUNITY CARE</v>
      </c>
      <c r="K172" s="86"/>
      <c r="L172" s="86" t="s">
        <v>6559</v>
      </c>
      <c r="M172" s="86"/>
      <c r="N172" s="86"/>
      <c r="O172" s="121" t="str">
        <f t="shared" si="2"/>
        <v>✓</v>
      </c>
      <c r="P172" s="79" t="str">
        <f t="shared" si="3"/>
        <v>#VALUE!</v>
      </c>
      <c r="Q172" s="123" t="str">
        <f t="shared" si="4"/>
        <v>#VALUE!</v>
      </c>
      <c r="R172" s="124" t="str">
        <f t="shared" si="5"/>
        <v>#VALUE!</v>
      </c>
      <c r="S172" s="125" t="str">
        <f t="shared" si="6"/>
        <v>#VALUE!</v>
      </c>
      <c r="T172" s="125" t="str">
        <f t="shared" si="7"/>
        <v>#VALUE!</v>
      </c>
      <c r="U172" s="83">
        <f t="shared" si="8"/>
        <v>0</v>
      </c>
      <c r="V172" s="88" t="str">
        <f>ifs($N172="",VLOOKUP($C172&amp;$F172,'MARCH - VISIT DATA'!$A$2:$J600,7,FALSE), $N172="SWAB","OUTSA-RW",$N172="SWQU","OUTSA-SaQu", AND($L172="X",$M172="X",$N172="QUEST"),"OUT-UAQPre",$N172="QUEST","OUT-UAQ", $N172="Walk in","ColUATele")</f>
        <v>UA</v>
      </c>
      <c r="W172" s="70" t="str">
        <f t="shared" si="9"/>
        <v>UA : Urine Analysis In House</v>
      </c>
      <c r="X172" s="64" t="str">
        <f t="shared" si="10"/>
        <v>UA : Urine Analysis In House</v>
      </c>
      <c r="Y172" s="64" t="str">
        <f t="shared" si="11"/>
        <v>MATCH</v>
      </c>
      <c r="Z172" s="66" t="str">
        <f t="shared" si="12"/>
        <v> </v>
      </c>
      <c r="AA172" s="71"/>
    </row>
    <row r="173" ht="15.75" hidden="1" customHeight="1">
      <c r="A173" s="56" t="str">
        <f t="shared" si="1"/>
        <v>1389244631</v>
      </c>
      <c r="B173" s="56" t="str">
        <f>IFS($C173=FALSE,"",$C173,VLOOKUP($C173,'PATIENT DATA (072721)'!A:C, 2, 0))</f>
        <v>HUIZAR, DIANA</v>
      </c>
      <c r="C173" s="57">
        <v>13892.0</v>
      </c>
      <c r="D173" s="127" t="str">
        <f>IF(COUNTIF('PATIENT DATA (072721)'!A:A, C173)=0, "X","✓")</f>
        <v>✓</v>
      </c>
      <c r="E173" s="79">
        <f>IFS($C173=FALSE,"",$C173,VLOOKUP($C173,'PATIENT DATA (072721)'!A:C, 3, 0))</f>
        <v>25062</v>
      </c>
      <c r="F173" s="80">
        <v>44631.0</v>
      </c>
      <c r="G173" s="81">
        <f>ifs($C173="","",$C173, VLOOKUP($C173&amp;$F173, 'MARCH - VISIT DATA'!A:O,3,0))</f>
        <v>0.3541666667</v>
      </c>
      <c r="H173" s="83" t="s">
        <v>6560</v>
      </c>
      <c r="I173" s="122" t="str">
        <f>VLOOKUP($C173&amp;$F173,'MARCH - VISIT DATA'!A:J, 9, FALSE)</f>
        <v>TORRES</v>
      </c>
      <c r="J173" s="85" t="str">
        <f>VLOOKUP(C173&amp;F173,'MARCH - VISIT DATA'!A:O,10,FALSE)</f>
        <v>AMERIGROUP</v>
      </c>
      <c r="K173" s="86"/>
      <c r="L173" s="86" t="s">
        <v>6559</v>
      </c>
      <c r="M173" s="86" t="s">
        <v>6559</v>
      </c>
      <c r="N173" s="86"/>
      <c r="O173" s="121" t="str">
        <f t="shared" si="2"/>
        <v>✓</v>
      </c>
      <c r="P173" s="79" t="str">
        <f t="shared" si="3"/>
        <v>#VALUE!</v>
      </c>
      <c r="Q173" s="123" t="str">
        <f t="shared" si="4"/>
        <v>#VALUE!</v>
      </c>
      <c r="R173" s="124" t="str">
        <f t="shared" si="5"/>
        <v>#VALUE!</v>
      </c>
      <c r="S173" s="125" t="str">
        <f t="shared" si="6"/>
        <v>#VALUE!</v>
      </c>
      <c r="T173" s="125" t="str">
        <f t="shared" si="7"/>
        <v>#VALUE!</v>
      </c>
      <c r="U173" s="83">
        <f t="shared" si="8"/>
        <v>0</v>
      </c>
      <c r="V173" s="88" t="str">
        <f>ifs($N173="",VLOOKUP($C173&amp;$F173,'MARCH - VISIT DATA'!$A$2:$J600,7,FALSE), $N173="SWAB","OUTSA-RW",$N173="SWQU","OUTSA-SaQu", AND($L173="X",$M173="X",$N173="QUEST"),"OUT-UAQPre",$N173="QUEST","OUT-UAQ", $N173="Walk in","ColUATele")</f>
        <v>UA-Prelim</v>
      </c>
      <c r="W173" s="70" t="str">
        <f t="shared" si="9"/>
        <v>UA-Prelim : Preliminary UA Test</v>
      </c>
      <c r="X173" s="64" t="str">
        <f t="shared" si="10"/>
        <v>UA-Prelim : Preliminary UA Test</v>
      </c>
      <c r="Y173" s="64" t="str">
        <f t="shared" si="11"/>
        <v>MATCH</v>
      </c>
      <c r="Z173" s="66" t="str">
        <f t="shared" si="12"/>
        <v> </v>
      </c>
      <c r="AA173" s="71"/>
    </row>
    <row r="174" ht="15.75" hidden="1" customHeight="1">
      <c r="A174" s="56" t="str">
        <f t="shared" si="1"/>
        <v>1401944631</v>
      </c>
      <c r="B174" s="56" t="str">
        <f>IFS($C174=FALSE,"",$C174,VLOOKUP($C174,'PATIENT DATA (072721)'!A:C, 2, 0))</f>
        <v>MANZANO, JAVIER</v>
      </c>
      <c r="C174" s="57">
        <v>14019.0</v>
      </c>
      <c r="D174" s="127" t="str">
        <f>IF(COUNTIF('PATIENT DATA (072721)'!A:A, C174)=0, "X","✓")</f>
        <v>✓</v>
      </c>
      <c r="E174" s="79">
        <f>IFS($C174=FALSE,"",$C174,VLOOKUP($C174,'PATIENT DATA (072721)'!A:C, 3, 0))</f>
        <v>23292</v>
      </c>
      <c r="F174" s="80">
        <v>44631.0</v>
      </c>
      <c r="G174" s="81">
        <f>ifs($C174="","",$C174, VLOOKUP($C174&amp;$F174, 'MARCH - VISIT DATA'!A:O,3,0))</f>
        <v>0.375</v>
      </c>
      <c r="H174" s="83" t="s">
        <v>6558</v>
      </c>
      <c r="I174" s="122" t="str">
        <f>VLOOKUP($C174&amp;$F174,'MARCH - VISIT DATA'!A:J, 9, FALSE)</f>
        <v>MARTINEZ</v>
      </c>
      <c r="J174" s="85" t="str">
        <f>VLOOKUP(C174&amp;F174,'MARCH - VISIT DATA'!A:O,10,FALSE)</f>
        <v>WPS VA - COMMUNITY CARE</v>
      </c>
      <c r="K174" s="86"/>
      <c r="L174" s="86" t="s">
        <v>6559</v>
      </c>
      <c r="M174" s="86" t="s">
        <v>6559</v>
      </c>
      <c r="N174" s="86"/>
      <c r="O174" s="121" t="str">
        <f t="shared" si="2"/>
        <v>✓</v>
      </c>
      <c r="P174" s="79" t="str">
        <f t="shared" si="3"/>
        <v>#VALUE!</v>
      </c>
      <c r="Q174" s="123" t="str">
        <f t="shared" si="4"/>
        <v>#VALUE!</v>
      </c>
      <c r="R174" s="124" t="str">
        <f t="shared" si="5"/>
        <v>#VALUE!</v>
      </c>
      <c r="S174" s="125" t="str">
        <f t="shared" si="6"/>
        <v>#VALUE!</v>
      </c>
      <c r="T174" s="125" t="str">
        <f t="shared" si="7"/>
        <v>#VALUE!</v>
      </c>
      <c r="U174" s="83">
        <f t="shared" si="8"/>
        <v>0</v>
      </c>
      <c r="V174" s="88" t="str">
        <f>ifs($N174="",VLOOKUP($C174&amp;$F174,'MARCH - VISIT DATA'!$A$2:$J600,7,FALSE), $N174="SWAB","OUTSA-RW",$N174="SWQU","OUTSA-SaQu", AND($L174="X",$M174="X",$N174="QUEST"),"OUT-UAQPre",$N174="QUEST","OUT-UAQ", $N174="Walk in","ColUATele")</f>
        <v>UA-Prelim</v>
      </c>
      <c r="W174" s="70" t="str">
        <f t="shared" si="9"/>
        <v>UA-Prelim : Preliminary UA Test</v>
      </c>
      <c r="X174" s="64" t="str">
        <f t="shared" si="10"/>
        <v>UA-Prelim : Preliminary UA Test</v>
      </c>
      <c r="Y174" s="64" t="str">
        <f t="shared" si="11"/>
        <v>MATCH</v>
      </c>
      <c r="Z174" s="66" t="str">
        <f t="shared" si="12"/>
        <v> </v>
      </c>
      <c r="AA174" s="71"/>
    </row>
    <row r="175" ht="15.75" customHeight="1">
      <c r="A175" s="56" t="str">
        <f t="shared" si="1"/>
        <v>1457144631</v>
      </c>
      <c r="B175" s="56" t="str">
        <f>IFS($C175=FALSE,"",$C175,VLOOKUP($C175,'PATIENT DATA (072721)'!A:C, 2, 0))</f>
        <v>ESCOBEDO, SAMUEL R</v>
      </c>
      <c r="C175" s="57">
        <v>14571.0</v>
      </c>
      <c r="D175" s="127" t="str">
        <f>IF(COUNTIF('PATIENT DATA (072721)'!A:A, C175)=0, "X","✓")</f>
        <v>✓</v>
      </c>
      <c r="E175" s="79">
        <f>IFS($C175=FALSE,"",$C175,VLOOKUP($C175,'PATIENT DATA (072721)'!A:C, 3, 0))</f>
        <v>25774</v>
      </c>
      <c r="F175" s="80">
        <v>44631.0</v>
      </c>
      <c r="G175" s="81">
        <f>ifs($C175="","",$C175, VLOOKUP($C175&amp;$F175, 'MARCH - VISIT DATA'!A:O,3,0))</f>
        <v>0.4375</v>
      </c>
      <c r="H175" s="83" t="s">
        <v>6558</v>
      </c>
      <c r="I175" s="122" t="str">
        <f>VLOOKUP($C175&amp;$F175,'MARCH - VISIT DATA'!A:J, 9, FALSE)</f>
        <v>MARTINEZ</v>
      </c>
      <c r="J175" s="85" t="str">
        <f>VLOOKUP(C175&amp;F175,'MARCH - VISIT DATA'!A:O,10,FALSE)</f>
        <v>CIGNA OPEN ACCESS PLAN (OAP)</v>
      </c>
      <c r="K175" s="86"/>
      <c r="L175" s="86" t="s">
        <v>6559</v>
      </c>
      <c r="M175" s="86"/>
      <c r="N175" s="86"/>
      <c r="O175" s="121" t="str">
        <f t="shared" si="2"/>
        <v>✓</v>
      </c>
      <c r="P175" s="79" t="str">
        <f t="shared" si="3"/>
        <v>#VALUE!</v>
      </c>
      <c r="Q175" s="123" t="str">
        <f t="shared" si="4"/>
        <v>#VALUE!</v>
      </c>
      <c r="R175" s="124" t="str">
        <f t="shared" si="5"/>
        <v>#VALUE!</v>
      </c>
      <c r="S175" s="125" t="str">
        <f t="shared" si="6"/>
        <v>#VALUE!</v>
      </c>
      <c r="T175" s="125" t="str">
        <f t="shared" si="7"/>
        <v>#VALUE!</v>
      </c>
      <c r="U175" s="83">
        <f t="shared" si="8"/>
        <v>0</v>
      </c>
      <c r="V175" s="88" t="str">
        <f>ifs($N175="",VLOOKUP($C175&amp;$F175,'MARCH - VISIT DATA'!$A$2:$J600,7,FALSE), $N175="SWAB","OUTSA-RW",$N175="SWQU","OUTSA-SaQu", AND($L175="X",$M175="X",$N175="QUEST"),"OUT-UAQPre",$N175="QUEST","OUT-UAQ", $N175="Walk in","ColUATele")</f>
        <v>UA</v>
      </c>
      <c r="W175" s="70" t="str">
        <f t="shared" si="9"/>
        <v>UA : Urine Analysis In House</v>
      </c>
      <c r="X175" s="64" t="str">
        <f t="shared" si="10"/>
        <v>UA : Urine Analysis In House</v>
      </c>
      <c r="Y175" s="64" t="str">
        <f t="shared" si="11"/>
        <v>MATCH</v>
      </c>
      <c r="Z175" s="66" t="str">
        <f t="shared" si="12"/>
        <v> </v>
      </c>
      <c r="AA175" s="71"/>
    </row>
    <row r="176" ht="15.75" customHeight="1">
      <c r="A176" s="56" t="str">
        <f t="shared" si="1"/>
        <v>1466844631</v>
      </c>
      <c r="B176" s="56" t="str">
        <f>IFS($C176=FALSE,"",$C176,VLOOKUP($C176,'PATIENT DATA (072721)'!A:C, 2, 0))</f>
        <v>RODRIGUEZ, FRANCISCA</v>
      </c>
      <c r="C176" s="57">
        <v>14668.0</v>
      </c>
      <c r="D176" s="127" t="str">
        <f>IF(COUNTIF('PATIENT DATA (072721)'!A:A, C176)=0, "X","✓")</f>
        <v>✓</v>
      </c>
      <c r="E176" s="79">
        <f>IFS($C176=FALSE,"",$C176,VLOOKUP($C176,'PATIENT DATA (072721)'!A:C, 3, 0))</f>
        <v>23488</v>
      </c>
      <c r="F176" s="80">
        <v>44631.0</v>
      </c>
      <c r="G176" s="81">
        <f>ifs($C176="","",$C176, VLOOKUP($C176&amp;$F176, 'MARCH - VISIT DATA'!A:O,3,0))</f>
        <v>0.625</v>
      </c>
      <c r="H176" s="83" t="s">
        <v>6560</v>
      </c>
      <c r="I176" s="122" t="str">
        <f>VLOOKUP($C176&amp;$F176,'MARCH - VISIT DATA'!A:J, 9, FALSE)</f>
        <v>TORRES</v>
      </c>
      <c r="J176" s="85" t="str">
        <f>VLOOKUP(C176&amp;F176,'MARCH - VISIT DATA'!A:O,10,FALSE)</f>
        <v>BCBS FEDERAL</v>
      </c>
      <c r="K176" s="86"/>
      <c r="L176" s="86" t="s">
        <v>6559</v>
      </c>
      <c r="M176" s="86"/>
      <c r="N176" s="86"/>
      <c r="O176" s="121" t="str">
        <f t="shared" si="2"/>
        <v>✓</v>
      </c>
      <c r="P176" s="79" t="str">
        <f t="shared" si="3"/>
        <v>#VALUE!</v>
      </c>
      <c r="Q176" s="123" t="str">
        <f t="shared" si="4"/>
        <v>#VALUE!</v>
      </c>
      <c r="R176" s="124" t="str">
        <f t="shared" si="5"/>
        <v>#VALUE!</v>
      </c>
      <c r="S176" s="125" t="str">
        <f t="shared" si="6"/>
        <v>#VALUE!</v>
      </c>
      <c r="T176" s="125" t="str">
        <f t="shared" si="7"/>
        <v>#VALUE!</v>
      </c>
      <c r="U176" s="83">
        <f t="shared" si="8"/>
        <v>0</v>
      </c>
      <c r="V176" s="88" t="str">
        <f>ifs($N176="",VLOOKUP($C176&amp;$F176,'MARCH - VISIT DATA'!$A$2:$J600,7,FALSE), $N176="SWAB","OUTSA-RW",$N176="SWQU","OUTSA-SaQu", AND($L176="X",$M176="X",$N176="QUEST"),"OUT-UAQPre",$N176="QUEST","OUT-UAQ", $N176="Walk in","ColUATele")</f>
        <v>UA</v>
      </c>
      <c r="W176" s="70" t="str">
        <f t="shared" si="9"/>
        <v>UA : Urine Analysis In House</v>
      </c>
      <c r="X176" s="64" t="str">
        <f t="shared" si="10"/>
        <v>UA : Urine Analysis In House</v>
      </c>
      <c r="Y176" s="64" t="str">
        <f t="shared" si="11"/>
        <v>MATCH</v>
      </c>
      <c r="Z176" s="66" t="str">
        <f t="shared" si="12"/>
        <v> </v>
      </c>
      <c r="AA176" s="71"/>
    </row>
    <row r="177" ht="15.75" customHeight="1">
      <c r="A177" s="56" t="str">
        <f t="shared" si="1"/>
        <v>1521644631</v>
      </c>
      <c r="B177" s="56" t="str">
        <f>IFS($C177=FALSE,"",$C177,VLOOKUP($C177,'PATIENT DATA (072721)'!A:C, 2, 0))</f>
        <v>OLIVAS, GREGORIO</v>
      </c>
      <c r="C177" s="57">
        <v>15216.0</v>
      </c>
      <c r="D177" s="127" t="str">
        <f>IF(COUNTIF('PATIENT DATA (072721)'!A:A, C177)=0, "X","✓")</f>
        <v>✓</v>
      </c>
      <c r="E177" s="79">
        <f>IFS($C177=FALSE,"",$C177,VLOOKUP($C177,'PATIENT DATA (072721)'!A:C, 3, 0))</f>
        <v>19488</v>
      </c>
      <c r="F177" s="80">
        <v>44631.0</v>
      </c>
      <c r="G177" s="81">
        <f>ifs($C177="","",$C177, VLOOKUP($C177&amp;$F177, 'MARCH - VISIT DATA'!A:O,3,0))</f>
        <v>0.3333333333</v>
      </c>
      <c r="H177" s="83" t="s">
        <v>6558</v>
      </c>
      <c r="I177" s="122" t="str">
        <f>VLOOKUP($C177&amp;$F177,'MARCH - VISIT DATA'!A:J, 9, FALSE)</f>
        <v>MARTINEZ</v>
      </c>
      <c r="J177" s="85" t="str">
        <f>VLOOKUP(C177&amp;F177,'MARCH - VISIT DATA'!A:O,10,FALSE)</f>
        <v>MEDICARE TEXAS</v>
      </c>
      <c r="K177" s="86"/>
      <c r="L177" s="86" t="s">
        <v>6559</v>
      </c>
      <c r="M177" s="86"/>
      <c r="N177" s="86"/>
      <c r="O177" s="121" t="str">
        <f t="shared" si="2"/>
        <v>✓</v>
      </c>
      <c r="P177" s="79" t="str">
        <f t="shared" si="3"/>
        <v>#VALUE!</v>
      </c>
      <c r="Q177" s="123" t="str">
        <f t="shared" si="4"/>
        <v>#VALUE!</v>
      </c>
      <c r="R177" s="124" t="str">
        <f t="shared" si="5"/>
        <v>#VALUE!</v>
      </c>
      <c r="S177" s="125" t="str">
        <f t="shared" si="6"/>
        <v>#VALUE!</v>
      </c>
      <c r="T177" s="125" t="str">
        <f t="shared" si="7"/>
        <v>#VALUE!</v>
      </c>
      <c r="U177" s="83">
        <f t="shared" si="8"/>
        <v>0</v>
      </c>
      <c r="V177" s="88" t="str">
        <f>ifs($N177="",VLOOKUP($C177&amp;$F177,'MARCH - VISIT DATA'!$A$2:$J600,7,FALSE), $N177="SWAB","OUTSA-RW",$N177="SWQU","OUTSA-SaQu", AND($L177="X",$M177="X",$N177="QUEST"),"OUT-UAQPre",$N177="QUEST","OUT-UAQ", $N177="Walk in","ColUATele")</f>
        <v>UA</v>
      </c>
      <c r="W177" s="70" t="str">
        <f t="shared" si="9"/>
        <v>UA : Urine Analysis In House</v>
      </c>
      <c r="X177" s="64" t="str">
        <f t="shared" si="10"/>
        <v>UA : Urine Analysis In House</v>
      </c>
      <c r="Y177" s="64" t="str">
        <f t="shared" si="11"/>
        <v>MATCH</v>
      </c>
      <c r="Z177" s="66" t="str">
        <f t="shared" si="12"/>
        <v> </v>
      </c>
      <c r="AA177" s="71"/>
    </row>
    <row r="178" ht="15.75" hidden="1" customHeight="1">
      <c r="A178" s="56" t="str">
        <f t="shared" si="1"/>
        <v>1555544631</v>
      </c>
      <c r="B178" s="56" t="str">
        <f>IFS($C178=FALSE,"",$C178,VLOOKUP($C178,'PATIENT DATA (072721)'!A:C, 2, 0))</f>
        <v>PUZIO, ANN M</v>
      </c>
      <c r="C178" s="57">
        <v>15555.0</v>
      </c>
      <c r="D178" s="127" t="str">
        <f>IF(COUNTIF('PATIENT DATA (072721)'!A:A, C178)=0, "X","✓")</f>
        <v>✓</v>
      </c>
      <c r="E178" s="79">
        <f>IFS($C178=FALSE,"",$C178,VLOOKUP($C178,'PATIENT DATA (072721)'!A:C, 3, 0))</f>
        <v>20542</v>
      </c>
      <c r="F178" s="80">
        <v>44631.0</v>
      </c>
      <c r="G178" s="81">
        <f>ifs($C178="","",$C178, VLOOKUP($C178&amp;$F178, 'MARCH - VISIT DATA'!A:O,3,0))</f>
        <v>0.6145833333</v>
      </c>
      <c r="H178" s="83" t="s">
        <v>6558</v>
      </c>
      <c r="I178" s="122" t="str">
        <f>VLOOKUP($C178&amp;$F178,'MARCH - VISIT DATA'!A:J, 9, FALSE)</f>
        <v>MARTINEZ</v>
      </c>
      <c r="J178" s="85" t="str">
        <f>VLOOKUP(C178&amp;F178,'MARCH - VISIT DATA'!A:O,10,FALSE)</f>
        <v>MEDICARE TEXAS</v>
      </c>
      <c r="K178" s="86"/>
      <c r="L178" s="86" t="s">
        <v>6559</v>
      </c>
      <c r="M178" s="86" t="s">
        <v>6559</v>
      </c>
      <c r="N178" s="86"/>
      <c r="O178" s="121" t="str">
        <f t="shared" si="2"/>
        <v>✓</v>
      </c>
      <c r="P178" s="79" t="str">
        <f t="shared" si="3"/>
        <v>#VALUE!</v>
      </c>
      <c r="Q178" s="123" t="str">
        <f t="shared" si="4"/>
        <v>#VALUE!</v>
      </c>
      <c r="R178" s="124" t="str">
        <f t="shared" si="5"/>
        <v>#VALUE!</v>
      </c>
      <c r="S178" s="125" t="str">
        <f t="shared" si="6"/>
        <v>#VALUE!</v>
      </c>
      <c r="T178" s="125" t="str">
        <f t="shared" si="7"/>
        <v>#VALUE!</v>
      </c>
      <c r="U178" s="83">
        <f t="shared" si="8"/>
        <v>0</v>
      </c>
      <c r="V178" s="88" t="str">
        <f>ifs($N178="",VLOOKUP($C178&amp;$F178,'MARCH - VISIT DATA'!$A$2:$J600,7,FALSE), $N178="SWAB","OUTSA-RW",$N178="SWQU","OUTSA-SaQu", AND($L178="X",$M178="X",$N178="QUEST"),"OUT-UAQPre",$N178="QUEST","OUT-UAQ", $N178="Walk in","ColUATele")</f>
        <v>UA-Prelim</v>
      </c>
      <c r="W178" s="70" t="str">
        <f t="shared" si="9"/>
        <v>UA-Prelim : Preliminary UA Test</v>
      </c>
      <c r="X178" s="64" t="str">
        <f t="shared" si="10"/>
        <v>UA-Prelim : Preliminary UA Test</v>
      </c>
      <c r="Y178" s="64" t="str">
        <f t="shared" si="11"/>
        <v>MATCH</v>
      </c>
      <c r="Z178" s="66" t="str">
        <f t="shared" si="12"/>
        <v> </v>
      </c>
      <c r="AA178" s="71"/>
    </row>
    <row r="179" ht="15.75" customHeight="1">
      <c r="A179" s="56" t="str">
        <f t="shared" si="1"/>
        <v>1676344631</v>
      </c>
      <c r="B179" s="56" t="str">
        <f>IFS($C179=FALSE,"",$C179,VLOOKUP($C179,'PATIENT DATA (072721)'!A:C, 2, 0))</f>
        <v>VILLA, MELISSA C</v>
      </c>
      <c r="C179" s="57">
        <v>16763.0</v>
      </c>
      <c r="D179" s="127" t="str">
        <f>IF(COUNTIF('PATIENT DATA (072721)'!A:A, C179)=0, "X","✓")</f>
        <v>✓</v>
      </c>
      <c r="E179" s="79">
        <f>IFS($C179=FALSE,"",$C179,VLOOKUP($C179,'PATIENT DATA (072721)'!A:C, 3, 0))</f>
        <v>25170</v>
      </c>
      <c r="F179" s="80">
        <v>44631.0</v>
      </c>
      <c r="G179" s="81">
        <f>ifs($C179="","",$C179, VLOOKUP($C179&amp;$F179, 'MARCH - VISIT DATA'!A:O,3,0))</f>
        <v>0.4166666667</v>
      </c>
      <c r="H179" s="83" t="s">
        <v>6558</v>
      </c>
      <c r="I179" s="122" t="str">
        <f>VLOOKUP($C179&amp;$F179,'MARCH - VISIT DATA'!A:J, 9, FALSE)</f>
        <v>MARTINEZ</v>
      </c>
      <c r="J179" s="85" t="str">
        <f>VLOOKUP(C179&amp;F179,'MARCH - VISIT DATA'!A:O,10,FALSE)</f>
        <v>AETNA</v>
      </c>
      <c r="K179" s="86"/>
      <c r="L179" s="86" t="s">
        <v>6559</v>
      </c>
      <c r="M179" s="86"/>
      <c r="N179" s="86"/>
      <c r="O179" s="121" t="str">
        <f t="shared" si="2"/>
        <v>✓</v>
      </c>
      <c r="P179" s="79" t="str">
        <f t="shared" si="3"/>
        <v>#VALUE!</v>
      </c>
      <c r="Q179" s="123" t="str">
        <f t="shared" si="4"/>
        <v>#VALUE!</v>
      </c>
      <c r="R179" s="124" t="str">
        <f t="shared" si="5"/>
        <v>#VALUE!</v>
      </c>
      <c r="S179" s="125" t="str">
        <f t="shared" si="6"/>
        <v>#VALUE!</v>
      </c>
      <c r="T179" s="125" t="str">
        <f t="shared" si="7"/>
        <v>#VALUE!</v>
      </c>
      <c r="U179" s="83">
        <f t="shared" si="8"/>
        <v>0</v>
      </c>
      <c r="V179" s="88" t="str">
        <f>ifs($N179="",VLOOKUP($C179&amp;$F179,'MARCH - VISIT DATA'!$A$2:$J600,7,FALSE), $N179="SWAB","OUTSA-RW",$N179="SWQU","OUTSA-SaQu", AND($L179="X",$M179="X",$N179="QUEST"),"OUT-UAQPre",$N179="QUEST","OUT-UAQ", $N179="Walk in","ColUATele")</f>
        <v>UA</v>
      </c>
      <c r="W179" s="70" t="str">
        <f t="shared" si="9"/>
        <v>UA : Urine Analysis In House</v>
      </c>
      <c r="X179" s="64" t="str">
        <f t="shared" si="10"/>
        <v>UA : Urine Analysis In House</v>
      </c>
      <c r="Y179" s="64" t="str">
        <f t="shared" si="11"/>
        <v>MATCH</v>
      </c>
      <c r="Z179" s="66" t="str">
        <f t="shared" si="12"/>
        <v> </v>
      </c>
      <c r="AA179" s="71"/>
    </row>
    <row r="180" ht="15.75" hidden="1" customHeight="1">
      <c r="A180" s="56" t="str">
        <f t="shared" si="1"/>
        <v>1699544631</v>
      </c>
      <c r="B180" s="56" t="str">
        <f>IFS($C180=FALSE,"",$C180,VLOOKUP($C180,'PATIENT DATA (072721)'!A:C, 2, 0))</f>
        <v>FRANCO, PATRICIA S</v>
      </c>
      <c r="C180" s="57">
        <v>16995.0</v>
      </c>
      <c r="D180" s="127" t="str">
        <f>IF(COUNTIF('PATIENT DATA (072721)'!A:A, C180)=0, "X","✓")</f>
        <v>✓</v>
      </c>
      <c r="E180" s="79">
        <f>IFS($C180=FALSE,"",$C180,VLOOKUP($C180,'PATIENT DATA (072721)'!A:C, 3, 0))</f>
        <v>24264</v>
      </c>
      <c r="F180" s="80">
        <v>44631.0</v>
      </c>
      <c r="G180" s="81">
        <f>ifs($C180="","",$C180, VLOOKUP($C180&amp;$F180, 'MARCH - VISIT DATA'!A:O,3,0))</f>
        <v>0.3854166667</v>
      </c>
      <c r="H180" s="83" t="s">
        <v>6560</v>
      </c>
      <c r="I180" s="122" t="str">
        <f>VLOOKUP($C180&amp;$F180,'MARCH - VISIT DATA'!A:J, 9, FALSE)</f>
        <v>TORRES</v>
      </c>
      <c r="J180" s="85" t="str">
        <f>VLOOKUP(C180&amp;F180,'MARCH - VISIT DATA'!A:O,10,FALSE)</f>
        <v>AMERIVANTAGE DUAL</v>
      </c>
      <c r="K180" s="86"/>
      <c r="L180" s="86" t="s">
        <v>6559</v>
      </c>
      <c r="M180" s="86" t="s">
        <v>6559</v>
      </c>
      <c r="N180" s="86"/>
      <c r="O180" s="121" t="str">
        <f t="shared" si="2"/>
        <v>✓</v>
      </c>
      <c r="P180" s="79" t="str">
        <f t="shared" si="3"/>
        <v>#VALUE!</v>
      </c>
      <c r="Q180" s="123" t="str">
        <f t="shared" si="4"/>
        <v>#VALUE!</v>
      </c>
      <c r="R180" s="124" t="str">
        <f t="shared" si="5"/>
        <v>#VALUE!</v>
      </c>
      <c r="S180" s="125" t="str">
        <f t="shared" si="6"/>
        <v>#VALUE!</v>
      </c>
      <c r="T180" s="125" t="str">
        <f t="shared" si="7"/>
        <v>#VALUE!</v>
      </c>
      <c r="U180" s="83">
        <f t="shared" si="8"/>
        <v>0</v>
      </c>
      <c r="V180" s="88" t="str">
        <f>ifs($N180="",VLOOKUP($C180&amp;$F180,'MARCH - VISIT DATA'!$A$2:$J600,7,FALSE), $N180="SWAB","OUTSA-RW",$N180="SWQU","OUTSA-SaQu", AND($L180="X",$M180="X",$N180="QUEST"),"OUT-UAQPre",$N180="QUEST","OUT-UAQ", $N180="Walk in","ColUATele")</f>
        <v>UA-Prelim</v>
      </c>
      <c r="W180" s="70" t="str">
        <f t="shared" si="9"/>
        <v>UA-Prelim : Preliminary UA Test</v>
      </c>
      <c r="X180" s="64" t="str">
        <f t="shared" si="10"/>
        <v>UA-Prelim : Preliminary UA Test</v>
      </c>
      <c r="Y180" s="64" t="str">
        <f t="shared" si="11"/>
        <v>MATCH</v>
      </c>
      <c r="Z180" s="66" t="str">
        <f t="shared" si="12"/>
        <v> </v>
      </c>
      <c r="AA180" s="71"/>
    </row>
    <row r="181" ht="15.75" customHeight="1">
      <c r="A181" s="56" t="str">
        <f t="shared" si="1"/>
        <v>1734344631</v>
      </c>
      <c r="B181" s="56" t="str">
        <f>IFS($C181=FALSE,"",$C181,VLOOKUP($C181,'PATIENT DATA (072721)'!A:C, 2, 0))</f>
        <v>PAULSEN, GUADALUPE</v>
      </c>
      <c r="C181" s="57">
        <v>17343.0</v>
      </c>
      <c r="D181" s="127" t="str">
        <f>IF(COUNTIF('PATIENT DATA (072721)'!A:A, C181)=0, "X","✓")</f>
        <v>✓</v>
      </c>
      <c r="E181" s="79">
        <f>IFS($C181=FALSE,"",$C181,VLOOKUP($C181,'PATIENT DATA (072721)'!A:C, 3, 0))</f>
        <v>26929</v>
      </c>
      <c r="F181" s="80">
        <v>44631.0</v>
      </c>
      <c r="G181" s="81">
        <f>ifs($C181="","",$C181, VLOOKUP($C181&amp;$F181, 'MARCH - VISIT DATA'!A:O,3,0))</f>
        <v>0.4583333333</v>
      </c>
      <c r="H181" s="83" t="s">
        <v>6560</v>
      </c>
      <c r="I181" s="122" t="str">
        <f>VLOOKUP($C181&amp;$F181,'MARCH - VISIT DATA'!A:J, 9, FALSE)</f>
        <v>TORRES</v>
      </c>
      <c r="J181" s="85" t="str">
        <f>VLOOKUP(C181&amp;F181,'MARCH - VISIT DATA'!A:O,10,FALSE)</f>
        <v>TRICARE SELECT</v>
      </c>
      <c r="K181" s="86"/>
      <c r="L181" s="86" t="s">
        <v>6559</v>
      </c>
      <c r="M181" s="86"/>
      <c r="N181" s="86"/>
      <c r="O181" s="121" t="str">
        <f t="shared" si="2"/>
        <v>✓</v>
      </c>
      <c r="P181" s="79" t="str">
        <f t="shared" si="3"/>
        <v>#VALUE!</v>
      </c>
      <c r="Q181" s="123" t="str">
        <f t="shared" si="4"/>
        <v>#VALUE!</v>
      </c>
      <c r="R181" s="124" t="str">
        <f t="shared" si="5"/>
        <v>#VALUE!</v>
      </c>
      <c r="S181" s="125" t="str">
        <f t="shared" si="6"/>
        <v>#VALUE!</v>
      </c>
      <c r="T181" s="125" t="str">
        <f t="shared" si="7"/>
        <v>#VALUE!</v>
      </c>
      <c r="U181" s="83">
        <f t="shared" si="8"/>
        <v>0</v>
      </c>
      <c r="V181" s="88" t="str">
        <f>ifs($N181="",VLOOKUP($C181&amp;$F181,'MARCH - VISIT DATA'!$A$2:$J600,7,FALSE), $N181="SWAB","OUTSA-RW",$N181="SWQU","OUTSA-SaQu", AND($L181="X",$M181="X",$N181="QUEST"),"OUT-UAQPre",$N181="QUEST","OUT-UAQ", $N181="Walk in","ColUATele")</f>
        <v>UA</v>
      </c>
      <c r="W181" s="70" t="str">
        <f t="shared" si="9"/>
        <v>UA : Urine Analysis In House</v>
      </c>
      <c r="X181" s="64" t="str">
        <f t="shared" si="10"/>
        <v>UA : Urine Analysis In House</v>
      </c>
      <c r="Y181" s="64" t="str">
        <f t="shared" si="11"/>
        <v>MATCH</v>
      </c>
      <c r="Z181" s="66" t="str">
        <f t="shared" si="12"/>
        <v> </v>
      </c>
      <c r="AA181" s="71"/>
    </row>
    <row r="182" ht="15.75" customHeight="1">
      <c r="A182" s="56" t="str">
        <f t="shared" si="1"/>
        <v>1770644631</v>
      </c>
      <c r="B182" s="56" t="str">
        <f>IFS($C182=FALSE,"",$C182,VLOOKUP($C182,'PATIENT DATA (072721)'!A:C, 2, 0))</f>
        <v>NUNEZ, MARISELA</v>
      </c>
      <c r="C182" s="57">
        <v>17706.0</v>
      </c>
      <c r="D182" s="127" t="str">
        <f>IF(COUNTIF('PATIENT DATA (072721)'!A:A, C182)=0, "X","✓")</f>
        <v>✓</v>
      </c>
      <c r="E182" s="79">
        <f>IFS($C182=FALSE,"",$C182,VLOOKUP($C182,'PATIENT DATA (072721)'!A:C, 3, 0))</f>
        <v>29355</v>
      </c>
      <c r="F182" s="80">
        <v>44631.0</v>
      </c>
      <c r="G182" s="81">
        <f>ifs($C182="","",$C182, VLOOKUP($C182&amp;$F182, 'MARCH - VISIT DATA'!A:O,3,0))</f>
        <v>0.40625</v>
      </c>
      <c r="H182" s="83" t="s">
        <v>6558</v>
      </c>
      <c r="I182" s="122" t="str">
        <f>VLOOKUP($C182&amp;$F182,'MARCH - VISIT DATA'!A:J, 9, FALSE)</f>
        <v>MARTINEZ</v>
      </c>
      <c r="J182" s="85" t="str">
        <f>VLOOKUP(C182&amp;F182,'MARCH - VISIT DATA'!A:O,10,FALSE)</f>
        <v>EL PASO HEALTH PLAN</v>
      </c>
      <c r="K182" s="86"/>
      <c r="L182" s="86" t="s">
        <v>6559</v>
      </c>
      <c r="M182" s="86"/>
      <c r="N182" s="86"/>
      <c r="O182" s="121" t="str">
        <f t="shared" si="2"/>
        <v>✓</v>
      </c>
      <c r="P182" s="79" t="str">
        <f t="shared" si="3"/>
        <v>#VALUE!</v>
      </c>
      <c r="Q182" s="123" t="str">
        <f t="shared" si="4"/>
        <v>#VALUE!</v>
      </c>
      <c r="R182" s="124" t="str">
        <f t="shared" si="5"/>
        <v>#VALUE!</v>
      </c>
      <c r="S182" s="125" t="str">
        <f t="shared" si="6"/>
        <v>#VALUE!</v>
      </c>
      <c r="T182" s="125" t="str">
        <f t="shared" si="7"/>
        <v>#VALUE!</v>
      </c>
      <c r="U182" s="83">
        <f t="shared" si="8"/>
        <v>0</v>
      </c>
      <c r="V182" s="88" t="str">
        <f>ifs($N182="",VLOOKUP($C182&amp;$F182,'MARCH - VISIT DATA'!$A$2:$J600,7,FALSE), $N182="SWAB","OUTSA-RW",$N182="SWQU","OUTSA-SaQu", AND($L182="X",$M182="X",$N182="QUEST"),"OUT-UAQPre",$N182="QUEST","OUT-UAQ", $N182="Walk in","ColUATele")</f>
        <v>UA</v>
      </c>
      <c r="W182" s="70" t="str">
        <f t="shared" si="9"/>
        <v>UA : Urine Analysis In House</v>
      </c>
      <c r="X182" s="64" t="str">
        <f t="shared" si="10"/>
        <v>UA : Urine Analysis In House</v>
      </c>
      <c r="Y182" s="64" t="str">
        <f t="shared" si="11"/>
        <v>MATCH</v>
      </c>
      <c r="Z182" s="66" t="str">
        <f t="shared" si="12"/>
        <v> </v>
      </c>
      <c r="AA182" s="71"/>
    </row>
    <row r="183" ht="15.75" hidden="1" customHeight="1">
      <c r="A183" s="56" t="str">
        <f t="shared" si="1"/>
        <v>1781244631</v>
      </c>
      <c r="B183" s="56" t="str">
        <f>IFS($C183=FALSE,"",$C183,VLOOKUP($C183,'PATIENT DATA (072721)'!A:C, 2, 0))</f>
        <v>HERRERA, BLAS</v>
      </c>
      <c r="C183" s="57">
        <v>17812.0</v>
      </c>
      <c r="D183" s="127" t="str">
        <f>IF(COUNTIF('PATIENT DATA (072721)'!A:A, C183)=0, "X","✓")</f>
        <v>✓</v>
      </c>
      <c r="E183" s="79">
        <f>IFS($C183=FALSE,"",$C183,VLOOKUP($C183,'PATIENT DATA (072721)'!A:C, 3, 0))</f>
        <v>21219</v>
      </c>
      <c r="F183" s="80">
        <v>44631.0</v>
      </c>
      <c r="G183" s="81">
        <f>ifs($C183="","",$C183, VLOOKUP($C183&amp;$F183, 'MARCH - VISIT DATA'!A:O,3,0))</f>
        <v>0.4166666667</v>
      </c>
      <c r="H183" s="83" t="s">
        <v>6560</v>
      </c>
      <c r="I183" s="122" t="str">
        <f>VLOOKUP($C183&amp;$F183,'MARCH - VISIT DATA'!A:J, 9, FALSE)</f>
        <v>TORRES</v>
      </c>
      <c r="J183" s="85" t="str">
        <f>VLOOKUP(C183&amp;F183,'MARCH - VISIT DATA'!A:O,10,FALSE)</f>
        <v>AMBETTER - SUPERIOR</v>
      </c>
      <c r="K183" s="86"/>
      <c r="L183" s="86" t="s">
        <v>6559</v>
      </c>
      <c r="M183" s="86" t="s">
        <v>6559</v>
      </c>
      <c r="N183" s="86"/>
      <c r="O183" s="121" t="str">
        <f t="shared" si="2"/>
        <v>✓</v>
      </c>
      <c r="P183" s="79" t="str">
        <f t="shared" si="3"/>
        <v>#VALUE!</v>
      </c>
      <c r="Q183" s="123" t="str">
        <f t="shared" si="4"/>
        <v>#VALUE!</v>
      </c>
      <c r="R183" s="124" t="str">
        <f t="shared" si="5"/>
        <v>#VALUE!</v>
      </c>
      <c r="S183" s="125" t="str">
        <f t="shared" si="6"/>
        <v>#VALUE!</v>
      </c>
      <c r="T183" s="125" t="str">
        <f t="shared" si="7"/>
        <v>#VALUE!</v>
      </c>
      <c r="U183" s="83">
        <f t="shared" si="8"/>
        <v>0</v>
      </c>
      <c r="V183" s="88" t="str">
        <f>ifs($N183="",VLOOKUP($C183&amp;$F183,'MARCH - VISIT DATA'!$A$2:$J600,7,FALSE), $N183="SWAB","OUTSA-RW",$N183="SWQU","OUTSA-SaQu", AND($L183="X",$M183="X",$N183="QUEST"),"OUT-UAQPre",$N183="QUEST","OUT-UAQ", $N183="Walk in","ColUATele")</f>
        <v>UA-Prelim</v>
      </c>
      <c r="W183" s="70" t="str">
        <f t="shared" si="9"/>
        <v>UA-Prelim : Preliminary UA Test</v>
      </c>
      <c r="X183" s="64" t="str">
        <f t="shared" si="10"/>
        <v>UA-Prelim : Preliminary UA Test</v>
      </c>
      <c r="Y183" s="64" t="str">
        <f t="shared" si="11"/>
        <v>MATCH</v>
      </c>
      <c r="Z183" s="66" t="str">
        <f t="shared" si="12"/>
        <v> </v>
      </c>
      <c r="AA183" s="71"/>
    </row>
    <row r="184" ht="15.75" hidden="1" customHeight="1">
      <c r="A184" s="56" t="str">
        <f t="shared" si="1"/>
        <v>1784444631</v>
      </c>
      <c r="B184" s="56" t="str">
        <f>IFS($C184=FALSE,"",$C184,VLOOKUP($C184,'PATIENT DATA (072721)'!A:C, 2, 0))</f>
        <v>MULHOLLAND, DEBORAH S</v>
      </c>
      <c r="C184" s="57">
        <v>17844.0</v>
      </c>
      <c r="D184" s="127" t="str">
        <f>IF(COUNTIF('PATIENT DATA (072721)'!A:A, C184)=0, "X","✓")</f>
        <v>✓</v>
      </c>
      <c r="E184" s="79">
        <f>IFS($C184=FALSE,"",$C184,VLOOKUP($C184,'PATIENT DATA (072721)'!A:C, 3, 0))</f>
        <v>30422</v>
      </c>
      <c r="F184" s="80">
        <v>44631.0</v>
      </c>
      <c r="G184" s="81">
        <f>ifs($C184="","",$C184, VLOOKUP($C184&amp;$F184, 'MARCH - VISIT DATA'!A:O,3,0))</f>
        <v>0.375</v>
      </c>
      <c r="H184" s="83" t="s">
        <v>6560</v>
      </c>
      <c r="I184" s="122" t="str">
        <f>VLOOKUP($C184&amp;$F184,'MARCH - VISIT DATA'!A:J, 9, FALSE)</f>
        <v>TORRES</v>
      </c>
      <c r="J184" s="85" t="str">
        <f>VLOOKUP(C184&amp;F184,'MARCH - VISIT DATA'!A:O,10,FALSE)</f>
        <v>AMERIGROUP</v>
      </c>
      <c r="K184" s="86"/>
      <c r="L184" s="86" t="s">
        <v>6559</v>
      </c>
      <c r="M184" s="86" t="s">
        <v>6559</v>
      </c>
      <c r="N184" s="86"/>
      <c r="O184" s="121" t="str">
        <f t="shared" si="2"/>
        <v>✓</v>
      </c>
      <c r="P184" s="79" t="str">
        <f t="shared" si="3"/>
        <v>#VALUE!</v>
      </c>
      <c r="Q184" s="123" t="str">
        <f t="shared" si="4"/>
        <v>#VALUE!</v>
      </c>
      <c r="R184" s="124" t="str">
        <f t="shared" si="5"/>
        <v>#VALUE!</v>
      </c>
      <c r="S184" s="125" t="str">
        <f t="shared" si="6"/>
        <v>#VALUE!</v>
      </c>
      <c r="T184" s="125" t="str">
        <f t="shared" si="7"/>
        <v>#VALUE!</v>
      </c>
      <c r="U184" s="83">
        <f t="shared" si="8"/>
        <v>0</v>
      </c>
      <c r="V184" s="88" t="str">
        <f>ifs($N184="",VLOOKUP($C184&amp;$F184,'MARCH - VISIT DATA'!$A$2:$J600,7,FALSE), $N184="SWAB","OUTSA-RW",$N184="SWQU","OUTSA-SaQu", AND($L184="X",$M184="X",$N184="QUEST"),"OUT-UAQPre",$N184="QUEST","OUT-UAQ", $N184="Walk in","ColUATele")</f>
        <v>UA-Prelim</v>
      </c>
      <c r="W184" s="70" t="str">
        <f t="shared" si="9"/>
        <v>UA-Prelim : Preliminary UA Test</v>
      </c>
      <c r="X184" s="64" t="str">
        <f t="shared" si="10"/>
        <v>UA-Prelim : Preliminary UA Test</v>
      </c>
      <c r="Y184" s="64" t="str">
        <f t="shared" si="11"/>
        <v>MATCH</v>
      </c>
      <c r="Z184" s="66" t="str">
        <f t="shared" si="12"/>
        <v> </v>
      </c>
      <c r="AA184" s="71"/>
    </row>
    <row r="185" ht="15.75" customHeight="1">
      <c r="A185" s="56" t="str">
        <f t="shared" si="1"/>
        <v>919744634</v>
      </c>
      <c r="B185" s="56" t="str">
        <f>IFS($C185=FALSE,"",$C185,VLOOKUP($C185,'PATIENT DATA (072721)'!A:C, 2, 0))</f>
        <v>MENDEZ, JOVITA A</v>
      </c>
      <c r="C185" s="57">
        <v>9197.0</v>
      </c>
      <c r="D185" s="127" t="str">
        <f>IF(COUNTIF('PATIENT DATA (072721)'!A:A, C185)=0, "X","✓")</f>
        <v>✓</v>
      </c>
      <c r="E185" s="79">
        <f>IFS($C185=FALSE,"",$C185,VLOOKUP($C185,'PATIENT DATA (072721)'!A:C, 3, 0))</f>
        <v>17375</v>
      </c>
      <c r="F185" s="80">
        <v>44634.0</v>
      </c>
      <c r="G185" s="81">
        <f>ifs($C185="","",$C185, VLOOKUP($C185&amp;$F185, 'MARCH - VISIT DATA'!A:O,3,0))</f>
        <v>0.3958333333</v>
      </c>
      <c r="H185" s="83" t="s">
        <v>6560</v>
      </c>
      <c r="I185" s="122" t="str">
        <f>VLOOKUP($C185&amp;$F185,'MARCH - VISIT DATA'!A:J, 9, FALSE)</f>
        <v>TORRES</v>
      </c>
      <c r="J185" s="85" t="str">
        <f>VLOOKUP(C185&amp;F185,'MARCH - VISIT DATA'!A:O,10,FALSE)</f>
        <v>MEDICARE TEXAS</v>
      </c>
      <c r="K185" s="86"/>
      <c r="L185" s="86" t="s">
        <v>6559</v>
      </c>
      <c r="M185" s="86"/>
      <c r="N185" s="86"/>
      <c r="O185" s="121" t="str">
        <f t="shared" si="2"/>
        <v>✓</v>
      </c>
      <c r="P185" s="79" t="str">
        <f t="shared" si="3"/>
        <v>#VALUE!</v>
      </c>
      <c r="Q185" s="123" t="str">
        <f t="shared" si="4"/>
        <v>#VALUE!</v>
      </c>
      <c r="R185" s="124" t="str">
        <f t="shared" si="5"/>
        <v>#VALUE!</v>
      </c>
      <c r="S185" s="125" t="str">
        <f t="shared" si="6"/>
        <v>#VALUE!</v>
      </c>
      <c r="T185" s="125" t="str">
        <f t="shared" si="7"/>
        <v>#VALUE!</v>
      </c>
      <c r="U185" s="83">
        <f t="shared" si="8"/>
        <v>0</v>
      </c>
      <c r="V185" s="88" t="str">
        <f>ifs($N185="",VLOOKUP($C185&amp;$F185,'MARCH - VISIT DATA'!$A$2:$J600,7,FALSE), $N185="SWAB","OUTSA-RW",$N185="SWQU","OUTSA-SaQu", AND($L185="X",$M185="X",$N185="QUEST"),"OUT-UAQPre",$N185="QUEST","OUT-UAQ", $N185="Walk in","ColUATele")</f>
        <v>UA</v>
      </c>
      <c r="W185" s="70" t="str">
        <f t="shared" si="9"/>
        <v>UA : Urine Analysis In House</v>
      </c>
      <c r="X185" s="64" t="str">
        <f t="shared" si="10"/>
        <v>UA : Urine Analysis In House</v>
      </c>
      <c r="Y185" s="64" t="str">
        <f t="shared" si="11"/>
        <v>MATCH</v>
      </c>
      <c r="Z185" s="66" t="str">
        <f t="shared" si="12"/>
        <v> </v>
      </c>
      <c r="AA185" s="71"/>
    </row>
    <row r="186" ht="15.75" customHeight="1">
      <c r="A186" s="56" t="str">
        <f t="shared" si="1"/>
        <v>953844634</v>
      </c>
      <c r="B186" s="56" t="str">
        <f>IFS($C186=FALSE,"",$C186,VLOOKUP($C186,'PATIENT DATA (072721)'!A:C, 2, 0))</f>
        <v>PENA, VIRGINIA</v>
      </c>
      <c r="C186" s="57">
        <v>9538.0</v>
      </c>
      <c r="D186" s="127" t="str">
        <f>IF(COUNTIF('PATIENT DATA (072721)'!A:A, C186)=0, "X","✓")</f>
        <v>✓</v>
      </c>
      <c r="E186" s="79">
        <f>IFS($C186=FALSE,"",$C186,VLOOKUP($C186,'PATIENT DATA (072721)'!A:C, 3, 0))</f>
        <v>19933</v>
      </c>
      <c r="F186" s="80">
        <v>44634.0</v>
      </c>
      <c r="G186" s="81">
        <f>ifs($C186="","",$C186, VLOOKUP($C186&amp;$F186, 'MARCH - VISIT DATA'!A:O,3,0))</f>
        <v>0.4375</v>
      </c>
      <c r="H186" s="83" t="s">
        <v>6558</v>
      </c>
      <c r="I186" s="122" t="str">
        <f>VLOOKUP($C186&amp;$F186,'MARCH - VISIT DATA'!A:J, 9, FALSE)</f>
        <v>MARTINEZ</v>
      </c>
      <c r="J186" s="85" t="str">
        <f>VLOOKUP(C186&amp;F186,'MARCH - VISIT DATA'!A:O,10,FALSE)</f>
        <v>AETNA MEDICARE ADVANTAGE</v>
      </c>
      <c r="K186" s="86"/>
      <c r="L186" s="86" t="s">
        <v>6559</v>
      </c>
      <c r="M186" s="86"/>
      <c r="N186" s="86"/>
      <c r="O186" s="121" t="str">
        <f t="shared" si="2"/>
        <v>✓</v>
      </c>
      <c r="P186" s="79" t="str">
        <f t="shared" si="3"/>
        <v>#VALUE!</v>
      </c>
      <c r="Q186" s="123" t="str">
        <f t="shared" si="4"/>
        <v>#VALUE!</v>
      </c>
      <c r="R186" s="124" t="str">
        <f t="shared" si="5"/>
        <v>#VALUE!</v>
      </c>
      <c r="S186" s="125" t="str">
        <f t="shared" si="6"/>
        <v>#VALUE!</v>
      </c>
      <c r="T186" s="125" t="str">
        <f t="shared" si="7"/>
        <v>#VALUE!</v>
      </c>
      <c r="U186" s="83">
        <f t="shared" si="8"/>
        <v>0</v>
      </c>
      <c r="V186" s="88" t="str">
        <f>ifs($N186="",VLOOKUP($C186&amp;$F186,'MARCH - VISIT DATA'!$A$2:$J600,7,FALSE), $N186="SWAB","OUTSA-RW",$N186="SWQU","OUTSA-SaQu", AND($L186="X",$M186="X",$N186="QUEST"),"OUT-UAQPre",$N186="QUEST","OUT-UAQ", $N186="Walk in","ColUATele")</f>
        <v>UA</v>
      </c>
      <c r="W186" s="70" t="str">
        <f t="shared" si="9"/>
        <v>UA : Urine Analysis In House</v>
      </c>
      <c r="X186" s="64" t="str">
        <f t="shared" si="10"/>
        <v>UA : Urine Analysis In House</v>
      </c>
      <c r="Y186" s="64" t="str">
        <f t="shared" si="11"/>
        <v>MATCH</v>
      </c>
      <c r="Z186" s="66" t="str">
        <f t="shared" si="12"/>
        <v> </v>
      </c>
      <c r="AA186" s="71"/>
    </row>
    <row r="187" ht="15.75" customHeight="1">
      <c r="A187" s="56" t="str">
        <f t="shared" si="1"/>
        <v>976044634</v>
      </c>
      <c r="B187" s="56" t="str">
        <f>IFS($C187=FALSE,"",$C187,VLOOKUP($C187,'PATIENT DATA (072721)'!A:C, 2, 0))</f>
        <v>ORTIZ, ORLANDO</v>
      </c>
      <c r="C187" s="57">
        <v>9760.0</v>
      </c>
      <c r="D187" s="127" t="str">
        <f>IF(COUNTIF('PATIENT DATA (072721)'!A:A, C187)=0, "X","✓")</f>
        <v>✓</v>
      </c>
      <c r="E187" s="79">
        <f>IFS($C187=FALSE,"",$C187,VLOOKUP($C187,'PATIENT DATA (072721)'!A:C, 3, 0))</f>
        <v>20490</v>
      </c>
      <c r="F187" s="80">
        <v>44634.0</v>
      </c>
      <c r="G187" s="81">
        <f>ifs($C187="","",$C187, VLOOKUP($C187&amp;$F187, 'MARCH - VISIT DATA'!A:O,3,0))</f>
        <v>0.3645833333</v>
      </c>
      <c r="H187" s="83" t="s">
        <v>6558</v>
      </c>
      <c r="I187" s="122" t="str">
        <f>VLOOKUP($C187&amp;$F187,'MARCH - VISIT DATA'!A:J, 9, FALSE)</f>
        <v>MARTINEZ</v>
      </c>
      <c r="J187" s="85" t="str">
        <f>VLOOKUP(C187&amp;F187,'MARCH - VISIT DATA'!A:O,10,FALSE)</f>
        <v>WPS VA - COMMUNITY CARE</v>
      </c>
      <c r="K187" s="86"/>
      <c r="L187" s="86" t="s">
        <v>6559</v>
      </c>
      <c r="M187" s="86"/>
      <c r="N187" s="86"/>
      <c r="O187" s="121" t="str">
        <f t="shared" si="2"/>
        <v>✓</v>
      </c>
      <c r="P187" s="79" t="str">
        <f t="shared" si="3"/>
        <v>#VALUE!</v>
      </c>
      <c r="Q187" s="123" t="str">
        <f t="shared" si="4"/>
        <v>#VALUE!</v>
      </c>
      <c r="R187" s="124" t="str">
        <f t="shared" si="5"/>
        <v>#VALUE!</v>
      </c>
      <c r="S187" s="125" t="str">
        <f t="shared" si="6"/>
        <v>#VALUE!</v>
      </c>
      <c r="T187" s="125" t="str">
        <f t="shared" si="7"/>
        <v>#VALUE!</v>
      </c>
      <c r="U187" s="83">
        <f t="shared" si="8"/>
        <v>0</v>
      </c>
      <c r="V187" s="88" t="str">
        <f>ifs($N187="",VLOOKUP($C187&amp;$F187,'MARCH - VISIT DATA'!$A$2:$J600,7,FALSE), $N187="SWAB","OUTSA-RW",$N187="SWQU","OUTSA-SaQu", AND($L187="X",$M187="X",$N187="QUEST"),"OUT-UAQPre",$N187="QUEST","OUT-UAQ", $N187="Walk in","ColUATele")</f>
        <v>UA</v>
      </c>
      <c r="W187" s="70" t="str">
        <f t="shared" si="9"/>
        <v>UA : Urine Analysis In House</v>
      </c>
      <c r="X187" s="64" t="str">
        <f t="shared" si="10"/>
        <v>UA : Urine Analysis In House</v>
      </c>
      <c r="Y187" s="64" t="str">
        <f t="shared" si="11"/>
        <v>MATCH</v>
      </c>
      <c r="Z187" s="66" t="str">
        <f t="shared" si="12"/>
        <v> </v>
      </c>
      <c r="AA187" s="71"/>
    </row>
    <row r="188" ht="15.75" customHeight="1">
      <c r="A188" s="56" t="str">
        <f t="shared" si="1"/>
        <v>1011444634</v>
      </c>
      <c r="B188" s="56" t="str">
        <f>IFS($C188=FALSE,"",$C188,VLOOKUP($C188,'PATIENT DATA (072721)'!A:C, 2, 0))</f>
        <v>VALENZUELA, SILVIA</v>
      </c>
      <c r="C188" s="57">
        <v>10114.0</v>
      </c>
      <c r="D188" s="127" t="str">
        <f>IF(COUNTIF('PATIENT DATA (072721)'!A:A, C188)=0, "X","✓")</f>
        <v>✓</v>
      </c>
      <c r="E188" s="79">
        <f>IFS($C188=FALSE,"",$C188,VLOOKUP($C188,'PATIENT DATA (072721)'!A:C, 3, 0))</f>
        <v>21405</v>
      </c>
      <c r="F188" s="80">
        <v>44634.0</v>
      </c>
      <c r="G188" s="81">
        <f>ifs($C188="","",$C188, VLOOKUP($C188&amp;$F188, 'MARCH - VISIT DATA'!A:O,3,0))</f>
        <v>0.4166666667</v>
      </c>
      <c r="H188" s="83" t="s">
        <v>6560</v>
      </c>
      <c r="I188" s="122" t="str">
        <f>VLOOKUP($C188&amp;$F188,'MARCH - VISIT DATA'!A:J, 9, FALSE)</f>
        <v>TORRES</v>
      </c>
      <c r="J188" s="85" t="str">
        <f>VLOOKUP(C188&amp;F188,'MARCH - VISIT DATA'!A:O,10,FALSE)</f>
        <v>AMERIGROUP</v>
      </c>
      <c r="K188" s="86"/>
      <c r="L188" s="86" t="s">
        <v>6559</v>
      </c>
      <c r="M188" s="86"/>
      <c r="N188" s="86"/>
      <c r="O188" s="121" t="str">
        <f t="shared" si="2"/>
        <v>✓</v>
      </c>
      <c r="P188" s="79" t="str">
        <f t="shared" si="3"/>
        <v>#VALUE!</v>
      </c>
      <c r="Q188" s="123" t="str">
        <f t="shared" si="4"/>
        <v>#VALUE!</v>
      </c>
      <c r="R188" s="124" t="str">
        <f t="shared" si="5"/>
        <v>#VALUE!</v>
      </c>
      <c r="S188" s="125" t="str">
        <f t="shared" si="6"/>
        <v>#VALUE!</v>
      </c>
      <c r="T188" s="125" t="str">
        <f t="shared" si="7"/>
        <v>#VALUE!</v>
      </c>
      <c r="U188" s="83">
        <f t="shared" si="8"/>
        <v>0</v>
      </c>
      <c r="V188" s="88" t="str">
        <f>ifs($N188="",VLOOKUP($C188&amp;$F188,'MARCH - VISIT DATA'!$A$2:$J600,7,FALSE), $N188="SWAB","OUTSA-RW",$N188="SWQU","OUTSA-SaQu", AND($L188="X",$M188="X",$N188="QUEST"),"OUT-UAQPre",$N188="QUEST","OUT-UAQ", $N188="Walk in","ColUATele")</f>
        <v>UA</v>
      </c>
      <c r="W188" s="70" t="str">
        <f t="shared" si="9"/>
        <v>UA : Urine Analysis In House</v>
      </c>
      <c r="X188" s="64" t="str">
        <f t="shared" si="10"/>
        <v>UA : Urine Analysis In House</v>
      </c>
      <c r="Y188" s="64" t="str">
        <f t="shared" si="11"/>
        <v>MATCH</v>
      </c>
      <c r="Z188" s="66" t="str">
        <f t="shared" si="12"/>
        <v> </v>
      </c>
      <c r="AA188" s="71"/>
    </row>
    <row r="189" ht="15.75" customHeight="1">
      <c r="A189" s="56" t="str">
        <f t="shared" si="1"/>
        <v>1027344634</v>
      </c>
      <c r="B189" s="56" t="str">
        <f>IFS($C189=FALSE,"",$C189,VLOOKUP($C189,'PATIENT DATA (072721)'!A:C, 2, 0))</f>
        <v>ROBERTS, SANTIAGO</v>
      </c>
      <c r="C189" s="57">
        <v>10273.0</v>
      </c>
      <c r="D189" s="127" t="str">
        <f>IF(COUNTIF('PATIENT DATA (072721)'!A:A, C189)=0, "X","✓")</f>
        <v>✓</v>
      </c>
      <c r="E189" s="79">
        <f>IFS($C189=FALSE,"",$C189,VLOOKUP($C189,'PATIENT DATA (072721)'!A:C, 3, 0))</f>
        <v>15730</v>
      </c>
      <c r="F189" s="80">
        <v>44634.0</v>
      </c>
      <c r="G189" s="81">
        <f>ifs($C189="","",$C189, VLOOKUP($C189&amp;$F189, 'MARCH - VISIT DATA'!A:O,3,0))</f>
        <v>0.5520833333</v>
      </c>
      <c r="H189" s="83" t="s">
        <v>6558</v>
      </c>
      <c r="I189" s="122" t="str">
        <f>VLOOKUP($C189&amp;$F189,'MARCH - VISIT DATA'!A:J, 9, FALSE)</f>
        <v>MARTINEZ</v>
      </c>
      <c r="J189" s="85" t="str">
        <f>VLOOKUP(C189&amp;F189,'MARCH - VISIT DATA'!A:O,10,FALSE)</f>
        <v>WELLCARE OF TEXAS</v>
      </c>
      <c r="K189" s="86"/>
      <c r="L189" s="86" t="s">
        <v>6559</v>
      </c>
      <c r="M189" s="86"/>
      <c r="N189" s="86"/>
      <c r="O189" s="121" t="str">
        <f t="shared" si="2"/>
        <v>✓</v>
      </c>
      <c r="P189" s="79" t="str">
        <f t="shared" si="3"/>
        <v>#VALUE!</v>
      </c>
      <c r="Q189" s="123" t="str">
        <f t="shared" si="4"/>
        <v>#VALUE!</v>
      </c>
      <c r="R189" s="124" t="str">
        <f t="shared" si="5"/>
        <v>#VALUE!</v>
      </c>
      <c r="S189" s="125" t="str">
        <f t="shared" si="6"/>
        <v>#VALUE!</v>
      </c>
      <c r="T189" s="125" t="str">
        <f t="shared" si="7"/>
        <v>#VALUE!</v>
      </c>
      <c r="U189" s="83">
        <f t="shared" si="8"/>
        <v>0</v>
      </c>
      <c r="V189" s="88" t="str">
        <f>ifs($N189="",VLOOKUP($C189&amp;$F189,'MARCH - VISIT DATA'!$A$2:$J600,7,FALSE), $N189="SWAB","OUTSA-RW",$N189="SWQU","OUTSA-SaQu", AND($L189="X",$M189="X",$N189="QUEST"),"OUT-UAQPre",$N189="QUEST","OUT-UAQ", $N189="Walk in","ColUATele")</f>
        <v>UA</v>
      </c>
      <c r="W189" s="70" t="str">
        <f t="shared" si="9"/>
        <v>UA : Urine Analysis In House</v>
      </c>
      <c r="X189" s="64" t="str">
        <f t="shared" si="10"/>
        <v>UA : Urine Analysis In House</v>
      </c>
      <c r="Y189" s="64" t="str">
        <f t="shared" si="11"/>
        <v>MATCH</v>
      </c>
      <c r="Z189" s="66" t="str">
        <f t="shared" si="12"/>
        <v> </v>
      </c>
      <c r="AA189" s="71"/>
    </row>
    <row r="190" ht="15.75" customHeight="1">
      <c r="A190" s="56" t="str">
        <f t="shared" si="1"/>
        <v>1117144634</v>
      </c>
      <c r="B190" s="56" t="str">
        <f>IFS($C190=FALSE,"",$C190,VLOOKUP($C190,'PATIENT DATA (072721)'!A:C, 2, 0))</f>
        <v>PHILLIPS, TONYA</v>
      </c>
      <c r="C190" s="57">
        <v>11171.0</v>
      </c>
      <c r="D190" s="127" t="str">
        <f>IF(COUNTIF('PATIENT DATA (072721)'!A:A, C190)=0, "X","✓")</f>
        <v>✓</v>
      </c>
      <c r="E190" s="79">
        <f>IFS($C190=FALSE,"",$C190,VLOOKUP($C190,'PATIENT DATA (072721)'!A:C, 3, 0))</f>
        <v>27123</v>
      </c>
      <c r="F190" s="80">
        <v>44634.0</v>
      </c>
      <c r="G190" s="81">
        <f>ifs($C190="","",$C190, VLOOKUP($C190&amp;$F190, 'MARCH - VISIT DATA'!A:O,3,0))</f>
        <v>0.3541666667</v>
      </c>
      <c r="H190" s="83" t="s">
        <v>6558</v>
      </c>
      <c r="I190" s="122" t="str">
        <f>VLOOKUP($C190&amp;$F190,'MARCH - VISIT DATA'!A:J, 9, FALSE)</f>
        <v>MARTINEZ</v>
      </c>
      <c r="J190" s="85" t="str">
        <f>VLOOKUP(C190&amp;F190,'MARCH - VISIT DATA'!A:O,10,FALSE)</f>
        <v>TRICARE PRIME</v>
      </c>
      <c r="K190" s="86"/>
      <c r="L190" s="86" t="s">
        <v>6559</v>
      </c>
      <c r="M190" s="86"/>
      <c r="N190" s="86"/>
      <c r="O190" s="121" t="str">
        <f t="shared" si="2"/>
        <v>✓</v>
      </c>
      <c r="P190" s="79" t="str">
        <f t="shared" si="3"/>
        <v>#VALUE!</v>
      </c>
      <c r="Q190" s="123" t="str">
        <f t="shared" si="4"/>
        <v>#VALUE!</v>
      </c>
      <c r="R190" s="124" t="str">
        <f t="shared" si="5"/>
        <v>#VALUE!</v>
      </c>
      <c r="S190" s="125" t="str">
        <f t="shared" si="6"/>
        <v>#VALUE!</v>
      </c>
      <c r="T190" s="125" t="str">
        <f t="shared" si="7"/>
        <v>#VALUE!</v>
      </c>
      <c r="U190" s="83">
        <f t="shared" si="8"/>
        <v>0</v>
      </c>
      <c r="V190" s="88" t="str">
        <f>ifs($N190="",VLOOKUP($C190&amp;$F190,'MARCH - VISIT DATA'!$A$2:$J600,7,FALSE), $N190="SWAB","OUTSA-RW",$N190="SWQU","OUTSA-SaQu", AND($L190="X",$M190="X",$N190="QUEST"),"OUT-UAQPre",$N190="QUEST","OUT-UAQ", $N190="Walk in","ColUATele")</f>
        <v>UA</v>
      </c>
      <c r="W190" s="70" t="str">
        <f t="shared" si="9"/>
        <v>UA : Urine Analysis In House</v>
      </c>
      <c r="X190" s="64" t="str">
        <f t="shared" si="10"/>
        <v>UA : Urine Analysis In House</v>
      </c>
      <c r="Y190" s="64" t="str">
        <f t="shared" si="11"/>
        <v>MATCH</v>
      </c>
      <c r="Z190" s="66" t="str">
        <f t="shared" si="12"/>
        <v> </v>
      </c>
      <c r="AA190" s="71"/>
    </row>
    <row r="191" ht="15.75" customHeight="1">
      <c r="A191" s="56" t="str">
        <f t="shared" si="1"/>
        <v>1185644634</v>
      </c>
      <c r="B191" s="56" t="str">
        <f>IFS($C191=FALSE,"",$C191,VLOOKUP($C191,'PATIENT DATA (072721)'!A:C, 2, 0))</f>
        <v>TORRES, LAURA A</v>
      </c>
      <c r="C191" s="57">
        <v>11856.0</v>
      </c>
      <c r="D191" s="127" t="str">
        <f>IF(COUNTIF('PATIENT DATA (072721)'!A:A, C191)=0, "X","✓")</f>
        <v>✓</v>
      </c>
      <c r="E191" s="79">
        <f>IFS($C191=FALSE,"",$C191,VLOOKUP($C191,'PATIENT DATA (072721)'!A:C, 3, 0))</f>
        <v>23707</v>
      </c>
      <c r="F191" s="80">
        <v>44634.0</v>
      </c>
      <c r="G191" s="81">
        <f>ifs($C191="","",$C191, VLOOKUP($C191&amp;$F191, 'MARCH - VISIT DATA'!A:O,3,0))</f>
        <v>0.4583333333</v>
      </c>
      <c r="H191" s="83" t="s">
        <v>6558</v>
      </c>
      <c r="I191" s="122" t="str">
        <f>VLOOKUP($C191&amp;$F191,'MARCH - VISIT DATA'!A:J, 9, FALSE)</f>
        <v>MARTINEZ</v>
      </c>
      <c r="J191" s="85" t="str">
        <f>VLOOKUP(C191&amp;F191,'MARCH - VISIT DATA'!A:O,10,FALSE)</f>
        <v>BCBSTX PPO</v>
      </c>
      <c r="K191" s="86"/>
      <c r="L191" s="86" t="s">
        <v>6559</v>
      </c>
      <c r="M191" s="86"/>
      <c r="N191" s="86"/>
      <c r="O191" s="121" t="str">
        <f t="shared" si="2"/>
        <v>✓</v>
      </c>
      <c r="P191" s="79" t="str">
        <f t="shared" si="3"/>
        <v>#VALUE!</v>
      </c>
      <c r="Q191" s="123" t="str">
        <f t="shared" si="4"/>
        <v>#VALUE!</v>
      </c>
      <c r="R191" s="124" t="str">
        <f t="shared" si="5"/>
        <v>#VALUE!</v>
      </c>
      <c r="S191" s="125" t="str">
        <f t="shared" si="6"/>
        <v>#VALUE!</v>
      </c>
      <c r="T191" s="125" t="str">
        <f t="shared" si="7"/>
        <v>#VALUE!</v>
      </c>
      <c r="U191" s="83">
        <f t="shared" si="8"/>
        <v>0</v>
      </c>
      <c r="V191" s="88" t="str">
        <f>ifs($N191="",VLOOKUP($C191&amp;$F191,'MARCH - VISIT DATA'!$A$2:$J600,7,FALSE), $N191="SWAB","OUTSA-RW",$N191="SWQU","OUTSA-SaQu", AND($L191="X",$M191="X",$N191="QUEST"),"OUT-UAQPre",$N191="QUEST","OUT-UAQ", $N191="Walk in","ColUATele")</f>
        <v>UA</v>
      </c>
      <c r="W191" s="70" t="str">
        <f t="shared" si="9"/>
        <v>UA : Urine Analysis In House</v>
      </c>
      <c r="X191" s="64" t="str">
        <f t="shared" si="10"/>
        <v>UA : Urine Analysis In House</v>
      </c>
      <c r="Y191" s="64" t="str">
        <f t="shared" si="11"/>
        <v>MATCH</v>
      </c>
      <c r="Z191" s="66" t="str">
        <f t="shared" si="12"/>
        <v> </v>
      </c>
      <c r="AA191" s="71"/>
    </row>
    <row r="192" ht="15.75" customHeight="1">
      <c r="A192" s="56" t="str">
        <f t="shared" si="1"/>
        <v>1195944634</v>
      </c>
      <c r="B192" s="56" t="str">
        <f>IFS($C192=FALSE,"",$C192,VLOOKUP($C192,'PATIENT DATA (072721)'!A:C, 2, 0))</f>
        <v>MONTELONGO, GLORIA</v>
      </c>
      <c r="C192" s="57">
        <v>11959.0</v>
      </c>
      <c r="D192" s="127" t="str">
        <f>IF(COUNTIF('PATIENT DATA (072721)'!A:A, C192)=0, "X","✓")</f>
        <v>✓</v>
      </c>
      <c r="E192" s="79">
        <f>IFS($C192=FALSE,"",$C192,VLOOKUP($C192,'PATIENT DATA (072721)'!A:C, 3, 0))</f>
        <v>15434</v>
      </c>
      <c r="F192" s="80">
        <v>44634.0</v>
      </c>
      <c r="G192" s="81">
        <f>ifs($C192="","",$C192, VLOOKUP($C192&amp;$F192, 'MARCH - VISIT DATA'!A:O,3,0))</f>
        <v>0.40625</v>
      </c>
      <c r="H192" s="83" t="s">
        <v>6558</v>
      </c>
      <c r="I192" s="122" t="str">
        <f>VLOOKUP($C192&amp;$F192,'MARCH - VISIT DATA'!A:J, 9, FALSE)</f>
        <v>MARTINEZ</v>
      </c>
      <c r="J192" s="85" t="str">
        <f>VLOOKUP(C192&amp;F192,'MARCH - VISIT DATA'!A:O,10,FALSE)</f>
        <v>AMERIVANTAGE DUAL</v>
      </c>
      <c r="K192" s="86"/>
      <c r="L192" s="86" t="s">
        <v>6559</v>
      </c>
      <c r="M192" s="86"/>
      <c r="N192" s="86"/>
      <c r="O192" s="121" t="str">
        <f t="shared" si="2"/>
        <v>✓</v>
      </c>
      <c r="P192" s="79" t="str">
        <f t="shared" si="3"/>
        <v>#VALUE!</v>
      </c>
      <c r="Q192" s="123" t="str">
        <f t="shared" si="4"/>
        <v>#VALUE!</v>
      </c>
      <c r="R192" s="124" t="str">
        <f t="shared" si="5"/>
        <v>#VALUE!</v>
      </c>
      <c r="S192" s="125" t="str">
        <f t="shared" si="6"/>
        <v>#VALUE!</v>
      </c>
      <c r="T192" s="125" t="str">
        <f t="shared" si="7"/>
        <v>#VALUE!</v>
      </c>
      <c r="U192" s="83">
        <f t="shared" si="8"/>
        <v>0</v>
      </c>
      <c r="V192" s="88" t="str">
        <f>ifs($N192="",VLOOKUP($C192&amp;$F192,'MARCH - VISIT DATA'!$A$2:$J600,7,FALSE), $N192="SWAB","OUTSA-RW",$N192="SWQU","OUTSA-SaQu", AND($L192="X",$M192="X",$N192="QUEST"),"OUT-UAQPre",$N192="QUEST","OUT-UAQ", $N192="Walk in","ColUATele")</f>
        <v>UA</v>
      </c>
      <c r="W192" s="70" t="str">
        <f t="shared" si="9"/>
        <v>UA : Urine Analysis In House</v>
      </c>
      <c r="X192" s="64" t="str">
        <f t="shared" si="10"/>
        <v>UA : Urine Analysis In House</v>
      </c>
      <c r="Y192" s="64" t="str">
        <f t="shared" si="11"/>
        <v>MATCH</v>
      </c>
      <c r="Z192" s="66" t="str">
        <f t="shared" si="12"/>
        <v> </v>
      </c>
      <c r="AA192" s="71"/>
    </row>
    <row r="193" ht="15.75" customHeight="1">
      <c r="A193" s="56" t="str">
        <f t="shared" si="1"/>
        <v>1307844634</v>
      </c>
      <c r="B193" s="56" t="str">
        <f>IFS($C193=FALSE,"",$C193,VLOOKUP($C193,'PATIENT DATA (072721)'!A:C, 2, 0))</f>
        <v>ARANA, NORMA</v>
      </c>
      <c r="C193" s="57">
        <v>13078.0</v>
      </c>
      <c r="D193" s="127" t="str">
        <f>IF(COUNTIF('PATIENT DATA (072721)'!A:A, C193)=0, "X","✓")</f>
        <v>✓</v>
      </c>
      <c r="E193" s="79">
        <f>IFS($C193=FALSE,"",$C193,VLOOKUP($C193,'PATIENT DATA (072721)'!A:C, 3, 0))</f>
        <v>25457</v>
      </c>
      <c r="F193" s="80">
        <v>44634.0</v>
      </c>
      <c r="G193" s="81">
        <f>ifs($C193="","",$C193, VLOOKUP($C193&amp;$F193, 'MARCH - VISIT DATA'!A:O,3,0))</f>
        <v>0.4583333333</v>
      </c>
      <c r="H193" s="83" t="s">
        <v>6560</v>
      </c>
      <c r="I193" s="122" t="str">
        <f>VLOOKUP($C193&amp;$F193,'MARCH - VISIT DATA'!A:J, 9, FALSE)</f>
        <v>TORRES</v>
      </c>
      <c r="J193" s="85" t="str">
        <f>VLOOKUP(C193&amp;F193,'MARCH - VISIT DATA'!A:O,10,FALSE)</f>
        <v>AMBETTER - SUPERIOR</v>
      </c>
      <c r="K193" s="86"/>
      <c r="L193" s="86" t="s">
        <v>6559</v>
      </c>
      <c r="M193" s="86"/>
      <c r="N193" s="86"/>
      <c r="O193" s="121" t="str">
        <f t="shared" si="2"/>
        <v>✓</v>
      </c>
      <c r="P193" s="79" t="str">
        <f t="shared" si="3"/>
        <v>#VALUE!</v>
      </c>
      <c r="Q193" s="123" t="str">
        <f t="shared" si="4"/>
        <v>#VALUE!</v>
      </c>
      <c r="R193" s="124" t="str">
        <f t="shared" si="5"/>
        <v>#VALUE!</v>
      </c>
      <c r="S193" s="125" t="str">
        <f t="shared" si="6"/>
        <v>#VALUE!</v>
      </c>
      <c r="T193" s="125" t="str">
        <f t="shared" si="7"/>
        <v>#VALUE!</v>
      </c>
      <c r="U193" s="83">
        <f t="shared" si="8"/>
        <v>0</v>
      </c>
      <c r="V193" s="88" t="str">
        <f>ifs($N193="",VLOOKUP($C193&amp;$F193,'MARCH - VISIT DATA'!$A$2:$J600,7,FALSE), $N193="SWAB","OUTSA-RW",$N193="SWQU","OUTSA-SaQu", AND($L193="X",$M193="X",$N193="QUEST"),"OUT-UAQPre",$N193="QUEST","OUT-UAQ", $N193="Walk in","ColUATele")</f>
        <v>UA</v>
      </c>
      <c r="W193" s="70" t="str">
        <f t="shared" si="9"/>
        <v>UA : Urine Analysis In House</v>
      </c>
      <c r="X193" s="64" t="str">
        <f t="shared" si="10"/>
        <v>UA : Urine Analysis In House</v>
      </c>
      <c r="Y193" s="64" t="str">
        <f t="shared" si="11"/>
        <v>MATCH</v>
      </c>
      <c r="Z193" s="66" t="str">
        <f t="shared" si="12"/>
        <v> </v>
      </c>
      <c r="AA193" s="71"/>
    </row>
    <row r="194" ht="15.75" customHeight="1">
      <c r="A194" s="56" t="str">
        <f t="shared" si="1"/>
        <v>1379844634</v>
      </c>
      <c r="B194" s="56" t="str">
        <f>IFS($C194=FALSE,"",$C194,VLOOKUP($C194,'PATIENT DATA (072721)'!A:C, 2, 0))</f>
        <v>PEREZ-CARDONA, CHRISTOPHER</v>
      </c>
      <c r="C194" s="57">
        <v>13798.0</v>
      </c>
      <c r="D194" s="127" t="str">
        <f>IF(COUNTIF('PATIENT DATA (072721)'!A:A, C194)=0, "X","✓")</f>
        <v>✓</v>
      </c>
      <c r="E194" s="79">
        <f>IFS($C194=FALSE,"",$C194,VLOOKUP($C194,'PATIENT DATA (072721)'!A:C, 3, 0))</f>
        <v>34259</v>
      </c>
      <c r="F194" s="80">
        <v>44634.0</v>
      </c>
      <c r="G194" s="81">
        <f>ifs($C194="","",$C194, VLOOKUP($C194&amp;$F194, 'MARCH - VISIT DATA'!A:O,3,0))</f>
        <v>0.6145833333</v>
      </c>
      <c r="H194" s="83" t="s">
        <v>6560</v>
      </c>
      <c r="I194" s="122" t="str">
        <f>VLOOKUP($C194&amp;$F194,'MARCH - VISIT DATA'!A:J, 9, FALSE)</f>
        <v>TORRES</v>
      </c>
      <c r="J194" s="85" t="str">
        <f>VLOOKUP(C194&amp;F194,'MARCH - VISIT DATA'!A:O,10,FALSE)</f>
        <v>WPS VA - COMMUNITY CARE</v>
      </c>
      <c r="K194" s="86"/>
      <c r="L194" s="86" t="s">
        <v>6559</v>
      </c>
      <c r="M194" s="86"/>
      <c r="N194" s="86"/>
      <c r="O194" s="121" t="str">
        <f t="shared" si="2"/>
        <v>✓</v>
      </c>
      <c r="P194" s="79" t="str">
        <f t="shared" si="3"/>
        <v>#VALUE!</v>
      </c>
      <c r="Q194" s="123" t="str">
        <f t="shared" si="4"/>
        <v>#VALUE!</v>
      </c>
      <c r="R194" s="124" t="str">
        <f t="shared" si="5"/>
        <v>#VALUE!</v>
      </c>
      <c r="S194" s="125" t="str">
        <f t="shared" si="6"/>
        <v>#VALUE!</v>
      </c>
      <c r="T194" s="125" t="str">
        <f t="shared" si="7"/>
        <v>#VALUE!</v>
      </c>
      <c r="U194" s="83">
        <f t="shared" si="8"/>
        <v>0</v>
      </c>
      <c r="V194" s="88" t="str">
        <f>ifs($N194="",VLOOKUP($C194&amp;$F194,'MARCH - VISIT DATA'!$A$2:$J600,7,FALSE), $N194="SWAB","OUTSA-RW",$N194="SWQU","OUTSA-SaQu", AND($L194="X",$M194="X",$N194="QUEST"),"OUT-UAQPre",$N194="QUEST","OUT-UAQ", $N194="Walk in","ColUATele")</f>
        <v>UA</v>
      </c>
      <c r="W194" s="70" t="str">
        <f t="shared" si="9"/>
        <v>UA : Urine Analysis In House</v>
      </c>
      <c r="X194" s="64" t="str">
        <f t="shared" si="10"/>
        <v>UA : Urine Analysis In House</v>
      </c>
      <c r="Y194" s="64" t="str">
        <f t="shared" si="11"/>
        <v>MATCH</v>
      </c>
      <c r="Z194" s="66" t="str">
        <f t="shared" si="12"/>
        <v> </v>
      </c>
      <c r="AA194" s="71"/>
    </row>
    <row r="195" ht="15.75" customHeight="1">
      <c r="A195" s="56" t="str">
        <f t="shared" si="1"/>
        <v>1441144634</v>
      </c>
      <c r="B195" s="56" t="str">
        <f>IFS($C195=FALSE,"",$C195,VLOOKUP($C195,'PATIENT DATA (072721)'!A:C, 2, 0))</f>
        <v>RADKE, KARL</v>
      </c>
      <c r="C195" s="57">
        <v>14411.0</v>
      </c>
      <c r="D195" s="127" t="str">
        <f>IF(COUNTIF('PATIENT DATA (072721)'!A:A, C195)=0, "X","✓")</f>
        <v>✓</v>
      </c>
      <c r="E195" s="79">
        <f>IFS($C195=FALSE,"",$C195,VLOOKUP($C195,'PATIENT DATA (072721)'!A:C, 3, 0))</f>
        <v>20328</v>
      </c>
      <c r="F195" s="80">
        <v>44634.0</v>
      </c>
      <c r="G195" s="81">
        <f>ifs($C195="","",$C195, VLOOKUP($C195&amp;$F195, 'MARCH - VISIT DATA'!A:O,3,0))</f>
        <v>0.4479166667</v>
      </c>
      <c r="H195" s="83" t="s">
        <v>6560</v>
      </c>
      <c r="I195" s="122" t="str">
        <f>VLOOKUP($C195&amp;$F195,'MARCH - VISIT DATA'!A:J, 9, FALSE)</f>
        <v>TORRES</v>
      </c>
      <c r="J195" s="85" t="str">
        <f>VLOOKUP(C195&amp;F195,'MARCH - VISIT DATA'!A:O,10,FALSE)</f>
        <v>MEDICARE TEXAS</v>
      </c>
      <c r="K195" s="86"/>
      <c r="L195" s="86" t="s">
        <v>6559</v>
      </c>
      <c r="M195" s="86"/>
      <c r="N195" s="86"/>
      <c r="O195" s="121" t="str">
        <f t="shared" si="2"/>
        <v>✓</v>
      </c>
      <c r="P195" s="79" t="str">
        <f t="shared" si="3"/>
        <v>#VALUE!</v>
      </c>
      <c r="Q195" s="123" t="str">
        <f t="shared" si="4"/>
        <v>#VALUE!</v>
      </c>
      <c r="R195" s="124" t="str">
        <f t="shared" si="5"/>
        <v>#VALUE!</v>
      </c>
      <c r="S195" s="125" t="str">
        <f t="shared" si="6"/>
        <v>#VALUE!</v>
      </c>
      <c r="T195" s="125" t="str">
        <f t="shared" si="7"/>
        <v>#VALUE!</v>
      </c>
      <c r="U195" s="83">
        <f t="shared" si="8"/>
        <v>0</v>
      </c>
      <c r="V195" s="88" t="str">
        <f>ifs($N195="",VLOOKUP($C195&amp;$F195,'MARCH - VISIT DATA'!$A$2:$J600,7,FALSE), $N195="SWAB","OUTSA-RW",$N195="SWQU","OUTSA-SaQu", AND($L195="X",$M195="X",$N195="QUEST"),"OUT-UAQPre",$N195="QUEST","OUT-UAQ", $N195="Walk in","ColUATele")</f>
        <v>UA</v>
      </c>
      <c r="W195" s="70" t="str">
        <f t="shared" si="9"/>
        <v>UA : Urine Analysis In House</v>
      </c>
      <c r="X195" s="64" t="str">
        <f t="shared" si="10"/>
        <v>UA : Urine Analysis In House</v>
      </c>
      <c r="Y195" s="64" t="str">
        <f t="shared" si="11"/>
        <v>MATCH</v>
      </c>
      <c r="Z195" s="66" t="str">
        <f t="shared" si="12"/>
        <v> </v>
      </c>
      <c r="AA195" s="71"/>
    </row>
    <row r="196" ht="15.75" customHeight="1">
      <c r="A196" s="56" t="str">
        <f t="shared" si="1"/>
        <v>1500244634</v>
      </c>
      <c r="B196" s="56" t="str">
        <f>IFS($C196=FALSE,"",$C196,VLOOKUP($C196,'PATIENT DATA (072721)'!A:C, 2, 0))</f>
        <v>CHAVEZ, NORMA</v>
      </c>
      <c r="C196" s="57">
        <v>15002.0</v>
      </c>
      <c r="D196" s="127" t="str">
        <f>IF(COUNTIF('PATIENT DATA (072721)'!A:A, C196)=0, "X","✓")</f>
        <v>✓</v>
      </c>
      <c r="E196" s="79">
        <f>IFS($C196=FALSE,"",$C196,VLOOKUP($C196,'PATIENT DATA (072721)'!A:C, 3, 0))</f>
        <v>21001</v>
      </c>
      <c r="F196" s="80">
        <v>44634.0</v>
      </c>
      <c r="G196" s="81">
        <f>ifs($C196="","",$C196, VLOOKUP($C196&amp;$F196, 'MARCH - VISIT DATA'!A:O,3,0))</f>
        <v>0.3854166667</v>
      </c>
      <c r="H196" s="83" t="s">
        <v>6560</v>
      </c>
      <c r="I196" s="122" t="str">
        <f>VLOOKUP($C196&amp;$F196,'MARCH - VISIT DATA'!A:J, 9, FALSE)</f>
        <v>TORRES</v>
      </c>
      <c r="J196" s="85" t="str">
        <f>VLOOKUP(C196&amp;F196,'MARCH - VISIT DATA'!A:O,10,FALSE)</f>
        <v>TRICARE SELECT</v>
      </c>
      <c r="K196" s="86"/>
      <c r="L196" s="86" t="s">
        <v>6559</v>
      </c>
      <c r="M196" s="86"/>
      <c r="N196" s="86"/>
      <c r="O196" s="121" t="str">
        <f t="shared" si="2"/>
        <v>✓</v>
      </c>
      <c r="P196" s="79" t="str">
        <f t="shared" si="3"/>
        <v>#VALUE!</v>
      </c>
      <c r="Q196" s="123" t="str">
        <f t="shared" si="4"/>
        <v>#VALUE!</v>
      </c>
      <c r="R196" s="124" t="str">
        <f t="shared" si="5"/>
        <v>#VALUE!</v>
      </c>
      <c r="S196" s="125" t="str">
        <f t="shared" si="6"/>
        <v>#VALUE!</v>
      </c>
      <c r="T196" s="125" t="str">
        <f t="shared" si="7"/>
        <v>#VALUE!</v>
      </c>
      <c r="U196" s="83">
        <f t="shared" si="8"/>
        <v>0</v>
      </c>
      <c r="V196" s="88" t="str">
        <f>ifs($N196="",VLOOKUP($C196&amp;$F196,'MARCH - VISIT DATA'!$A$2:$J600,7,FALSE), $N196="SWAB","OUTSA-RW",$N196="SWQU","OUTSA-SaQu", AND($L196="X",$M196="X",$N196="QUEST"),"OUT-UAQPre",$N196="QUEST","OUT-UAQ", $N196="Walk in","ColUATele")</f>
        <v>UA</v>
      </c>
      <c r="W196" s="70" t="str">
        <f t="shared" si="9"/>
        <v>UA : Urine Analysis In House</v>
      </c>
      <c r="X196" s="64" t="str">
        <f t="shared" si="10"/>
        <v>UA : Urine Analysis In House</v>
      </c>
      <c r="Y196" s="64" t="str">
        <f t="shared" si="11"/>
        <v>MATCH</v>
      </c>
      <c r="Z196" s="66" t="str">
        <f t="shared" si="12"/>
        <v> </v>
      </c>
      <c r="AA196" s="71"/>
    </row>
    <row r="197" ht="15.75" customHeight="1">
      <c r="A197" s="56" t="str">
        <f t="shared" si="1"/>
        <v>1516744634</v>
      </c>
      <c r="B197" s="56" t="str">
        <f>IFS($C197=FALSE,"",$C197,VLOOKUP($C197,'PATIENT DATA (072721)'!A:C, 2, 0))</f>
        <v>GOULD, PAMELA L</v>
      </c>
      <c r="C197" s="57">
        <v>15167.0</v>
      </c>
      <c r="D197" s="127" t="str">
        <f>IF(COUNTIF('PATIENT DATA (072721)'!A:A, C197)=0, "X","✓")</f>
        <v>✓</v>
      </c>
      <c r="E197" s="79">
        <f>IFS($C197=FALSE,"",$C197,VLOOKUP($C197,'PATIENT DATA (072721)'!A:C, 3, 0))</f>
        <v>23568</v>
      </c>
      <c r="F197" s="80">
        <v>44634.0</v>
      </c>
      <c r="G197" s="81">
        <f>ifs($C197="","",$C197, VLOOKUP($C197&amp;$F197, 'MARCH - VISIT DATA'!A:O,3,0))</f>
        <v>0.375</v>
      </c>
      <c r="H197" s="83" t="s">
        <v>6560</v>
      </c>
      <c r="I197" s="122" t="str">
        <f>VLOOKUP($C197&amp;$F197,'MARCH - VISIT DATA'!A:J, 9, FALSE)</f>
        <v>TORRES</v>
      </c>
      <c r="J197" s="85" t="str">
        <f>VLOOKUP(C197&amp;F197,'MARCH - VISIT DATA'!A:O,10,FALSE)</f>
        <v>AETNA</v>
      </c>
      <c r="K197" s="86"/>
      <c r="L197" s="86" t="s">
        <v>6559</v>
      </c>
      <c r="M197" s="86"/>
      <c r="N197" s="86"/>
      <c r="O197" s="121" t="str">
        <f t="shared" si="2"/>
        <v>✓</v>
      </c>
      <c r="P197" s="79" t="str">
        <f t="shared" si="3"/>
        <v>#VALUE!</v>
      </c>
      <c r="Q197" s="123" t="str">
        <f t="shared" si="4"/>
        <v>#VALUE!</v>
      </c>
      <c r="R197" s="124" t="str">
        <f t="shared" si="5"/>
        <v>#VALUE!</v>
      </c>
      <c r="S197" s="125" t="str">
        <f t="shared" si="6"/>
        <v>#VALUE!</v>
      </c>
      <c r="T197" s="125" t="str">
        <f t="shared" si="7"/>
        <v>#VALUE!</v>
      </c>
      <c r="U197" s="83">
        <f t="shared" si="8"/>
        <v>0</v>
      </c>
      <c r="V197" s="88" t="str">
        <f>ifs($N197="",VLOOKUP($C197&amp;$F197,'MARCH - VISIT DATA'!$A$2:$J600,7,FALSE), $N197="SWAB","OUTSA-RW",$N197="SWQU","OUTSA-SaQu", AND($L197="X",$M197="X",$N197="QUEST"),"OUT-UAQPre",$N197="QUEST","OUT-UAQ", $N197="Walk in","ColUATele")</f>
        <v>UA</v>
      </c>
      <c r="W197" s="70" t="str">
        <f t="shared" si="9"/>
        <v>UA : Urine Analysis In House</v>
      </c>
      <c r="X197" s="64" t="str">
        <f t="shared" si="10"/>
        <v>UA : Urine Analysis In House</v>
      </c>
      <c r="Y197" s="64" t="str">
        <f t="shared" si="11"/>
        <v>MATCH</v>
      </c>
      <c r="Z197" s="66" t="str">
        <f t="shared" si="12"/>
        <v> </v>
      </c>
      <c r="AA197" s="71"/>
    </row>
    <row r="198" ht="15.75" hidden="1" customHeight="1">
      <c r="A198" s="56" t="str">
        <f t="shared" si="1"/>
        <v>1533544634</v>
      </c>
      <c r="B198" s="56" t="str">
        <f>IFS($C198=FALSE,"",$C198,VLOOKUP($C198,'PATIENT DATA (072721)'!A:C, 2, 0))</f>
        <v>PODNER, ELIZABETH C</v>
      </c>
      <c r="C198" s="57">
        <v>15335.0</v>
      </c>
      <c r="D198" s="127" t="str">
        <f>IF(COUNTIF('PATIENT DATA (072721)'!A:A, C198)=0, "X","✓")</f>
        <v>✓</v>
      </c>
      <c r="E198" s="79">
        <f>IFS($C198=FALSE,"",$C198,VLOOKUP($C198,'PATIENT DATA (072721)'!A:C, 3, 0))</f>
        <v>33029</v>
      </c>
      <c r="F198" s="80">
        <v>44634.0</v>
      </c>
      <c r="G198" s="81">
        <f>ifs($C198="","",$C198, VLOOKUP($C198&amp;$F198, 'MARCH - VISIT DATA'!A:O,3,0))</f>
        <v>0.3333333333</v>
      </c>
      <c r="H198" s="83" t="s">
        <v>6558</v>
      </c>
      <c r="I198" s="122" t="str">
        <f>VLOOKUP($C198&amp;$F198,'MARCH - VISIT DATA'!A:J, 9, FALSE)</f>
        <v>MARTINEZ</v>
      </c>
      <c r="J198" s="85" t="str">
        <f>VLOOKUP(C198&amp;F198,'MARCH - VISIT DATA'!A:O,10,FALSE)</f>
        <v>BCBSTX PPO</v>
      </c>
      <c r="K198" s="86"/>
      <c r="L198" s="86" t="s">
        <v>6559</v>
      </c>
      <c r="M198" s="86" t="s">
        <v>6559</v>
      </c>
      <c r="N198" s="86"/>
      <c r="O198" s="121" t="str">
        <f t="shared" si="2"/>
        <v>✓</v>
      </c>
      <c r="P198" s="79" t="str">
        <f t="shared" si="3"/>
        <v>#VALUE!</v>
      </c>
      <c r="Q198" s="123" t="str">
        <f t="shared" si="4"/>
        <v>#VALUE!</v>
      </c>
      <c r="R198" s="124" t="str">
        <f t="shared" si="5"/>
        <v>#VALUE!</v>
      </c>
      <c r="S198" s="125" t="str">
        <f t="shared" si="6"/>
        <v>#VALUE!</v>
      </c>
      <c r="T198" s="125" t="str">
        <f t="shared" si="7"/>
        <v>#VALUE!</v>
      </c>
      <c r="U198" s="83">
        <f t="shared" si="8"/>
        <v>0</v>
      </c>
      <c r="V198" s="88" t="str">
        <f>ifs($N198="",VLOOKUP($C198&amp;$F198,'MARCH - VISIT DATA'!$A$2:$J600,7,FALSE), $N198="SWAB","OUTSA-RW",$N198="SWQU","OUTSA-SaQu", AND($L198="X",$M198="X",$N198="QUEST"),"OUT-UAQPre",$N198="QUEST","OUT-UAQ", $N198="Walk in","ColUATele")</f>
        <v>UA-Prelim</v>
      </c>
      <c r="W198" s="70" t="str">
        <f t="shared" si="9"/>
        <v>UA-Prelim : Preliminary UA Test</v>
      </c>
      <c r="X198" s="64" t="str">
        <f t="shared" si="10"/>
        <v>UA-Prelim : Preliminary UA Test</v>
      </c>
      <c r="Y198" s="64" t="str">
        <f t="shared" si="11"/>
        <v>MATCH</v>
      </c>
      <c r="Z198" s="66" t="str">
        <f t="shared" si="12"/>
        <v> </v>
      </c>
      <c r="AA198" s="71"/>
    </row>
    <row r="199" ht="15.75" customHeight="1">
      <c r="A199" s="56" t="str">
        <f t="shared" si="1"/>
        <v>1565744634</v>
      </c>
      <c r="B199" s="56" t="str">
        <f>IFS($C199=FALSE,"",$C199,VLOOKUP($C199,'PATIENT DATA (072721)'!A:C, 2, 0))</f>
        <v>KUZMA, MARIAN E</v>
      </c>
      <c r="C199" s="57">
        <v>15657.0</v>
      </c>
      <c r="D199" s="127" t="str">
        <f>IF(COUNTIF('PATIENT DATA (072721)'!A:A, C199)=0, "X","✓")</f>
        <v>✓</v>
      </c>
      <c r="E199" s="79">
        <f>IFS($C199=FALSE,"",$C199,VLOOKUP($C199,'PATIENT DATA (072721)'!A:C, 3, 0))</f>
        <v>24273</v>
      </c>
      <c r="F199" s="80">
        <v>44634.0</v>
      </c>
      <c r="G199" s="81">
        <f>ifs($C199="","",$C199, VLOOKUP($C199&amp;$F199, 'MARCH - VISIT DATA'!A:O,3,0))</f>
        <v>0.4375</v>
      </c>
      <c r="H199" s="83" t="s">
        <v>6558</v>
      </c>
      <c r="I199" s="122" t="str">
        <f>VLOOKUP($C199&amp;$F199,'MARCH - VISIT DATA'!A:J, 9, FALSE)</f>
        <v>MARTINEZ</v>
      </c>
      <c r="J199" s="85" t="str">
        <f>VLOOKUP(C199&amp;F199,'MARCH - VISIT DATA'!A:O,10,FALSE)</f>
        <v>UNITED HEALTH CARE</v>
      </c>
      <c r="K199" s="86"/>
      <c r="L199" s="86" t="s">
        <v>6559</v>
      </c>
      <c r="M199" s="86"/>
      <c r="N199" s="86"/>
      <c r="O199" s="121" t="str">
        <f t="shared" si="2"/>
        <v>✓</v>
      </c>
      <c r="P199" s="79" t="str">
        <f t="shared" si="3"/>
        <v>#VALUE!</v>
      </c>
      <c r="Q199" s="123" t="str">
        <f t="shared" si="4"/>
        <v>#VALUE!</v>
      </c>
      <c r="R199" s="124" t="str">
        <f t="shared" si="5"/>
        <v>#VALUE!</v>
      </c>
      <c r="S199" s="125" t="str">
        <f t="shared" si="6"/>
        <v>#VALUE!</v>
      </c>
      <c r="T199" s="125" t="str">
        <f t="shared" si="7"/>
        <v>#VALUE!</v>
      </c>
      <c r="U199" s="83">
        <f t="shared" si="8"/>
        <v>0</v>
      </c>
      <c r="V199" s="88" t="str">
        <f>ifs($N199="",VLOOKUP($C199&amp;$F199,'MARCH - VISIT DATA'!$A$2:$J600,7,FALSE), $N199="SWAB","OUTSA-RW",$N199="SWQU","OUTSA-SaQu", AND($L199="X",$M199="X",$N199="QUEST"),"OUT-UAQPre",$N199="QUEST","OUT-UAQ", $N199="Walk in","ColUATele")</f>
        <v>UA</v>
      </c>
      <c r="W199" s="70" t="str">
        <f t="shared" si="9"/>
        <v>UA : Urine Analysis In House</v>
      </c>
      <c r="X199" s="64" t="str">
        <f t="shared" si="10"/>
        <v>UA : Urine Analysis In House</v>
      </c>
      <c r="Y199" s="64" t="str">
        <f t="shared" si="11"/>
        <v>MATCH</v>
      </c>
      <c r="Z199" s="66" t="str">
        <f t="shared" si="12"/>
        <v> </v>
      </c>
      <c r="AA199" s="71"/>
    </row>
    <row r="200" ht="15.75" customHeight="1">
      <c r="A200" s="56" t="str">
        <f t="shared" si="1"/>
        <v>1577144634</v>
      </c>
      <c r="B200" s="56" t="str">
        <f>IFS($C200=FALSE,"",$C200,VLOOKUP($C200,'PATIENT DATA (072721)'!A:C, 2, 0))</f>
        <v>ANGEL, JOSE R</v>
      </c>
      <c r="C200" s="57">
        <v>15771.0</v>
      </c>
      <c r="D200" s="127" t="str">
        <f>IF(COUNTIF('PATIENT DATA (072721)'!A:A, C200)=0, "X","✓")</f>
        <v>✓</v>
      </c>
      <c r="E200" s="79">
        <f>IFS($C200=FALSE,"",$C200,VLOOKUP($C200,'PATIENT DATA (072721)'!A:C, 3, 0))</f>
        <v>19858</v>
      </c>
      <c r="F200" s="80">
        <v>44634.0</v>
      </c>
      <c r="G200" s="81">
        <f>ifs($C200="","",$C200, VLOOKUP($C200&amp;$F200, 'MARCH - VISIT DATA'!A:O,3,0))</f>
        <v>0.6458333333</v>
      </c>
      <c r="H200" s="83" t="s">
        <v>6558</v>
      </c>
      <c r="I200" s="122" t="str">
        <f>VLOOKUP($C200&amp;$F200,'MARCH - VISIT DATA'!A:J, 9, FALSE)</f>
        <v>MARTINEZ</v>
      </c>
      <c r="J200" s="85" t="str">
        <f>VLOOKUP(C200&amp;F200,'MARCH - VISIT DATA'!A:O,10,FALSE)</f>
        <v>AMERIVANTAGE DUAL</v>
      </c>
      <c r="K200" s="86"/>
      <c r="L200" s="86" t="s">
        <v>6559</v>
      </c>
      <c r="M200" s="86"/>
      <c r="N200" s="86"/>
      <c r="O200" s="121" t="str">
        <f t="shared" si="2"/>
        <v>✓</v>
      </c>
      <c r="P200" s="79" t="str">
        <f t="shared" si="3"/>
        <v>#VALUE!</v>
      </c>
      <c r="Q200" s="123" t="str">
        <f t="shared" si="4"/>
        <v>#VALUE!</v>
      </c>
      <c r="R200" s="124" t="str">
        <f t="shared" si="5"/>
        <v>#VALUE!</v>
      </c>
      <c r="S200" s="125" t="str">
        <f t="shared" si="6"/>
        <v>#VALUE!</v>
      </c>
      <c r="T200" s="125" t="str">
        <f t="shared" si="7"/>
        <v>#VALUE!</v>
      </c>
      <c r="U200" s="83">
        <f t="shared" si="8"/>
        <v>0</v>
      </c>
      <c r="V200" s="88" t="str">
        <f>ifs($N200="",VLOOKUP($C200&amp;$F200,'MARCH - VISIT DATA'!$A$2:$J600,7,FALSE), $N200="SWAB","OUTSA-RW",$N200="SWQU","OUTSA-SaQu", AND($L200="X",$M200="X",$N200="QUEST"),"OUT-UAQPre",$N200="QUEST","OUT-UAQ", $N200="Walk in","ColUATele")</f>
        <v>UA</v>
      </c>
      <c r="W200" s="70" t="str">
        <f t="shared" si="9"/>
        <v>UA : Urine Analysis In House</v>
      </c>
      <c r="X200" s="64" t="str">
        <f t="shared" si="10"/>
        <v>UA : Urine Analysis In House</v>
      </c>
      <c r="Y200" s="64" t="str">
        <f t="shared" si="11"/>
        <v>MATCH</v>
      </c>
      <c r="Z200" s="66" t="str">
        <f t="shared" si="12"/>
        <v> </v>
      </c>
      <c r="AA200" s="71"/>
    </row>
    <row r="201" ht="15.75" customHeight="1">
      <c r="A201" s="56" t="str">
        <f t="shared" si="1"/>
        <v>1604444634</v>
      </c>
      <c r="B201" s="56" t="str">
        <f>IFS($C201=FALSE,"",$C201,VLOOKUP($C201,'PATIENT DATA (072721)'!A:C, 2, 0))</f>
        <v>MEZA PENA, GONZALO</v>
      </c>
      <c r="C201" s="57">
        <v>16044.0</v>
      </c>
      <c r="D201" s="127" t="str">
        <f>IF(COUNTIF('PATIENT DATA (072721)'!A:A, C201)=0, "X","✓")</f>
        <v>✓</v>
      </c>
      <c r="E201" s="79">
        <f>IFS($C201=FALSE,"",$C201,VLOOKUP($C201,'PATIENT DATA (072721)'!A:C, 3, 0))</f>
        <v>29615</v>
      </c>
      <c r="F201" s="80">
        <v>44634.0</v>
      </c>
      <c r="G201" s="81">
        <f>ifs($C201="","",$C201, VLOOKUP($C201&amp;$F201, 'MARCH - VISIT DATA'!A:O,3,0))</f>
        <v>0.3333333333</v>
      </c>
      <c r="H201" s="83" t="s">
        <v>6560</v>
      </c>
      <c r="I201" s="122" t="str">
        <f>VLOOKUP($C201&amp;$F201,'MARCH - VISIT DATA'!A:J, 9, FALSE)</f>
        <v>TORRES</v>
      </c>
      <c r="J201" s="85" t="str">
        <f>VLOOKUP(C201&amp;F201,'MARCH - VISIT DATA'!A:O,10,FALSE)</f>
        <v>WPS VA - COMMUNITY CARE</v>
      </c>
      <c r="K201" s="86"/>
      <c r="L201" s="86" t="s">
        <v>6559</v>
      </c>
      <c r="M201" s="86"/>
      <c r="N201" s="86"/>
      <c r="O201" s="121" t="str">
        <f t="shared" si="2"/>
        <v>✓</v>
      </c>
      <c r="P201" s="79" t="str">
        <f t="shared" si="3"/>
        <v>#VALUE!</v>
      </c>
      <c r="Q201" s="123" t="str">
        <f t="shared" si="4"/>
        <v>#VALUE!</v>
      </c>
      <c r="R201" s="124" t="str">
        <f t="shared" si="5"/>
        <v>#VALUE!</v>
      </c>
      <c r="S201" s="125" t="str">
        <f t="shared" si="6"/>
        <v>#VALUE!</v>
      </c>
      <c r="T201" s="125" t="str">
        <f t="shared" si="7"/>
        <v>#VALUE!</v>
      </c>
      <c r="U201" s="83">
        <f t="shared" si="8"/>
        <v>0</v>
      </c>
      <c r="V201" s="88" t="str">
        <f>ifs($N201="",VLOOKUP($C201&amp;$F201,'MARCH - VISIT DATA'!$A$2:$J600,7,FALSE), $N201="SWAB","OUTSA-RW",$N201="SWQU","OUTSA-SaQu", AND($L201="X",$M201="X",$N201="QUEST"),"OUT-UAQPre",$N201="QUEST","OUT-UAQ", $N201="Walk in","ColUATele")</f>
        <v>UA</v>
      </c>
      <c r="W201" s="70" t="str">
        <f t="shared" si="9"/>
        <v>UA : Urine Analysis In House</v>
      </c>
      <c r="X201" s="64" t="str">
        <f t="shared" si="10"/>
        <v>UA : Urine Analysis In House</v>
      </c>
      <c r="Y201" s="64" t="str">
        <f t="shared" si="11"/>
        <v>MATCH</v>
      </c>
      <c r="Z201" s="66" t="str">
        <f t="shared" si="12"/>
        <v> </v>
      </c>
      <c r="AA201" s="71"/>
    </row>
    <row r="202" ht="15.75" customHeight="1">
      <c r="A202" s="56" t="str">
        <f t="shared" si="1"/>
        <v>1624644634</v>
      </c>
      <c r="B202" s="56" t="str">
        <f>IFS($C202=FALSE,"",$C202,VLOOKUP($C202,'PATIENT DATA (072721)'!A:C, 2, 0))</f>
        <v>RENTERIA, ALMA</v>
      </c>
      <c r="C202" s="57">
        <v>16246.0</v>
      </c>
      <c r="D202" s="127" t="str">
        <f>IF(COUNTIF('PATIENT DATA (072721)'!A:A, C202)=0, "X","✓")</f>
        <v>✓</v>
      </c>
      <c r="E202" s="79">
        <f>IFS($C202=FALSE,"",$C202,VLOOKUP($C202,'PATIENT DATA (072721)'!A:C, 3, 0))</f>
        <v>24375</v>
      </c>
      <c r="F202" s="80">
        <v>44634.0</v>
      </c>
      <c r="G202" s="81">
        <f>ifs($C202="","",$C202, VLOOKUP($C202&amp;$F202, 'MARCH - VISIT DATA'!A:O,3,0))</f>
        <v>0.59375</v>
      </c>
      <c r="H202" s="83" t="s">
        <v>6560</v>
      </c>
      <c r="I202" s="122" t="str">
        <f>VLOOKUP($C202&amp;$F202,'MARCH - VISIT DATA'!A:J, 9, FALSE)</f>
        <v>TORRES</v>
      </c>
      <c r="J202" s="85" t="str">
        <f>VLOOKUP(C202&amp;F202,'MARCH - VISIT DATA'!A:O,10,FALSE)</f>
        <v>AETNA HMO</v>
      </c>
      <c r="K202" s="86"/>
      <c r="L202" s="86" t="s">
        <v>6559</v>
      </c>
      <c r="M202" s="86"/>
      <c r="N202" s="86"/>
      <c r="O202" s="121" t="str">
        <f t="shared" si="2"/>
        <v>✓</v>
      </c>
      <c r="P202" s="79" t="str">
        <f t="shared" si="3"/>
        <v>#VALUE!</v>
      </c>
      <c r="Q202" s="123" t="str">
        <f t="shared" si="4"/>
        <v>#VALUE!</v>
      </c>
      <c r="R202" s="124" t="str">
        <f t="shared" si="5"/>
        <v>#VALUE!</v>
      </c>
      <c r="S202" s="125" t="str">
        <f t="shared" si="6"/>
        <v>#VALUE!</v>
      </c>
      <c r="T202" s="125" t="str">
        <f t="shared" si="7"/>
        <v>#VALUE!</v>
      </c>
      <c r="U202" s="83">
        <f t="shared" si="8"/>
        <v>0</v>
      </c>
      <c r="V202" s="88" t="str">
        <f>ifs($N202="",VLOOKUP($C202&amp;$F202,'MARCH - VISIT DATA'!$A$2:$J600,7,FALSE), $N202="SWAB","OUTSA-RW",$N202="SWQU","OUTSA-SaQu", AND($L202="X",$M202="X",$N202="QUEST"),"OUT-UAQPre",$N202="QUEST","OUT-UAQ", $N202="Walk in","ColUATele")</f>
        <v>UA</v>
      </c>
      <c r="W202" s="70" t="str">
        <f t="shared" si="9"/>
        <v>UA : Urine Analysis In House</v>
      </c>
      <c r="X202" s="64" t="str">
        <f t="shared" si="10"/>
        <v>UA : Urine Analysis In House</v>
      </c>
      <c r="Y202" s="64" t="str">
        <f t="shared" si="11"/>
        <v>MATCH</v>
      </c>
      <c r="Z202" s="66" t="str">
        <f t="shared" si="12"/>
        <v> </v>
      </c>
      <c r="AA202" s="71"/>
    </row>
    <row r="203" ht="15.75" customHeight="1">
      <c r="A203" s="56" t="str">
        <f t="shared" si="1"/>
        <v>1654244634</v>
      </c>
      <c r="B203" s="56" t="str">
        <f>IFS($C203=FALSE,"",$C203,VLOOKUP($C203,'PATIENT DATA (072721)'!A:C, 2, 0))</f>
        <v>SANDOVAL, DOLORES F</v>
      </c>
      <c r="C203" s="57">
        <v>16542.0</v>
      </c>
      <c r="D203" s="127" t="str">
        <f>IF(COUNTIF('PATIENT DATA (072721)'!A:A, C203)=0, "X","✓")</f>
        <v>✓</v>
      </c>
      <c r="E203" s="79">
        <f>IFS($C203=FALSE,"",$C203,VLOOKUP($C203,'PATIENT DATA (072721)'!A:C, 3, 0))</f>
        <v>16692</v>
      </c>
      <c r="F203" s="80">
        <v>44634.0</v>
      </c>
      <c r="G203" s="81">
        <f>ifs($C203="","",$C203, VLOOKUP($C203&amp;$F203, 'MARCH - VISIT DATA'!A:O,3,0))</f>
        <v>0.46875</v>
      </c>
      <c r="H203" s="83" t="s">
        <v>6560</v>
      </c>
      <c r="I203" s="122" t="str">
        <f>VLOOKUP($C203&amp;$F203,'MARCH - VISIT DATA'!A:J, 9, FALSE)</f>
        <v>TORRES</v>
      </c>
      <c r="J203" s="85" t="str">
        <f>VLOOKUP(C203&amp;F203,'MARCH - VISIT DATA'!A:O,10,FALSE)</f>
        <v>UNITED HEALTHCARE - HEALTH SELECT</v>
      </c>
      <c r="K203" s="86"/>
      <c r="L203" s="86" t="s">
        <v>6559</v>
      </c>
      <c r="M203" s="86"/>
      <c r="N203" s="86"/>
      <c r="O203" s="121" t="str">
        <f t="shared" si="2"/>
        <v>✓</v>
      </c>
      <c r="P203" s="79" t="str">
        <f t="shared" si="3"/>
        <v>#VALUE!</v>
      </c>
      <c r="Q203" s="123" t="str">
        <f t="shared" si="4"/>
        <v>#VALUE!</v>
      </c>
      <c r="R203" s="124" t="str">
        <f t="shared" si="5"/>
        <v>#VALUE!</v>
      </c>
      <c r="S203" s="125" t="str">
        <f t="shared" si="6"/>
        <v>#VALUE!</v>
      </c>
      <c r="T203" s="125" t="str">
        <f t="shared" si="7"/>
        <v>#VALUE!</v>
      </c>
      <c r="U203" s="83">
        <f t="shared" si="8"/>
        <v>0</v>
      </c>
      <c r="V203" s="88" t="str">
        <f>ifs($N203="",VLOOKUP($C203&amp;$F203,'MARCH - VISIT DATA'!$A$2:$J600,7,FALSE), $N203="SWAB","OUTSA-RW",$N203="SWQU","OUTSA-SaQu", AND($L203="X",$M203="X",$N203="QUEST"),"OUT-UAQPre",$N203="QUEST","OUT-UAQ", $N203="Walk in","ColUATele")</f>
        <v>UA</v>
      </c>
      <c r="W203" s="70" t="str">
        <f t="shared" si="9"/>
        <v>UA : Urine Analysis In House</v>
      </c>
      <c r="X203" s="64" t="str">
        <f t="shared" si="10"/>
        <v>UA : Urine Analysis In House</v>
      </c>
      <c r="Y203" s="64" t="str">
        <f t="shared" si="11"/>
        <v>MATCH</v>
      </c>
      <c r="Z203" s="66" t="str">
        <f t="shared" si="12"/>
        <v> </v>
      </c>
      <c r="AA203" s="71"/>
    </row>
    <row r="204" ht="15.75" customHeight="1">
      <c r="A204" s="56" t="str">
        <f t="shared" si="1"/>
        <v>1736744634</v>
      </c>
      <c r="B204" s="56" t="str">
        <f>IFS($C204=FALSE,"",$C204,VLOOKUP($C204,'PATIENT DATA (072721)'!A:C, 2, 0))</f>
        <v>MINJAREZ, FERNANDO</v>
      </c>
      <c r="C204" s="57">
        <v>17367.0</v>
      </c>
      <c r="D204" s="127" t="str">
        <f>IF(COUNTIF('PATIENT DATA (072721)'!A:A, C204)=0, "X","✓")</f>
        <v>✓</v>
      </c>
      <c r="E204" s="79">
        <f>IFS($C204=FALSE,"",$C204,VLOOKUP($C204,'PATIENT DATA (072721)'!A:C, 3, 0))</f>
        <v>20919</v>
      </c>
      <c r="F204" s="80">
        <v>44634.0</v>
      </c>
      <c r="G204" s="81">
        <f>ifs($C204="","",$C204, VLOOKUP($C204&amp;$F204, 'MARCH - VISIT DATA'!A:O,3,0))</f>
        <v>0.6354166667</v>
      </c>
      <c r="H204" s="83" t="s">
        <v>6560</v>
      </c>
      <c r="I204" s="122" t="str">
        <f>VLOOKUP($C204&amp;$F204,'MARCH - VISIT DATA'!A:J, 9, FALSE)</f>
        <v>TORRES</v>
      </c>
      <c r="J204" s="85" t="str">
        <f>VLOOKUP(C204&amp;F204,'MARCH - VISIT DATA'!A:O,10,FALSE)</f>
        <v>WPS VA - COMMUNITY CARE</v>
      </c>
      <c r="K204" s="86"/>
      <c r="L204" s="86" t="s">
        <v>6559</v>
      </c>
      <c r="M204" s="86"/>
      <c r="N204" s="86"/>
      <c r="O204" s="121" t="str">
        <f t="shared" si="2"/>
        <v>✓</v>
      </c>
      <c r="P204" s="79" t="str">
        <f t="shared" si="3"/>
        <v>#VALUE!</v>
      </c>
      <c r="Q204" s="123" t="str">
        <f t="shared" si="4"/>
        <v>#VALUE!</v>
      </c>
      <c r="R204" s="124" t="str">
        <f t="shared" si="5"/>
        <v>#VALUE!</v>
      </c>
      <c r="S204" s="125" t="str">
        <f t="shared" si="6"/>
        <v>#VALUE!</v>
      </c>
      <c r="T204" s="125" t="str">
        <f t="shared" si="7"/>
        <v>#VALUE!</v>
      </c>
      <c r="U204" s="83">
        <f t="shared" si="8"/>
        <v>0</v>
      </c>
      <c r="V204" s="88" t="str">
        <f>ifs($N204="",VLOOKUP($C204&amp;$F204,'MARCH - VISIT DATA'!$A$2:$J600,7,FALSE), $N204="SWAB","OUTSA-RW",$N204="SWQU","OUTSA-SaQu", AND($L204="X",$M204="X",$N204="QUEST"),"OUT-UAQPre",$N204="QUEST","OUT-UAQ", $N204="Walk in","ColUATele")</f>
        <v>UA</v>
      </c>
      <c r="W204" s="70" t="str">
        <f t="shared" si="9"/>
        <v>UA : Urine Analysis In House</v>
      </c>
      <c r="X204" s="64" t="str">
        <f t="shared" si="10"/>
        <v>UA : Urine Analysis In House</v>
      </c>
      <c r="Y204" s="64" t="str">
        <f t="shared" si="11"/>
        <v>MATCH</v>
      </c>
      <c r="Z204" s="66" t="str">
        <f t="shared" si="12"/>
        <v> </v>
      </c>
      <c r="AA204" s="71"/>
    </row>
    <row r="205" ht="15.75" customHeight="1">
      <c r="A205" s="56" t="str">
        <f t="shared" si="1"/>
        <v>925944635</v>
      </c>
      <c r="B205" s="56" t="str">
        <f>IFS($C205=FALSE,"",$C205,VLOOKUP($C205,'PATIENT DATA (072721)'!A:C, 2, 0))</f>
        <v>RANGEL, GUADALUPE Q</v>
      </c>
      <c r="C205" s="57">
        <v>9259.0</v>
      </c>
      <c r="D205" s="127" t="str">
        <f>IF(COUNTIF('PATIENT DATA (072721)'!A:A, C205)=0, "X","✓")</f>
        <v>✓</v>
      </c>
      <c r="E205" s="79">
        <f>IFS($C205=FALSE,"",$C205,VLOOKUP($C205,'PATIENT DATA (072721)'!A:C, 3, 0))</f>
        <v>23278</v>
      </c>
      <c r="F205" s="80">
        <v>44635.0</v>
      </c>
      <c r="G205" s="81">
        <f>ifs($C205="","",$C205, VLOOKUP($C205&amp;$F205, 'MARCH - VISIT DATA'!A:O,3,0))</f>
        <v>0.625</v>
      </c>
      <c r="H205" s="83"/>
      <c r="I205" s="122" t="str">
        <f>VLOOKUP($C205&amp;$F205,'MARCH - VISIT DATA'!A:J, 9, FALSE)</f>
        <v>TORRES</v>
      </c>
      <c r="J205" s="85" t="str">
        <f>VLOOKUP(C205&amp;F205,'MARCH - VISIT DATA'!A:O,10,FALSE)</f>
        <v>AMERIGROUP</v>
      </c>
      <c r="K205" s="86"/>
      <c r="L205" s="86" t="s">
        <v>6559</v>
      </c>
      <c r="M205" s="86"/>
      <c r="N205" s="86"/>
      <c r="O205" s="121" t="str">
        <f t="shared" si="2"/>
        <v>✓</v>
      </c>
      <c r="P205" s="79" t="str">
        <f t="shared" si="3"/>
        <v>#VALUE!</v>
      </c>
      <c r="Q205" s="123" t="str">
        <f t="shared" si="4"/>
        <v>#VALUE!</v>
      </c>
      <c r="R205" s="124" t="str">
        <f t="shared" si="5"/>
        <v>#VALUE!</v>
      </c>
      <c r="S205" s="125" t="str">
        <f t="shared" si="6"/>
        <v>#VALUE!</v>
      </c>
      <c r="T205" s="125" t="str">
        <f t="shared" si="7"/>
        <v>#VALUE!</v>
      </c>
      <c r="U205" s="83">
        <f t="shared" si="8"/>
        <v>0</v>
      </c>
      <c r="V205" s="88" t="str">
        <f>ifs($N205="",VLOOKUP($C205&amp;$F205,'MARCH - VISIT DATA'!$A$2:$J600,7,FALSE), $N205="SWAB","OUTSA-RW",$N205="SWQU","OUTSA-SaQu", AND($L205="X",$M205="X",$N205="QUEST"),"OUT-UAQPre",$N205="QUEST","OUT-UAQ", $N205="Walk in","ColUATele")</f>
        <v>UA</v>
      </c>
      <c r="W205" s="70" t="str">
        <f t="shared" si="9"/>
        <v>UA : Urine Analysis In House</v>
      </c>
      <c r="X205" s="64" t="str">
        <f t="shared" si="10"/>
        <v>UA : Urine Analysis In House</v>
      </c>
      <c r="Y205" s="64" t="str">
        <f t="shared" si="11"/>
        <v>MATCH</v>
      </c>
      <c r="Z205" s="66" t="str">
        <f t="shared" si="12"/>
        <v> </v>
      </c>
      <c r="AA205" s="71"/>
    </row>
    <row r="206" ht="15.75" customHeight="1">
      <c r="A206" s="56" t="str">
        <f t="shared" si="1"/>
        <v>930344635</v>
      </c>
      <c r="B206" s="56" t="str">
        <f>IFS($C206=FALSE,"",$C206,VLOOKUP($C206,'PATIENT DATA (072721)'!A:C, 2, 0))</f>
        <v>CASTORENA, WILLIAM E</v>
      </c>
      <c r="C206" s="57">
        <v>9303.0</v>
      </c>
      <c r="D206" s="127" t="str">
        <f>IF(COUNTIF('PATIENT DATA (072721)'!A:A, C206)=0, "X","✓")</f>
        <v>✓</v>
      </c>
      <c r="E206" s="79">
        <f>IFS($C206=FALSE,"",$C206,VLOOKUP($C206,'PATIENT DATA (072721)'!A:C, 3, 0))</f>
        <v>21908</v>
      </c>
      <c r="F206" s="80">
        <v>44635.0</v>
      </c>
      <c r="G206" s="81">
        <f>ifs($C206="","",$C206, VLOOKUP($C206&amp;$F206, 'MARCH - VISIT DATA'!A:O,3,0))</f>
        <v>0.3958333333</v>
      </c>
      <c r="H206" s="83"/>
      <c r="I206" s="122" t="str">
        <f>VLOOKUP($C206&amp;$F206,'MARCH - VISIT DATA'!A:J, 9, FALSE)</f>
        <v>LOPEZ</v>
      </c>
      <c r="J206" s="85" t="str">
        <f>VLOOKUP(C206&amp;F206,'MARCH - VISIT DATA'!A:O,10,FALSE)</f>
        <v>BCBSTX PPO</v>
      </c>
      <c r="K206" s="86"/>
      <c r="L206" s="86" t="s">
        <v>6559</v>
      </c>
      <c r="M206" s="86"/>
      <c r="N206" s="86"/>
      <c r="O206" s="121" t="str">
        <f t="shared" si="2"/>
        <v>✓</v>
      </c>
      <c r="P206" s="79" t="str">
        <f t="shared" si="3"/>
        <v>#VALUE!</v>
      </c>
      <c r="Q206" s="123" t="str">
        <f t="shared" si="4"/>
        <v>#VALUE!</v>
      </c>
      <c r="R206" s="124" t="str">
        <f t="shared" si="5"/>
        <v>#VALUE!</v>
      </c>
      <c r="S206" s="125" t="str">
        <f t="shared" si="6"/>
        <v>#VALUE!</v>
      </c>
      <c r="T206" s="125" t="str">
        <f t="shared" si="7"/>
        <v>#VALUE!</v>
      </c>
      <c r="U206" s="83">
        <f t="shared" si="8"/>
        <v>0</v>
      </c>
      <c r="V206" s="88" t="str">
        <f>ifs($N206="",VLOOKUP($C206&amp;$F206,'MARCH - VISIT DATA'!$A$2:$J600,7,FALSE), $N206="SWAB","OUTSA-RW",$N206="SWQU","OUTSA-SaQu", AND($L206="X",$M206="X",$N206="QUEST"),"OUT-UAQPre",$N206="QUEST","OUT-UAQ", $N206="Walk in","ColUATele")</f>
        <v>UA</v>
      </c>
      <c r="W206" s="70" t="str">
        <f t="shared" si="9"/>
        <v>UA : Urine Analysis In House</v>
      </c>
      <c r="X206" s="64" t="str">
        <f t="shared" si="10"/>
        <v>UA : Urine Analysis In House</v>
      </c>
      <c r="Y206" s="64" t="str">
        <f t="shared" si="11"/>
        <v>MATCH</v>
      </c>
      <c r="Z206" s="66" t="str">
        <f t="shared" si="12"/>
        <v> </v>
      </c>
      <c r="AA206" s="71"/>
    </row>
    <row r="207" ht="15.75" hidden="1" customHeight="1">
      <c r="A207" s="56" t="str">
        <f t="shared" si="1"/>
        <v>930944635</v>
      </c>
      <c r="B207" s="56" t="str">
        <f>IFS($C207=FALSE,"",$C207,VLOOKUP($C207,'PATIENT DATA (072721)'!A:C, 2, 0))</f>
        <v>JOHNSTON, JOHNNY L</v>
      </c>
      <c r="C207" s="57">
        <v>9309.0</v>
      </c>
      <c r="D207" s="127" t="str">
        <f>IF(COUNTIF('PATIENT DATA (072721)'!A:A, C207)=0, "X","✓")</f>
        <v>✓</v>
      </c>
      <c r="E207" s="79">
        <f>IFS($C207=FALSE,"",$C207,VLOOKUP($C207,'PATIENT DATA (072721)'!A:C, 3, 0))</f>
        <v>16967</v>
      </c>
      <c r="F207" s="80">
        <v>44635.0</v>
      </c>
      <c r="G207" s="81">
        <f>ifs($C207="","",$C207, VLOOKUP($C207&amp;$F207, 'MARCH - VISIT DATA'!A:O,3,0))</f>
        <v>0.65625</v>
      </c>
      <c r="H207" s="83"/>
      <c r="I207" s="122" t="str">
        <f>VLOOKUP($C207&amp;$F207,'MARCH - VISIT DATA'!A:J, 9, FALSE)</f>
        <v>LOPEZ</v>
      </c>
      <c r="J207" s="85" t="str">
        <f>VLOOKUP(C207&amp;F207,'MARCH - VISIT DATA'!A:O,10,FALSE)</f>
        <v>WPS VA - COMMUNITY CARE</v>
      </c>
      <c r="K207" s="86"/>
      <c r="L207" s="86" t="s">
        <v>6559</v>
      </c>
      <c r="M207" s="86" t="s">
        <v>6559</v>
      </c>
      <c r="N207" s="86"/>
      <c r="O207" s="121" t="str">
        <f t="shared" si="2"/>
        <v>✓</v>
      </c>
      <c r="P207" s="79" t="str">
        <f t="shared" si="3"/>
        <v>#VALUE!</v>
      </c>
      <c r="Q207" s="123" t="str">
        <f t="shared" si="4"/>
        <v>#VALUE!</v>
      </c>
      <c r="R207" s="124" t="str">
        <f t="shared" si="5"/>
        <v>#VALUE!</v>
      </c>
      <c r="S207" s="125" t="str">
        <f t="shared" si="6"/>
        <v>#VALUE!</v>
      </c>
      <c r="T207" s="125" t="str">
        <f t="shared" si="7"/>
        <v>#VALUE!</v>
      </c>
      <c r="U207" s="83">
        <f t="shared" si="8"/>
        <v>0</v>
      </c>
      <c r="V207" s="88" t="str">
        <f>ifs($N207="",VLOOKUP($C207&amp;$F207,'MARCH - VISIT DATA'!$A$2:$J600,7,FALSE), $N207="SWAB","OUTSA-RW",$N207="SWQU","OUTSA-SaQu", AND($L207="X",$M207="X",$N207="QUEST"),"OUT-UAQPre",$N207="QUEST","OUT-UAQ", $N207="Walk in","ColUATele")</f>
        <v>UA-Prelim</v>
      </c>
      <c r="W207" s="70" t="str">
        <f t="shared" si="9"/>
        <v>UA-Prelim : Preliminary UA Test</v>
      </c>
      <c r="X207" s="64" t="str">
        <f t="shared" si="10"/>
        <v>UA-Prelim : Preliminary UA Test</v>
      </c>
      <c r="Y207" s="64" t="str">
        <f t="shared" si="11"/>
        <v>MATCH</v>
      </c>
      <c r="Z207" s="66" t="str">
        <f t="shared" si="12"/>
        <v> </v>
      </c>
      <c r="AA207" s="71"/>
    </row>
    <row r="208" ht="15.75" customHeight="1">
      <c r="A208" s="56" t="str">
        <f t="shared" si="1"/>
        <v>942044635</v>
      </c>
      <c r="B208" s="56" t="str">
        <f>IFS($C208=FALSE,"",$C208,VLOOKUP($C208,'PATIENT DATA (072721)'!A:C, 2, 0))</f>
        <v>BARRAZA, MARIA E</v>
      </c>
      <c r="C208" s="57">
        <v>9420.0</v>
      </c>
      <c r="D208" s="127" t="str">
        <f>IF(COUNTIF('PATIENT DATA (072721)'!A:A, C208)=0, "X","✓")</f>
        <v>✓</v>
      </c>
      <c r="E208" s="79">
        <f>IFS($C208=FALSE,"",$C208,VLOOKUP($C208,'PATIENT DATA (072721)'!A:C, 3, 0))</f>
        <v>19224</v>
      </c>
      <c r="F208" s="80">
        <v>44635.0</v>
      </c>
      <c r="G208" s="81">
        <f>ifs($C208="","",$C208, VLOOKUP($C208&amp;$F208, 'MARCH - VISIT DATA'!A:O,3,0))</f>
        <v>0.3333333333</v>
      </c>
      <c r="H208" s="83"/>
      <c r="I208" s="122" t="str">
        <f>VLOOKUP($C208&amp;$F208,'MARCH - VISIT DATA'!A:J, 9, FALSE)</f>
        <v>THOMAS</v>
      </c>
      <c r="J208" s="85" t="str">
        <f>VLOOKUP(C208&amp;F208,'MARCH - VISIT DATA'!A:O,10,FALSE)</f>
        <v>MEDICARE TEXAS</v>
      </c>
      <c r="K208" s="86"/>
      <c r="L208" s="86" t="s">
        <v>6559</v>
      </c>
      <c r="M208" s="86"/>
      <c r="N208" s="86"/>
      <c r="O208" s="121" t="str">
        <f t="shared" si="2"/>
        <v>✓</v>
      </c>
      <c r="P208" s="79" t="str">
        <f t="shared" si="3"/>
        <v>#VALUE!</v>
      </c>
      <c r="Q208" s="123" t="str">
        <f t="shared" si="4"/>
        <v>#VALUE!</v>
      </c>
      <c r="R208" s="124" t="str">
        <f t="shared" si="5"/>
        <v>#VALUE!</v>
      </c>
      <c r="S208" s="125" t="str">
        <f t="shared" si="6"/>
        <v>#VALUE!</v>
      </c>
      <c r="T208" s="125" t="str">
        <f t="shared" si="7"/>
        <v>#VALUE!</v>
      </c>
      <c r="U208" s="83">
        <f t="shared" si="8"/>
        <v>0</v>
      </c>
      <c r="V208" s="88" t="str">
        <f>ifs($N208="",VLOOKUP($C208&amp;$F208,'MARCH - VISIT DATA'!$A$2:$J600,7,FALSE), $N208="SWAB","OUTSA-RW",$N208="SWQU","OUTSA-SaQu", AND($L208="X",$M208="X",$N208="QUEST"),"OUT-UAQPre",$N208="QUEST","OUT-UAQ", $N208="Walk in","ColUATele")</f>
        <v>UA</v>
      </c>
      <c r="W208" s="70" t="str">
        <f t="shared" si="9"/>
        <v>UA : Urine Analysis In House</v>
      </c>
      <c r="X208" s="64" t="str">
        <f t="shared" si="10"/>
        <v>UA : Urine Analysis In House</v>
      </c>
      <c r="Y208" s="64" t="str">
        <f t="shared" si="11"/>
        <v>MATCH</v>
      </c>
      <c r="Z208" s="66" t="str">
        <f t="shared" si="12"/>
        <v> </v>
      </c>
      <c r="AA208" s="71"/>
    </row>
    <row r="209" ht="15.75" hidden="1" customHeight="1">
      <c r="A209" s="56" t="str">
        <f t="shared" si="1"/>
        <v>977944635</v>
      </c>
      <c r="B209" s="56" t="str">
        <f>IFS($C209=FALSE,"",$C209,VLOOKUP($C209,'PATIENT DATA (072721)'!A:C, 2, 0))</f>
        <v>COLON, BERTHA A</v>
      </c>
      <c r="C209" s="57">
        <v>9779.0</v>
      </c>
      <c r="D209" s="127" t="str">
        <f>IF(COUNTIF('PATIENT DATA (072721)'!A:A, C209)=0, "X","✓")</f>
        <v>✓</v>
      </c>
      <c r="E209" s="79">
        <f>IFS($C209=FALSE,"",$C209,VLOOKUP($C209,'PATIENT DATA (072721)'!A:C, 3, 0))</f>
        <v>22449</v>
      </c>
      <c r="F209" s="80">
        <v>44635.0</v>
      </c>
      <c r="G209" s="81">
        <f>ifs($C209="","",$C209, VLOOKUP($C209&amp;$F209, 'MARCH - VISIT DATA'!A:O,3,0))</f>
        <v>0.5625</v>
      </c>
      <c r="H209" s="83"/>
      <c r="I209" s="122" t="str">
        <f>VLOOKUP($C209&amp;$F209,'MARCH - VISIT DATA'!A:J, 9, FALSE)</f>
        <v>MARTINEZ</v>
      </c>
      <c r="J209" s="85" t="str">
        <f>VLOOKUP(C209&amp;F209,'MARCH - VISIT DATA'!A:O,10,FALSE)</f>
        <v>AMERIVANTAGE</v>
      </c>
      <c r="K209" s="86"/>
      <c r="L209" s="86" t="s">
        <v>6559</v>
      </c>
      <c r="M209" s="86" t="s">
        <v>6559</v>
      </c>
      <c r="N209" s="86"/>
      <c r="O209" s="121" t="str">
        <f t="shared" si="2"/>
        <v>✓</v>
      </c>
      <c r="P209" s="79" t="str">
        <f t="shared" si="3"/>
        <v>#VALUE!</v>
      </c>
      <c r="Q209" s="123" t="str">
        <f t="shared" si="4"/>
        <v>#VALUE!</v>
      </c>
      <c r="R209" s="124" t="str">
        <f t="shared" si="5"/>
        <v>#VALUE!</v>
      </c>
      <c r="S209" s="125" t="str">
        <f t="shared" si="6"/>
        <v>#VALUE!</v>
      </c>
      <c r="T209" s="125" t="str">
        <f t="shared" si="7"/>
        <v>#VALUE!</v>
      </c>
      <c r="U209" s="83">
        <f t="shared" si="8"/>
        <v>0</v>
      </c>
      <c r="V209" s="88" t="str">
        <f>ifs($N209="",VLOOKUP($C209&amp;$F209,'MARCH - VISIT DATA'!$A$2:$J600,7,FALSE), $N209="SWAB","OUTSA-RW",$N209="SWQU","OUTSA-SaQu", AND($L209="X",$M209="X",$N209="QUEST"),"OUT-UAQPre",$N209="QUEST","OUT-UAQ", $N209="Walk in","ColUATele")</f>
        <v>UA-Prelim</v>
      </c>
      <c r="W209" s="70" t="str">
        <f t="shared" si="9"/>
        <v>UA-Prelim : Preliminary UA Test</v>
      </c>
      <c r="X209" s="64" t="str">
        <f t="shared" si="10"/>
        <v>UA-Prelim : Preliminary UA Test</v>
      </c>
      <c r="Y209" s="64" t="str">
        <f t="shared" si="11"/>
        <v>MATCH</v>
      </c>
      <c r="Z209" s="66" t="str">
        <f t="shared" si="12"/>
        <v> </v>
      </c>
      <c r="AA209" s="71"/>
    </row>
    <row r="210" ht="15.75" hidden="1" customHeight="1">
      <c r="A210" s="56" t="str">
        <f t="shared" si="1"/>
        <v>1069744635</v>
      </c>
      <c r="B210" s="56" t="str">
        <f>IFS($C210=FALSE,"",$C210,VLOOKUP($C210,'PATIENT DATA (072721)'!A:C, 2, 0))</f>
        <v>MARTINEZ, DEANA</v>
      </c>
      <c r="C210" s="57">
        <v>10697.0</v>
      </c>
      <c r="D210" s="127" t="str">
        <f>IF(COUNTIF('PATIENT DATA (072721)'!A:A, C210)=0, "X","✓")</f>
        <v>✓</v>
      </c>
      <c r="E210" s="79">
        <f>IFS($C210=FALSE,"",$C210,VLOOKUP($C210,'PATIENT DATA (072721)'!A:C, 3, 0))</f>
        <v>27612</v>
      </c>
      <c r="F210" s="80">
        <v>44635.0</v>
      </c>
      <c r="G210" s="81">
        <f>ifs($C210="","",$C210, VLOOKUP($C210&amp;$F210, 'MARCH - VISIT DATA'!A:O,3,0))</f>
        <v>0.6458333333</v>
      </c>
      <c r="H210" s="83"/>
      <c r="I210" s="122" t="str">
        <f>VLOOKUP($C210&amp;$F210,'MARCH - VISIT DATA'!A:J, 9, FALSE)</f>
        <v>TORRES</v>
      </c>
      <c r="J210" s="85" t="str">
        <f>VLOOKUP(C210&amp;F210,'MARCH - VISIT DATA'!A:O,10,FALSE)</f>
        <v>TRICARE SELECT</v>
      </c>
      <c r="K210" s="86"/>
      <c r="L210" s="86" t="s">
        <v>6559</v>
      </c>
      <c r="M210" s="86" t="s">
        <v>6559</v>
      </c>
      <c r="N210" s="86"/>
      <c r="O210" s="121" t="str">
        <f t="shared" si="2"/>
        <v>✓</v>
      </c>
      <c r="P210" s="79" t="str">
        <f t="shared" si="3"/>
        <v>#VALUE!</v>
      </c>
      <c r="Q210" s="123" t="str">
        <f t="shared" si="4"/>
        <v>#VALUE!</v>
      </c>
      <c r="R210" s="124" t="str">
        <f t="shared" si="5"/>
        <v>#VALUE!</v>
      </c>
      <c r="S210" s="125" t="str">
        <f t="shared" si="6"/>
        <v>#VALUE!</v>
      </c>
      <c r="T210" s="125" t="str">
        <f t="shared" si="7"/>
        <v>#VALUE!</v>
      </c>
      <c r="U210" s="83">
        <f t="shared" si="8"/>
        <v>0</v>
      </c>
      <c r="V210" s="88" t="str">
        <f>ifs($N210="",VLOOKUP($C210&amp;$F210,'MARCH - VISIT DATA'!$A$2:$J600,7,FALSE), $N210="SWAB","OUTSA-RW",$N210="SWQU","OUTSA-SaQu", AND($L210="X",$M210="X",$N210="QUEST"),"OUT-UAQPre",$N210="QUEST","OUT-UAQ", $N210="Walk in","ColUATele")</f>
        <v>UA-Prelim</v>
      </c>
      <c r="W210" s="70" t="str">
        <f t="shared" si="9"/>
        <v>UA-Prelim : Preliminary UA Test</v>
      </c>
      <c r="X210" s="64" t="str">
        <f t="shared" si="10"/>
        <v>UA-Prelim : Preliminary UA Test</v>
      </c>
      <c r="Y210" s="64" t="str">
        <f t="shared" si="11"/>
        <v>MATCH</v>
      </c>
      <c r="Z210" s="66" t="str">
        <f t="shared" si="12"/>
        <v> </v>
      </c>
      <c r="AA210" s="71"/>
    </row>
    <row r="211" ht="15.75" customHeight="1">
      <c r="A211" s="56" t="str">
        <f t="shared" si="1"/>
        <v>1102644635</v>
      </c>
      <c r="B211" s="56" t="str">
        <f>IFS($C211=FALSE,"",$C211,VLOOKUP($C211,'PATIENT DATA (072721)'!A:C, 2, 0))</f>
        <v>LOPEZ, MARIA</v>
      </c>
      <c r="C211" s="57">
        <v>11026.0</v>
      </c>
      <c r="D211" s="127" t="str">
        <f>IF(COUNTIF('PATIENT DATA (072721)'!A:A, C211)=0, "X","✓")</f>
        <v>✓</v>
      </c>
      <c r="E211" s="79">
        <f>IFS($C211=FALSE,"",$C211,VLOOKUP($C211,'PATIENT DATA (072721)'!A:C, 3, 0))</f>
        <v>21125</v>
      </c>
      <c r="F211" s="80">
        <v>44635.0</v>
      </c>
      <c r="G211" s="81">
        <f>ifs($C211="","",$C211, VLOOKUP($C211&amp;$F211, 'MARCH - VISIT DATA'!A:O,3,0))</f>
        <v>0.34375</v>
      </c>
      <c r="H211" s="83"/>
      <c r="I211" s="122" t="str">
        <f>VLOOKUP($C211&amp;$F211,'MARCH - VISIT DATA'!A:J, 9, FALSE)</f>
        <v>TORRES</v>
      </c>
      <c r="J211" s="85" t="str">
        <f>VLOOKUP(C211&amp;F211,'MARCH - VISIT DATA'!A:O,10,FALSE)</f>
        <v>AMERIGROUP</v>
      </c>
      <c r="K211" s="86"/>
      <c r="L211" s="86" t="s">
        <v>6559</v>
      </c>
      <c r="M211" s="86"/>
      <c r="N211" s="86"/>
      <c r="O211" s="121" t="str">
        <f t="shared" si="2"/>
        <v>✓</v>
      </c>
      <c r="P211" s="79" t="str">
        <f t="shared" si="3"/>
        <v>#VALUE!</v>
      </c>
      <c r="Q211" s="123" t="str">
        <f t="shared" si="4"/>
        <v>#VALUE!</v>
      </c>
      <c r="R211" s="124" t="str">
        <f t="shared" si="5"/>
        <v>#VALUE!</v>
      </c>
      <c r="S211" s="125" t="str">
        <f t="shared" si="6"/>
        <v>#VALUE!</v>
      </c>
      <c r="T211" s="125" t="str">
        <f t="shared" si="7"/>
        <v>#VALUE!</v>
      </c>
      <c r="U211" s="83">
        <f t="shared" si="8"/>
        <v>0</v>
      </c>
      <c r="V211" s="88" t="str">
        <f>ifs($N211="",VLOOKUP($C211&amp;$F211,'MARCH - VISIT DATA'!$A$2:$J600,7,FALSE), $N211="SWAB","OUTSA-RW",$N211="SWQU","OUTSA-SaQu", AND($L211="X",$M211="X",$N211="QUEST"),"OUT-UAQPre",$N211="QUEST","OUT-UAQ", $N211="Walk in","ColUATele")</f>
        <v>UA</v>
      </c>
      <c r="W211" s="70" t="str">
        <f t="shared" si="9"/>
        <v>UA : Urine Analysis In House</v>
      </c>
      <c r="X211" s="64" t="str">
        <f t="shared" si="10"/>
        <v>UA : Urine Analysis In House</v>
      </c>
      <c r="Y211" s="64" t="str">
        <f t="shared" si="11"/>
        <v>MATCH</v>
      </c>
      <c r="Z211" s="66" t="str">
        <f t="shared" si="12"/>
        <v> </v>
      </c>
      <c r="AA211" s="71"/>
    </row>
    <row r="212" ht="15.75" hidden="1" customHeight="1">
      <c r="A212" s="56" t="str">
        <f t="shared" si="1"/>
        <v>1135744635</v>
      </c>
      <c r="B212" s="56" t="str">
        <f>IFS($C212=FALSE,"",$C212,VLOOKUP($C212,'PATIENT DATA (072721)'!A:C, 2, 0))</f>
        <v>MCDONALD, MARY J</v>
      </c>
      <c r="C212" s="57">
        <v>11357.0</v>
      </c>
      <c r="D212" s="127" t="str">
        <f>IF(COUNTIF('PATIENT DATA (072721)'!A:A, C212)=0, "X","✓")</f>
        <v>✓</v>
      </c>
      <c r="E212" s="79">
        <f>IFS($C212=FALSE,"",$C212,VLOOKUP($C212,'PATIENT DATA (072721)'!A:C, 3, 0))</f>
        <v>14592</v>
      </c>
      <c r="F212" s="80">
        <v>44635.0</v>
      </c>
      <c r="G212" s="81">
        <f>ifs($C212="","",$C212, VLOOKUP($C212&amp;$F212, 'MARCH - VISIT DATA'!A:O,3,0))</f>
        <v>0.5833333333</v>
      </c>
      <c r="H212" s="83"/>
      <c r="I212" s="122" t="str">
        <f>VLOOKUP($C212&amp;$F212,'MARCH - VISIT DATA'!A:J, 9, FALSE)</f>
        <v>MARTINEZ</v>
      </c>
      <c r="J212" s="85" t="str">
        <f>VLOOKUP(C212&amp;F212,'MARCH - VISIT DATA'!A:O,10,FALSE)</f>
        <v>MEDICARE TEXAS</v>
      </c>
      <c r="K212" s="86"/>
      <c r="L212" s="86" t="s">
        <v>6559</v>
      </c>
      <c r="M212" s="86" t="s">
        <v>6559</v>
      </c>
      <c r="N212" s="86"/>
      <c r="O212" s="121" t="str">
        <f t="shared" si="2"/>
        <v>✓</v>
      </c>
      <c r="P212" s="79" t="str">
        <f t="shared" si="3"/>
        <v>#VALUE!</v>
      </c>
      <c r="Q212" s="123" t="str">
        <f t="shared" si="4"/>
        <v>#VALUE!</v>
      </c>
      <c r="R212" s="124" t="str">
        <f t="shared" si="5"/>
        <v>#VALUE!</v>
      </c>
      <c r="S212" s="125" t="str">
        <f t="shared" si="6"/>
        <v>#VALUE!</v>
      </c>
      <c r="T212" s="125" t="str">
        <f t="shared" si="7"/>
        <v>#VALUE!</v>
      </c>
      <c r="U212" s="83">
        <f t="shared" si="8"/>
        <v>0</v>
      </c>
      <c r="V212" s="88" t="str">
        <f>ifs($N212="",VLOOKUP($C212&amp;$F212,'MARCH - VISIT DATA'!$A$2:$J600,7,FALSE), $N212="SWAB","OUTSA-RW",$N212="SWQU","OUTSA-SaQu", AND($L212="X",$M212="X",$N212="QUEST"),"OUT-UAQPre",$N212="QUEST","OUT-UAQ", $N212="Walk in","ColUATele")</f>
        <v>UA-Prelim</v>
      </c>
      <c r="W212" s="70" t="str">
        <f t="shared" si="9"/>
        <v>UA-Prelim : Preliminary UA Test</v>
      </c>
      <c r="X212" s="64" t="str">
        <f t="shared" si="10"/>
        <v>UA-Prelim : Preliminary UA Test</v>
      </c>
      <c r="Y212" s="64" t="str">
        <f t="shared" si="11"/>
        <v>MATCH</v>
      </c>
      <c r="Z212" s="66" t="str">
        <f t="shared" si="12"/>
        <v> </v>
      </c>
      <c r="AA212" s="71"/>
    </row>
    <row r="213" ht="15.75" customHeight="1">
      <c r="A213" s="56" t="str">
        <f t="shared" si="1"/>
        <v>1156244635</v>
      </c>
      <c r="B213" s="56" t="str">
        <f>IFS($C213=FALSE,"",$C213,VLOOKUP($C213,'PATIENT DATA (072721)'!A:C, 2, 0))</f>
        <v>RIOS, GRACIANO G</v>
      </c>
      <c r="C213" s="57">
        <v>11562.0</v>
      </c>
      <c r="D213" s="127" t="str">
        <f>IF(COUNTIF('PATIENT DATA (072721)'!A:A, C213)=0, "X","✓")</f>
        <v>✓</v>
      </c>
      <c r="E213" s="79">
        <f>IFS($C213=FALSE,"",$C213,VLOOKUP($C213,'PATIENT DATA (072721)'!A:C, 3, 0))</f>
        <v>16827</v>
      </c>
      <c r="F213" s="80">
        <v>44635.0</v>
      </c>
      <c r="G213" s="81">
        <f>ifs($C213="","",$C213, VLOOKUP($C213&amp;$F213, 'MARCH - VISIT DATA'!A:O,3,0))</f>
        <v>0.6041666667</v>
      </c>
      <c r="H213" s="83"/>
      <c r="I213" s="122" t="str">
        <f>VLOOKUP($C213&amp;$F213,'MARCH - VISIT DATA'!A:J, 9, FALSE)</f>
        <v>TORRES</v>
      </c>
      <c r="J213" s="85" t="str">
        <f>VLOOKUP(C213&amp;F213,'MARCH - VISIT DATA'!A:O,10,FALSE)</f>
        <v>WPS VA - COMMUNITY CARE</v>
      </c>
      <c r="K213" s="86"/>
      <c r="L213" s="86" t="s">
        <v>6559</v>
      </c>
      <c r="M213" s="86"/>
      <c r="N213" s="86"/>
      <c r="O213" s="121" t="str">
        <f t="shared" si="2"/>
        <v>✓</v>
      </c>
      <c r="P213" s="79" t="str">
        <f t="shared" si="3"/>
        <v>#VALUE!</v>
      </c>
      <c r="Q213" s="123" t="str">
        <f t="shared" si="4"/>
        <v>#VALUE!</v>
      </c>
      <c r="R213" s="124" t="str">
        <f t="shared" si="5"/>
        <v>#VALUE!</v>
      </c>
      <c r="S213" s="125" t="str">
        <f t="shared" si="6"/>
        <v>#VALUE!</v>
      </c>
      <c r="T213" s="125" t="str">
        <f t="shared" si="7"/>
        <v>#VALUE!</v>
      </c>
      <c r="U213" s="83">
        <f t="shared" si="8"/>
        <v>0</v>
      </c>
      <c r="V213" s="88" t="str">
        <f>ifs($N213="",VLOOKUP($C213&amp;$F213,'MARCH - VISIT DATA'!$A$2:$J600,7,FALSE), $N213="SWAB","OUTSA-RW",$N213="SWQU","OUTSA-SaQu", AND($L213="X",$M213="X",$N213="QUEST"),"OUT-UAQPre",$N213="QUEST","OUT-UAQ", $N213="Walk in","ColUATele")</f>
        <v>UA</v>
      </c>
      <c r="W213" s="70" t="str">
        <f t="shared" si="9"/>
        <v>UA : Urine Analysis In House</v>
      </c>
      <c r="X213" s="64" t="str">
        <f t="shared" si="10"/>
        <v>UA : Urine Analysis In House</v>
      </c>
      <c r="Y213" s="64" t="str">
        <f t="shared" si="11"/>
        <v>MATCH</v>
      </c>
      <c r="Z213" s="66" t="str">
        <f t="shared" si="12"/>
        <v> </v>
      </c>
      <c r="AA213" s="71"/>
    </row>
    <row r="214" ht="15.75" hidden="1" customHeight="1">
      <c r="A214" s="56" t="str">
        <f t="shared" si="1"/>
        <v>1208344635</v>
      </c>
      <c r="B214" s="56" t="str">
        <f>IFS($C214=FALSE,"",$C214,VLOOKUP($C214,'PATIENT DATA (072721)'!A:C, 2, 0))</f>
        <v>VARGAS, SAMUEL</v>
      </c>
      <c r="C214" s="57">
        <v>12083.0</v>
      </c>
      <c r="D214" s="127" t="str">
        <f>IF(COUNTIF('PATIENT DATA (072721)'!A:A, C214)=0, "X","✓")</f>
        <v>✓</v>
      </c>
      <c r="E214" s="79">
        <f>IFS($C214=FALSE,"",$C214,VLOOKUP($C214,'PATIENT DATA (072721)'!A:C, 3, 0))</f>
        <v>22041</v>
      </c>
      <c r="F214" s="80">
        <v>44635.0</v>
      </c>
      <c r="G214" s="81">
        <f>ifs($C214="","",$C214, VLOOKUP($C214&amp;$F214, 'MARCH - VISIT DATA'!A:O,3,0))</f>
        <v>0.6458333333</v>
      </c>
      <c r="H214" s="83"/>
      <c r="I214" s="122" t="str">
        <f>VLOOKUP($C214&amp;$F214,'MARCH - VISIT DATA'!A:J, 9, FALSE)</f>
        <v>MARTINEZ</v>
      </c>
      <c r="J214" s="85" t="str">
        <f>VLOOKUP(C214&amp;F214,'MARCH - VISIT DATA'!A:O,10,FALSE)</f>
        <v>WPS VA - COMMUNITY CARE</v>
      </c>
      <c r="K214" s="86"/>
      <c r="L214" s="86" t="s">
        <v>6559</v>
      </c>
      <c r="M214" s="86" t="s">
        <v>6559</v>
      </c>
      <c r="N214" s="86"/>
      <c r="O214" s="121" t="str">
        <f t="shared" si="2"/>
        <v>✓</v>
      </c>
      <c r="P214" s="79" t="str">
        <f t="shared" si="3"/>
        <v>#VALUE!</v>
      </c>
      <c r="Q214" s="123" t="str">
        <f t="shared" si="4"/>
        <v>#VALUE!</v>
      </c>
      <c r="R214" s="124" t="str">
        <f t="shared" si="5"/>
        <v>#VALUE!</v>
      </c>
      <c r="S214" s="125" t="str">
        <f t="shared" si="6"/>
        <v>#VALUE!</v>
      </c>
      <c r="T214" s="125" t="str">
        <f t="shared" si="7"/>
        <v>#VALUE!</v>
      </c>
      <c r="U214" s="83">
        <f t="shared" si="8"/>
        <v>0</v>
      </c>
      <c r="V214" s="88" t="str">
        <f>ifs($N214="",VLOOKUP($C214&amp;$F214,'MARCH - VISIT DATA'!$A$2:$J600,7,FALSE), $N214="SWAB","OUTSA-RW",$N214="SWQU","OUTSA-SaQu", AND($L214="X",$M214="X",$N214="QUEST"),"OUT-UAQPre",$N214="QUEST","OUT-UAQ", $N214="Walk in","ColUATele")</f>
        <v>UA-Prelim</v>
      </c>
      <c r="W214" s="70" t="str">
        <f t="shared" si="9"/>
        <v>UA-Prelim : Preliminary UA Test</v>
      </c>
      <c r="X214" s="64" t="str">
        <f t="shared" si="10"/>
        <v>UA-Prelim : Preliminary UA Test</v>
      </c>
      <c r="Y214" s="64" t="str">
        <f t="shared" si="11"/>
        <v>MATCH</v>
      </c>
      <c r="Z214" s="66" t="str">
        <f t="shared" si="12"/>
        <v> </v>
      </c>
      <c r="AA214" s="71"/>
    </row>
    <row r="215" ht="15.75" customHeight="1">
      <c r="A215" s="56" t="str">
        <f t="shared" si="1"/>
        <v>1227444635</v>
      </c>
      <c r="B215" s="56" t="str">
        <f>IFS($C215=FALSE,"",$C215,VLOOKUP($C215,'PATIENT DATA (072721)'!A:C, 2, 0))</f>
        <v>WHITEHEAD, YESMIN L</v>
      </c>
      <c r="C215" s="57">
        <v>12274.0</v>
      </c>
      <c r="D215" s="127" t="str">
        <f>IF(COUNTIF('PATIENT DATA (072721)'!A:A, C215)=0, "X","✓")</f>
        <v>✓</v>
      </c>
      <c r="E215" s="79">
        <f>IFS($C215=FALSE,"",$C215,VLOOKUP($C215,'PATIENT DATA (072721)'!A:C, 3, 0))</f>
        <v>27219</v>
      </c>
      <c r="F215" s="80">
        <v>44635.0</v>
      </c>
      <c r="G215" s="81">
        <f>ifs($C215="","",$C215, VLOOKUP($C215&amp;$F215, 'MARCH - VISIT DATA'!A:O,3,0))</f>
        <v>0.5625</v>
      </c>
      <c r="H215" s="83"/>
      <c r="I215" s="122" t="str">
        <f>VLOOKUP($C215&amp;$F215,'MARCH - VISIT DATA'!A:J, 9, FALSE)</f>
        <v>LOPEZ</v>
      </c>
      <c r="J215" s="85" t="str">
        <f>VLOOKUP(C215&amp;F215,'MARCH - VISIT DATA'!A:O,10,FALSE)</f>
        <v>TRICARE PRIME</v>
      </c>
      <c r="K215" s="86"/>
      <c r="L215" s="86" t="s">
        <v>6559</v>
      </c>
      <c r="M215" s="86"/>
      <c r="N215" s="86"/>
      <c r="O215" s="121" t="str">
        <f t="shared" si="2"/>
        <v>✓</v>
      </c>
      <c r="P215" s="79" t="str">
        <f t="shared" si="3"/>
        <v>#VALUE!</v>
      </c>
      <c r="Q215" s="123" t="str">
        <f t="shared" si="4"/>
        <v>#VALUE!</v>
      </c>
      <c r="R215" s="124" t="str">
        <f t="shared" si="5"/>
        <v>#VALUE!</v>
      </c>
      <c r="S215" s="125" t="str">
        <f t="shared" si="6"/>
        <v>#VALUE!</v>
      </c>
      <c r="T215" s="125" t="str">
        <f t="shared" si="7"/>
        <v>#VALUE!</v>
      </c>
      <c r="U215" s="83">
        <f t="shared" si="8"/>
        <v>0</v>
      </c>
      <c r="V215" s="88" t="str">
        <f>ifs($N215="",VLOOKUP($C215&amp;$F215,'MARCH - VISIT DATA'!$A$2:$J600,7,FALSE), $N215="SWAB","OUTSA-RW",$N215="SWQU","OUTSA-SaQu", AND($L215="X",$M215="X",$N215="QUEST"),"OUT-UAQPre",$N215="QUEST","OUT-UAQ", $N215="Walk in","ColUATele")</f>
        <v>UA</v>
      </c>
      <c r="W215" s="70" t="str">
        <f t="shared" si="9"/>
        <v>UA : Urine Analysis In House</v>
      </c>
      <c r="X215" s="64" t="str">
        <f t="shared" si="10"/>
        <v>UA : Urine Analysis In House</v>
      </c>
      <c r="Y215" s="64" t="str">
        <f t="shared" si="11"/>
        <v>MATCH</v>
      </c>
      <c r="Z215" s="66" t="str">
        <f t="shared" si="12"/>
        <v> </v>
      </c>
      <c r="AA215" s="71"/>
    </row>
    <row r="216" ht="15.75" hidden="1" customHeight="1">
      <c r="A216" s="56" t="str">
        <f t="shared" si="1"/>
        <v>1329344635</v>
      </c>
      <c r="B216" s="56" t="str">
        <f>IFS($C216=FALSE,"",$C216,VLOOKUP($C216,'PATIENT DATA (072721)'!A:C, 2, 0))</f>
        <v>GONZALEZ, VELIA</v>
      </c>
      <c r="C216" s="57">
        <v>13293.0</v>
      </c>
      <c r="D216" s="127" t="str">
        <f>IF(COUNTIF('PATIENT DATA (072721)'!A:A, C216)=0, "X","✓")</f>
        <v>✓</v>
      </c>
      <c r="E216" s="79">
        <f>IFS($C216=FALSE,"",$C216,VLOOKUP($C216,'PATIENT DATA (072721)'!A:C, 3, 0))</f>
        <v>30806</v>
      </c>
      <c r="F216" s="80">
        <v>44635.0</v>
      </c>
      <c r="G216" s="81">
        <f>ifs($C216="","",$C216, VLOOKUP($C216&amp;$F216, 'MARCH - VISIT DATA'!A:O,3,0))</f>
        <v>0.625</v>
      </c>
      <c r="H216" s="83"/>
      <c r="I216" s="122" t="str">
        <f>VLOOKUP($C216&amp;$F216,'MARCH - VISIT DATA'!A:J, 9, FALSE)</f>
        <v>TORRES</v>
      </c>
      <c r="J216" s="85" t="str">
        <f>VLOOKUP(C216&amp;F216,'MARCH - VISIT DATA'!A:O,10,FALSE)</f>
        <v>BCBSTX PPO</v>
      </c>
      <c r="K216" s="86"/>
      <c r="L216" s="86" t="s">
        <v>6559</v>
      </c>
      <c r="M216" s="86" t="s">
        <v>6559</v>
      </c>
      <c r="N216" s="86"/>
      <c r="O216" s="121" t="str">
        <f t="shared" si="2"/>
        <v>✓</v>
      </c>
      <c r="P216" s="79" t="str">
        <f t="shared" si="3"/>
        <v>#VALUE!</v>
      </c>
      <c r="Q216" s="123" t="str">
        <f t="shared" si="4"/>
        <v>#VALUE!</v>
      </c>
      <c r="R216" s="124" t="str">
        <f t="shared" si="5"/>
        <v>#VALUE!</v>
      </c>
      <c r="S216" s="125" t="str">
        <f t="shared" si="6"/>
        <v>#VALUE!</v>
      </c>
      <c r="T216" s="125" t="str">
        <f t="shared" si="7"/>
        <v>#VALUE!</v>
      </c>
      <c r="U216" s="83">
        <f t="shared" si="8"/>
        <v>0</v>
      </c>
      <c r="V216" s="88" t="str">
        <f>ifs($N216="",VLOOKUP($C216&amp;$F216,'MARCH - VISIT DATA'!$A$2:$J600,7,FALSE), $N216="SWAB","OUTSA-RW",$N216="SWQU","OUTSA-SaQu", AND($L216="X",$M216="X",$N216="QUEST"),"OUT-UAQPre",$N216="QUEST","OUT-UAQ", $N216="Walk in","ColUATele")</f>
        <v>UA-Prelim</v>
      </c>
      <c r="W216" s="70" t="str">
        <f t="shared" si="9"/>
        <v>UA-Prelim : Preliminary UA Test</v>
      </c>
      <c r="X216" s="64" t="str">
        <f t="shared" si="10"/>
        <v>UA-Prelim : Preliminary UA Test</v>
      </c>
      <c r="Y216" s="64" t="str">
        <f t="shared" si="11"/>
        <v>MATCH</v>
      </c>
      <c r="Z216" s="66" t="str">
        <f t="shared" si="12"/>
        <v> </v>
      </c>
      <c r="AA216" s="71"/>
    </row>
    <row r="217" ht="15.75" customHeight="1">
      <c r="A217" s="56" t="str">
        <f t="shared" si="1"/>
        <v>1520744635</v>
      </c>
      <c r="B217" s="56" t="str">
        <f>IFS($C217=FALSE,"",$C217,VLOOKUP($C217,'PATIENT DATA (072721)'!A:C, 2, 0))</f>
        <v>VEGA, LUIS A</v>
      </c>
      <c r="C217" s="57">
        <v>15207.0</v>
      </c>
      <c r="D217" s="127" t="str">
        <f>IF(COUNTIF('PATIENT DATA (072721)'!A:A, C217)=0, "X","✓")</f>
        <v>✓</v>
      </c>
      <c r="E217" s="79">
        <f>IFS($C217=FALSE,"",$C217,VLOOKUP($C217,'PATIENT DATA (072721)'!A:C, 3, 0))</f>
        <v>20268</v>
      </c>
      <c r="F217" s="80">
        <v>44635.0</v>
      </c>
      <c r="G217" s="81">
        <f>ifs($C217="","",$C217, VLOOKUP($C217&amp;$F217, 'MARCH - VISIT DATA'!A:O,3,0))</f>
        <v>0.6145833333</v>
      </c>
      <c r="H217" s="83"/>
      <c r="I217" s="122" t="str">
        <f>VLOOKUP($C217&amp;$F217,'MARCH - VISIT DATA'!A:J, 9, FALSE)</f>
        <v>LOPEZ</v>
      </c>
      <c r="J217" s="85" t="str">
        <f>VLOOKUP(C217&amp;F217,'MARCH - VISIT DATA'!A:O,10,FALSE)</f>
        <v>WC - INTERNATIONAL SOLUTIONS SERVICES</v>
      </c>
      <c r="K217" s="86"/>
      <c r="L217" s="86" t="s">
        <v>6559</v>
      </c>
      <c r="M217" s="86"/>
      <c r="N217" s="86"/>
      <c r="O217" s="121" t="str">
        <f t="shared" si="2"/>
        <v>✓</v>
      </c>
      <c r="P217" s="79" t="str">
        <f t="shared" si="3"/>
        <v>#VALUE!</v>
      </c>
      <c r="Q217" s="123" t="str">
        <f t="shared" si="4"/>
        <v>#VALUE!</v>
      </c>
      <c r="R217" s="124" t="str">
        <f t="shared" si="5"/>
        <v>#VALUE!</v>
      </c>
      <c r="S217" s="125" t="str">
        <f t="shared" si="6"/>
        <v>#VALUE!</v>
      </c>
      <c r="T217" s="125" t="str">
        <f t="shared" si="7"/>
        <v>#VALUE!</v>
      </c>
      <c r="U217" s="83">
        <f t="shared" si="8"/>
        <v>0</v>
      </c>
      <c r="V217" s="88" t="str">
        <f>ifs($N217="",VLOOKUP($C217&amp;$F217,'MARCH - VISIT DATA'!$A$2:$J600,7,FALSE), $N217="SWAB","OUTSA-RW",$N217="SWQU","OUTSA-SaQu", AND($L217="X",$M217="X",$N217="QUEST"),"OUT-UAQPre",$N217="QUEST","OUT-UAQ", $N217="Walk in","ColUATele")</f>
        <v>UA</v>
      </c>
      <c r="W217" s="70" t="str">
        <f t="shared" si="9"/>
        <v>UA : Urine Analysis In House</v>
      </c>
      <c r="X217" s="64" t="str">
        <f t="shared" si="10"/>
        <v>UA : Urine Analysis In House</v>
      </c>
      <c r="Y217" s="64" t="str">
        <f t="shared" si="11"/>
        <v>MATCH</v>
      </c>
      <c r="Z217" s="66" t="str">
        <f t="shared" si="12"/>
        <v> </v>
      </c>
      <c r="AA217" s="71"/>
    </row>
    <row r="218" ht="15.75" customHeight="1">
      <c r="A218" s="56" t="str">
        <f t="shared" si="1"/>
        <v>1569744635</v>
      </c>
      <c r="B218" s="56" t="str">
        <f>IFS($C218=FALSE,"",$C218,VLOOKUP($C218,'PATIENT DATA (072721)'!A:C, 2, 0))</f>
        <v>DOMINGUEZ, ARLENE</v>
      </c>
      <c r="C218" s="57">
        <v>15697.0</v>
      </c>
      <c r="D218" s="127" t="str">
        <f>IF(COUNTIF('PATIENT DATA (072721)'!A:A, C218)=0, "X","✓")</f>
        <v>✓</v>
      </c>
      <c r="E218" s="79">
        <f>IFS($C218=FALSE,"",$C218,VLOOKUP($C218,'PATIENT DATA (072721)'!A:C, 3, 0))</f>
        <v>28605</v>
      </c>
      <c r="F218" s="80">
        <v>44635.0</v>
      </c>
      <c r="G218" s="81">
        <f>ifs($C218="","",$C218, VLOOKUP($C218&amp;$F218, 'MARCH - VISIT DATA'!A:O,3,0))</f>
        <v>0.3854166667</v>
      </c>
      <c r="H218" s="83"/>
      <c r="I218" s="122" t="str">
        <f>VLOOKUP($C218&amp;$F218,'MARCH - VISIT DATA'!A:J, 9, FALSE)</f>
        <v>MARTINEZ</v>
      </c>
      <c r="J218" s="85" t="str">
        <f>VLOOKUP(C218&amp;F218,'MARCH - VISIT DATA'!A:O,10,FALSE)</f>
        <v>EL PASO HEALTH PLAN</v>
      </c>
      <c r="K218" s="86"/>
      <c r="L218" s="86" t="s">
        <v>6559</v>
      </c>
      <c r="M218" s="86"/>
      <c r="N218" s="86"/>
      <c r="O218" s="121" t="str">
        <f t="shared" si="2"/>
        <v>✓</v>
      </c>
      <c r="P218" s="79" t="str">
        <f t="shared" si="3"/>
        <v>#VALUE!</v>
      </c>
      <c r="Q218" s="123" t="str">
        <f t="shared" si="4"/>
        <v>#VALUE!</v>
      </c>
      <c r="R218" s="124" t="str">
        <f t="shared" si="5"/>
        <v>#VALUE!</v>
      </c>
      <c r="S218" s="125" t="str">
        <f t="shared" si="6"/>
        <v>#VALUE!</v>
      </c>
      <c r="T218" s="125" t="str">
        <f t="shared" si="7"/>
        <v>#VALUE!</v>
      </c>
      <c r="U218" s="83">
        <f t="shared" si="8"/>
        <v>0</v>
      </c>
      <c r="V218" s="88" t="str">
        <f>ifs($N218="",VLOOKUP($C218&amp;$F218,'MARCH - VISIT DATA'!$A$2:$J600,7,FALSE), $N218="SWAB","OUTSA-RW",$N218="SWQU","OUTSA-SaQu", AND($L218="X",$M218="X",$N218="QUEST"),"OUT-UAQPre",$N218="QUEST","OUT-UAQ", $N218="Walk in","ColUATele")</f>
        <v>UA</v>
      </c>
      <c r="W218" s="70" t="str">
        <f t="shared" si="9"/>
        <v>UA : Urine Analysis In House</v>
      </c>
      <c r="X218" s="64" t="str">
        <f t="shared" si="10"/>
        <v>UA : Urine Analysis In House</v>
      </c>
      <c r="Y218" s="64" t="str">
        <f t="shared" si="11"/>
        <v>MATCH</v>
      </c>
      <c r="Z218" s="66" t="str">
        <f t="shared" si="12"/>
        <v> </v>
      </c>
      <c r="AA218" s="71"/>
    </row>
    <row r="219" ht="15.75" hidden="1" customHeight="1">
      <c r="A219" s="56" t="str">
        <f t="shared" si="1"/>
        <v>1571644635</v>
      </c>
      <c r="B219" s="56" t="str">
        <f>IFS($C219=FALSE,"",$C219,VLOOKUP($C219,'PATIENT DATA (072721)'!A:C, 2, 0))</f>
        <v>ESPARZA, JESUS G</v>
      </c>
      <c r="C219" s="57">
        <v>15716.0</v>
      </c>
      <c r="D219" s="127" t="str">
        <f>IF(COUNTIF('PATIENT DATA (072721)'!A:A, C219)=0, "X","✓")</f>
        <v>✓</v>
      </c>
      <c r="E219" s="79">
        <f>IFS($C219=FALSE,"",$C219,VLOOKUP($C219,'PATIENT DATA (072721)'!A:C, 3, 0))</f>
        <v>22638</v>
      </c>
      <c r="F219" s="80">
        <v>44635.0</v>
      </c>
      <c r="G219" s="81">
        <f>ifs($C219="","",$C219, VLOOKUP($C219&amp;$F219, 'MARCH - VISIT DATA'!A:O,3,0))</f>
        <v>0.625</v>
      </c>
      <c r="H219" s="83"/>
      <c r="I219" s="122" t="str">
        <f>VLOOKUP($C219&amp;$F219,'MARCH - VISIT DATA'!A:J, 9, FALSE)</f>
        <v>MARTINEZ</v>
      </c>
      <c r="J219" s="85" t="str">
        <f>VLOOKUP(C219&amp;F219,'MARCH - VISIT DATA'!A:O,10,FALSE)</f>
        <v>WPS VA - COMMUNITY CARE</v>
      </c>
      <c r="K219" s="86"/>
      <c r="L219" s="86" t="s">
        <v>6559</v>
      </c>
      <c r="M219" s="86" t="s">
        <v>6559</v>
      </c>
      <c r="N219" s="86"/>
      <c r="O219" s="121" t="str">
        <f t="shared" si="2"/>
        <v>✓</v>
      </c>
      <c r="P219" s="79" t="str">
        <f t="shared" si="3"/>
        <v>#VALUE!</v>
      </c>
      <c r="Q219" s="123" t="str">
        <f t="shared" si="4"/>
        <v>#VALUE!</v>
      </c>
      <c r="R219" s="124" t="str">
        <f t="shared" si="5"/>
        <v>#VALUE!</v>
      </c>
      <c r="S219" s="125" t="str">
        <f t="shared" si="6"/>
        <v>#VALUE!</v>
      </c>
      <c r="T219" s="125" t="str">
        <f t="shared" si="7"/>
        <v>#VALUE!</v>
      </c>
      <c r="U219" s="83">
        <f t="shared" si="8"/>
        <v>0</v>
      </c>
      <c r="V219" s="88" t="str">
        <f>ifs($N219="",VLOOKUP($C219&amp;$F219,'MARCH - VISIT DATA'!$A$2:$J600,7,FALSE), $N219="SWAB","OUTSA-RW",$N219="SWQU","OUTSA-SaQu", AND($L219="X",$M219="X",$N219="QUEST"),"OUT-UAQPre",$N219="QUEST","OUT-UAQ", $N219="Walk in","ColUATele")</f>
        <v>UA-Prelim</v>
      </c>
      <c r="W219" s="70" t="str">
        <f t="shared" si="9"/>
        <v>UA-Prelim : Preliminary UA Test</v>
      </c>
      <c r="X219" s="64" t="str">
        <f t="shared" si="10"/>
        <v>UA-Prelim : Preliminary UA Test</v>
      </c>
      <c r="Y219" s="64" t="str">
        <f t="shared" si="11"/>
        <v>MATCH</v>
      </c>
      <c r="Z219" s="66" t="str">
        <f t="shared" si="12"/>
        <v> </v>
      </c>
      <c r="AA219" s="71"/>
    </row>
    <row r="220" ht="15.75" customHeight="1">
      <c r="A220" s="56" t="str">
        <f t="shared" si="1"/>
        <v>1600044635</v>
      </c>
      <c r="B220" s="56" t="str">
        <f>IFS($C220=FALSE,"",$C220,VLOOKUP($C220,'PATIENT DATA (072721)'!A:C, 2, 0))</f>
        <v>WOHLENHAUS, SARA B</v>
      </c>
      <c r="C220" s="57">
        <v>16000.0</v>
      </c>
      <c r="D220" s="127" t="str">
        <f>IF(COUNTIF('PATIENT DATA (072721)'!A:A, C220)=0, "X","✓")</f>
        <v>✓</v>
      </c>
      <c r="E220" s="79">
        <f>IFS($C220=FALSE,"",$C220,VLOOKUP($C220,'PATIENT DATA (072721)'!A:C, 3, 0))</f>
        <v>25400</v>
      </c>
      <c r="F220" s="80">
        <v>44635.0</v>
      </c>
      <c r="G220" s="81">
        <f>ifs($C220="","",$C220, VLOOKUP($C220&amp;$F220, 'MARCH - VISIT DATA'!A:O,3,0))</f>
        <v>0.40625</v>
      </c>
      <c r="H220" s="83"/>
      <c r="I220" s="122" t="str">
        <f>VLOOKUP($C220&amp;$F220,'MARCH - VISIT DATA'!A:J, 9, FALSE)</f>
        <v>TORRES</v>
      </c>
      <c r="J220" s="85" t="str">
        <f>VLOOKUP(C220&amp;F220,'MARCH - VISIT DATA'!A:O,10,FALSE)</f>
        <v>MEDICARE TEXAS</v>
      </c>
      <c r="K220" s="86"/>
      <c r="L220" s="86" t="s">
        <v>6559</v>
      </c>
      <c r="M220" s="86"/>
      <c r="N220" s="86"/>
      <c r="O220" s="121" t="str">
        <f t="shared" si="2"/>
        <v>✓</v>
      </c>
      <c r="P220" s="79" t="str">
        <f t="shared" si="3"/>
        <v>#VALUE!</v>
      </c>
      <c r="Q220" s="123" t="str">
        <f t="shared" si="4"/>
        <v>#VALUE!</v>
      </c>
      <c r="R220" s="124" t="str">
        <f t="shared" si="5"/>
        <v>#VALUE!</v>
      </c>
      <c r="S220" s="125" t="str">
        <f t="shared" si="6"/>
        <v>#VALUE!</v>
      </c>
      <c r="T220" s="125" t="str">
        <f t="shared" si="7"/>
        <v>#VALUE!</v>
      </c>
      <c r="U220" s="83">
        <f t="shared" si="8"/>
        <v>0</v>
      </c>
      <c r="V220" s="88" t="str">
        <f>ifs($N220="",VLOOKUP($C220&amp;$F220,'MARCH - VISIT DATA'!$A$2:$J600,7,FALSE), $N220="SWAB","OUTSA-RW",$N220="SWQU","OUTSA-SaQu", AND($L220="X",$M220="X",$N220="QUEST"),"OUT-UAQPre",$N220="QUEST","OUT-UAQ", $N220="Walk in","ColUATele")</f>
        <v>UA</v>
      </c>
      <c r="W220" s="70" t="str">
        <f t="shared" si="9"/>
        <v>UA : Urine Analysis In House</v>
      </c>
      <c r="X220" s="64" t="str">
        <f t="shared" si="10"/>
        <v>UA : Urine Analysis In House</v>
      </c>
      <c r="Y220" s="64" t="str">
        <f t="shared" si="11"/>
        <v>MATCH</v>
      </c>
      <c r="Z220" s="66" t="str">
        <f t="shared" si="12"/>
        <v> </v>
      </c>
      <c r="AA220" s="71"/>
    </row>
    <row r="221" ht="15.75" customHeight="1">
      <c r="A221" s="56" t="str">
        <f t="shared" si="1"/>
        <v>1615644635</v>
      </c>
      <c r="B221" s="56" t="str">
        <f>IFS($C221=FALSE,"",$C221,VLOOKUP($C221,'PATIENT DATA (072721)'!A:C, 2, 0))</f>
        <v>HASKETT, JESSICA</v>
      </c>
      <c r="C221" s="57">
        <v>16156.0</v>
      </c>
      <c r="D221" s="127" t="str">
        <f>IF(COUNTIF('PATIENT DATA (072721)'!A:A, C221)=0, "X","✓")</f>
        <v>✓</v>
      </c>
      <c r="E221" s="79">
        <f>IFS($C221=FALSE,"",$C221,VLOOKUP($C221,'PATIENT DATA (072721)'!A:C, 3, 0))</f>
        <v>29705</v>
      </c>
      <c r="F221" s="80">
        <v>44635.0</v>
      </c>
      <c r="G221" s="81">
        <f>ifs($C221="","",$C221, VLOOKUP($C221&amp;$F221, 'MARCH - VISIT DATA'!A:O,3,0))</f>
        <v>0.5833333333</v>
      </c>
      <c r="H221" s="83"/>
      <c r="I221" s="122" t="str">
        <f>VLOOKUP($C221&amp;$F221,'MARCH - VISIT DATA'!A:J, 9, FALSE)</f>
        <v>TORRES</v>
      </c>
      <c r="J221" s="85" t="str">
        <f>VLOOKUP(C221&amp;F221,'MARCH - VISIT DATA'!A:O,10,FALSE)</f>
        <v>AMERIGROUP</v>
      </c>
      <c r="K221" s="86"/>
      <c r="L221" s="86" t="s">
        <v>6559</v>
      </c>
      <c r="M221" s="86"/>
      <c r="N221" s="86"/>
      <c r="O221" s="121" t="str">
        <f t="shared" si="2"/>
        <v>✓</v>
      </c>
      <c r="P221" s="79" t="str">
        <f t="shared" si="3"/>
        <v>#VALUE!</v>
      </c>
      <c r="Q221" s="123" t="str">
        <f t="shared" si="4"/>
        <v>#VALUE!</v>
      </c>
      <c r="R221" s="124" t="str">
        <f t="shared" si="5"/>
        <v>#VALUE!</v>
      </c>
      <c r="S221" s="125" t="str">
        <f t="shared" si="6"/>
        <v>#VALUE!</v>
      </c>
      <c r="T221" s="125" t="str">
        <f t="shared" si="7"/>
        <v>#VALUE!</v>
      </c>
      <c r="U221" s="83">
        <f t="shared" si="8"/>
        <v>0</v>
      </c>
      <c r="V221" s="88" t="str">
        <f>ifs($N221="",VLOOKUP($C221&amp;$F221,'MARCH - VISIT DATA'!$A$2:$J600,7,FALSE), $N221="SWAB","OUTSA-RW",$N221="SWQU","OUTSA-SaQu", AND($L221="X",$M221="X",$N221="QUEST"),"OUT-UAQPre",$N221="QUEST","OUT-UAQ", $N221="Walk in","ColUATele")</f>
        <v>UA</v>
      </c>
      <c r="W221" s="70" t="str">
        <f t="shared" si="9"/>
        <v>UA : Urine Analysis In House</v>
      </c>
      <c r="X221" s="64" t="str">
        <f t="shared" si="10"/>
        <v>UA : Urine Analysis In House</v>
      </c>
      <c r="Y221" s="64" t="str">
        <f t="shared" si="11"/>
        <v>MATCH</v>
      </c>
      <c r="Z221" s="66" t="str">
        <f t="shared" si="12"/>
        <v> </v>
      </c>
      <c r="AA221" s="71"/>
    </row>
    <row r="222" ht="15.75" customHeight="1">
      <c r="A222" s="56" t="str">
        <f t="shared" si="1"/>
        <v>1623944635</v>
      </c>
      <c r="B222" s="56" t="str">
        <f>IFS($C222=FALSE,"",$C222,VLOOKUP($C222,'PATIENT DATA (072721)'!A:C, 2, 0))</f>
        <v>PEREZ, DORA</v>
      </c>
      <c r="C222" s="57">
        <v>16239.0</v>
      </c>
      <c r="D222" s="127" t="str">
        <f>IF(COUNTIF('PATIENT DATA (072721)'!A:A, C222)=0, "X","✓")</f>
        <v>✓</v>
      </c>
      <c r="E222" s="79">
        <f>IFS($C222=FALSE,"",$C222,VLOOKUP($C222,'PATIENT DATA (072721)'!A:C, 3, 0))</f>
        <v>20907</v>
      </c>
      <c r="F222" s="80">
        <v>44635.0</v>
      </c>
      <c r="G222" s="81">
        <f>ifs($C222="","",$C222, VLOOKUP($C222&amp;$F222, 'MARCH - VISIT DATA'!A:O,3,0))</f>
        <v>0.5833333333</v>
      </c>
      <c r="H222" s="83"/>
      <c r="I222" s="122" t="str">
        <f>VLOOKUP($C222&amp;$F222,'MARCH - VISIT DATA'!A:J, 9, FALSE)</f>
        <v>MARTINEZ</v>
      </c>
      <c r="J222" s="85" t="str">
        <f>VLOOKUP(C222&amp;F222,'MARCH - VISIT DATA'!A:O,10,FALSE)</f>
        <v>WELLCARE OF TEXAS HMO</v>
      </c>
      <c r="K222" s="86"/>
      <c r="L222" s="86" t="s">
        <v>6559</v>
      </c>
      <c r="M222" s="86"/>
      <c r="N222" s="86"/>
      <c r="O222" s="121" t="str">
        <f t="shared" si="2"/>
        <v>✓</v>
      </c>
      <c r="P222" s="79" t="str">
        <f t="shared" si="3"/>
        <v>#VALUE!</v>
      </c>
      <c r="Q222" s="123" t="str">
        <f t="shared" si="4"/>
        <v>#VALUE!</v>
      </c>
      <c r="R222" s="124" t="str">
        <f t="shared" si="5"/>
        <v>#VALUE!</v>
      </c>
      <c r="S222" s="125" t="str">
        <f t="shared" si="6"/>
        <v>#VALUE!</v>
      </c>
      <c r="T222" s="125" t="str">
        <f t="shared" si="7"/>
        <v>#VALUE!</v>
      </c>
      <c r="U222" s="83">
        <f t="shared" si="8"/>
        <v>0</v>
      </c>
      <c r="V222" s="88" t="str">
        <f>ifs($N222="",VLOOKUP($C222&amp;$F222,'MARCH - VISIT DATA'!$A$2:$J600,7,FALSE), $N222="SWAB","OUTSA-RW",$N222="SWQU","OUTSA-SaQu", AND($L222="X",$M222="X",$N222="QUEST"),"OUT-UAQPre",$N222="QUEST","OUT-UAQ", $N222="Walk in","ColUATele")</f>
        <v>UA</v>
      </c>
      <c r="W222" s="70" t="str">
        <f t="shared" si="9"/>
        <v>UA : Urine Analysis In House</v>
      </c>
      <c r="X222" s="64" t="str">
        <f t="shared" si="10"/>
        <v>UA : Urine Analysis In House</v>
      </c>
      <c r="Y222" s="64" t="str">
        <f t="shared" si="11"/>
        <v>MATCH</v>
      </c>
      <c r="Z222" s="66" t="str">
        <f t="shared" si="12"/>
        <v> </v>
      </c>
      <c r="AA222" s="71"/>
    </row>
    <row r="223" ht="15.75" customHeight="1">
      <c r="A223" s="56" t="str">
        <f t="shared" si="1"/>
        <v>1631044635</v>
      </c>
      <c r="B223" s="56" t="str">
        <f>IFS($C223=FALSE,"",$C223,VLOOKUP($C223,'PATIENT DATA (072721)'!A:C, 2, 0))</f>
        <v>LARA, YOLANDA</v>
      </c>
      <c r="C223" s="57">
        <v>16310.0</v>
      </c>
      <c r="D223" s="127" t="str">
        <f>IF(COUNTIF('PATIENT DATA (072721)'!A:A, C223)=0, "X","✓")</f>
        <v>✓</v>
      </c>
      <c r="E223" s="79">
        <f>IFS($C223=FALSE,"",$C223,VLOOKUP($C223,'PATIENT DATA (072721)'!A:C, 3, 0))</f>
        <v>20014</v>
      </c>
      <c r="F223" s="80">
        <v>44635.0</v>
      </c>
      <c r="G223" s="81">
        <f>ifs($C223="","",$C223, VLOOKUP($C223&amp;$F223, 'MARCH - VISIT DATA'!A:O,3,0))</f>
        <v>0.4166666667</v>
      </c>
      <c r="H223" s="83"/>
      <c r="I223" s="122" t="str">
        <f>VLOOKUP($C223&amp;$F223,'MARCH - VISIT DATA'!A:J, 9, FALSE)</f>
        <v>LOPEZ</v>
      </c>
      <c r="J223" s="85" t="str">
        <f>VLOOKUP(C223&amp;F223,'MARCH - VISIT DATA'!A:O,10,FALSE)</f>
        <v>MEDICARE TEXAS</v>
      </c>
      <c r="K223" s="86"/>
      <c r="L223" s="86" t="s">
        <v>6559</v>
      </c>
      <c r="M223" s="86"/>
      <c r="N223" s="86"/>
      <c r="O223" s="121" t="str">
        <f t="shared" si="2"/>
        <v>✓</v>
      </c>
      <c r="P223" s="79" t="str">
        <f t="shared" si="3"/>
        <v>#VALUE!</v>
      </c>
      <c r="Q223" s="123" t="str">
        <f t="shared" si="4"/>
        <v>#VALUE!</v>
      </c>
      <c r="R223" s="124" t="str">
        <f t="shared" si="5"/>
        <v>#VALUE!</v>
      </c>
      <c r="S223" s="125" t="str">
        <f t="shared" si="6"/>
        <v>#VALUE!</v>
      </c>
      <c r="T223" s="125" t="str">
        <f t="shared" si="7"/>
        <v>#VALUE!</v>
      </c>
      <c r="U223" s="83">
        <f t="shared" si="8"/>
        <v>0</v>
      </c>
      <c r="V223" s="88" t="str">
        <f>ifs($N223="",VLOOKUP($C223&amp;$F223,'MARCH - VISIT DATA'!$A$2:$J600,7,FALSE), $N223="SWAB","OUTSA-RW",$N223="SWQU","OUTSA-SaQu", AND($L223="X",$M223="X",$N223="QUEST"),"OUT-UAQPre",$N223="QUEST","OUT-UAQ", $N223="Walk in","ColUATele")</f>
        <v>UA</v>
      </c>
      <c r="W223" s="70" t="str">
        <f t="shared" si="9"/>
        <v>UA : Urine Analysis In House</v>
      </c>
      <c r="X223" s="64" t="str">
        <f t="shared" si="10"/>
        <v>UA : Urine Analysis In House</v>
      </c>
      <c r="Y223" s="64" t="str">
        <f t="shared" si="11"/>
        <v>MATCH</v>
      </c>
      <c r="Z223" s="66" t="str">
        <f t="shared" si="12"/>
        <v> </v>
      </c>
      <c r="AA223" s="71"/>
    </row>
    <row r="224" ht="15.75" customHeight="1">
      <c r="A224" s="56" t="str">
        <f t="shared" si="1"/>
        <v>1632544635</v>
      </c>
      <c r="B224" s="56" t="str">
        <f>IFS($C224=FALSE,"",$C224,VLOOKUP($C224,'PATIENT DATA (072721)'!A:C, 2, 0))</f>
        <v>HUGHES, JOHN D</v>
      </c>
      <c r="C224" s="57">
        <v>16325.0</v>
      </c>
      <c r="D224" s="127" t="str">
        <f>IF(COUNTIF('PATIENT DATA (072721)'!A:A, C224)=0, "X","✓")</f>
        <v>✓</v>
      </c>
      <c r="E224" s="79">
        <f>IFS($C224=FALSE,"",$C224,VLOOKUP($C224,'PATIENT DATA (072721)'!A:C, 3, 0))</f>
        <v>22374</v>
      </c>
      <c r="F224" s="80">
        <v>44635.0</v>
      </c>
      <c r="G224" s="81">
        <f>ifs($C224="","",$C224, VLOOKUP($C224&amp;$F224, 'MARCH - VISIT DATA'!A:O,3,0))</f>
        <v>0.6041666667</v>
      </c>
      <c r="H224" s="83"/>
      <c r="I224" s="122" t="str">
        <f>VLOOKUP($C224&amp;$F224,'MARCH - VISIT DATA'!A:J, 9, FALSE)</f>
        <v>MARTINEZ</v>
      </c>
      <c r="J224" s="85" t="str">
        <f>VLOOKUP(C224&amp;F224,'MARCH - VISIT DATA'!A:O,10,FALSE)</f>
        <v>AMERIGROUP</v>
      </c>
      <c r="K224" s="86"/>
      <c r="L224" s="86" t="s">
        <v>6559</v>
      </c>
      <c r="M224" s="86"/>
      <c r="N224" s="86"/>
      <c r="O224" s="121" t="str">
        <f t="shared" si="2"/>
        <v>✓</v>
      </c>
      <c r="P224" s="79" t="str">
        <f t="shared" si="3"/>
        <v>#VALUE!</v>
      </c>
      <c r="Q224" s="123" t="str">
        <f t="shared" si="4"/>
        <v>#VALUE!</v>
      </c>
      <c r="R224" s="124" t="str">
        <f t="shared" si="5"/>
        <v>#VALUE!</v>
      </c>
      <c r="S224" s="125" t="str">
        <f t="shared" si="6"/>
        <v>#VALUE!</v>
      </c>
      <c r="T224" s="125" t="str">
        <f t="shared" si="7"/>
        <v>#VALUE!</v>
      </c>
      <c r="U224" s="83">
        <f t="shared" si="8"/>
        <v>0</v>
      </c>
      <c r="V224" s="88" t="str">
        <f>ifs($N224="",VLOOKUP($C224&amp;$F224,'MARCH - VISIT DATA'!$A$2:$J600,7,FALSE), $N224="SWAB","OUTSA-RW",$N224="SWQU","OUTSA-SaQu", AND($L224="X",$M224="X",$N224="QUEST"),"OUT-UAQPre",$N224="QUEST","OUT-UAQ", $N224="Walk in","ColUATele")</f>
        <v>UA</v>
      </c>
      <c r="W224" s="70" t="str">
        <f t="shared" si="9"/>
        <v>UA : Urine Analysis In House</v>
      </c>
      <c r="X224" s="64" t="str">
        <f t="shared" si="10"/>
        <v>UA : Urine Analysis In House</v>
      </c>
      <c r="Y224" s="64" t="str">
        <f t="shared" si="11"/>
        <v>MATCH</v>
      </c>
      <c r="Z224" s="66" t="str">
        <f t="shared" si="12"/>
        <v> </v>
      </c>
      <c r="AA224" s="71"/>
    </row>
    <row r="225" ht="15.75" customHeight="1">
      <c r="A225" s="56" t="str">
        <f t="shared" si="1"/>
        <v>1648844635</v>
      </c>
      <c r="B225" s="56" t="str">
        <f>IFS($C225=FALSE,"",$C225,VLOOKUP($C225,'PATIENT DATA (072721)'!A:C, 2, 0))</f>
        <v>DUENAS, ROBERTO</v>
      </c>
      <c r="C225" s="57">
        <v>16488.0</v>
      </c>
      <c r="D225" s="127" t="str">
        <f>IF(COUNTIF('PATIENT DATA (072721)'!A:A, C225)=0, "X","✓")</f>
        <v>✓</v>
      </c>
      <c r="E225" s="79">
        <f>IFS($C225=FALSE,"",$C225,VLOOKUP($C225,'PATIENT DATA (072721)'!A:C, 3, 0))</f>
        <v>22921</v>
      </c>
      <c r="F225" s="80">
        <v>44635.0</v>
      </c>
      <c r="G225" s="81">
        <f>ifs($C225="","",$C225, VLOOKUP($C225&amp;$F225, 'MARCH - VISIT DATA'!A:O,3,0))</f>
        <v>0.5729166667</v>
      </c>
      <c r="H225" s="83"/>
      <c r="I225" s="122" t="str">
        <f>VLOOKUP($C225&amp;$F225,'MARCH - VISIT DATA'!A:J, 9, FALSE)</f>
        <v>TORRES</v>
      </c>
      <c r="J225" s="85" t="str">
        <f>VLOOKUP(C225&amp;F225,'MARCH - VISIT DATA'!A:O,10,FALSE)</f>
        <v>AMBETTER - SUPERIOR</v>
      </c>
      <c r="K225" s="86"/>
      <c r="L225" s="86" t="s">
        <v>6559</v>
      </c>
      <c r="M225" s="86"/>
      <c r="N225" s="86"/>
      <c r="O225" s="121" t="str">
        <f t="shared" si="2"/>
        <v>✓</v>
      </c>
      <c r="P225" s="79" t="str">
        <f t="shared" si="3"/>
        <v>#VALUE!</v>
      </c>
      <c r="Q225" s="123" t="str">
        <f t="shared" si="4"/>
        <v>#VALUE!</v>
      </c>
      <c r="R225" s="124" t="str">
        <f t="shared" si="5"/>
        <v>#VALUE!</v>
      </c>
      <c r="S225" s="125" t="str">
        <f t="shared" si="6"/>
        <v>#VALUE!</v>
      </c>
      <c r="T225" s="125" t="str">
        <f t="shared" si="7"/>
        <v>#VALUE!</v>
      </c>
      <c r="U225" s="83">
        <f t="shared" si="8"/>
        <v>0</v>
      </c>
      <c r="V225" s="88" t="str">
        <f>ifs($N225="",VLOOKUP($C225&amp;$F225,'MARCH - VISIT DATA'!$A$2:$J600,7,FALSE), $N225="SWAB","OUTSA-RW",$N225="SWQU","OUTSA-SaQu", AND($L225="X",$M225="X",$N225="QUEST"),"OUT-UAQPre",$N225="QUEST","OUT-UAQ", $N225="Walk in","ColUATele")</f>
        <v>UA</v>
      </c>
      <c r="W225" s="70" t="str">
        <f t="shared" si="9"/>
        <v>UA : Urine Analysis In House</v>
      </c>
      <c r="X225" s="64" t="str">
        <f t="shared" si="10"/>
        <v>UA : Urine Analysis In House</v>
      </c>
      <c r="Y225" s="64" t="str">
        <f t="shared" si="11"/>
        <v>MATCH</v>
      </c>
      <c r="Z225" s="66" t="str">
        <f t="shared" si="12"/>
        <v> </v>
      </c>
      <c r="AA225" s="71"/>
    </row>
    <row r="226" ht="15.75" customHeight="1">
      <c r="A226" s="56" t="str">
        <f t="shared" si="1"/>
        <v>1680744635</v>
      </c>
      <c r="B226" s="56" t="str">
        <f>IFS($C226=FALSE,"",$C226,VLOOKUP($C226,'PATIENT DATA (072721)'!A:C, 2, 0))</f>
        <v>CHAVEZ, MARIA E</v>
      </c>
      <c r="C226" s="57">
        <v>16807.0</v>
      </c>
      <c r="D226" s="127" t="str">
        <f>IF(COUNTIF('PATIENT DATA (072721)'!A:A, C226)=0, "X","✓")</f>
        <v>✓</v>
      </c>
      <c r="E226" s="79">
        <f>IFS($C226=FALSE,"",$C226,VLOOKUP($C226,'PATIENT DATA (072721)'!A:C, 3, 0))</f>
        <v>13912</v>
      </c>
      <c r="F226" s="80">
        <v>44635.0</v>
      </c>
      <c r="G226" s="81">
        <f>ifs($C226="","",$C226, VLOOKUP($C226&amp;$F226, 'MARCH - VISIT DATA'!A:O,3,0))</f>
        <v>0.3645833333</v>
      </c>
      <c r="H226" s="83"/>
      <c r="I226" s="122" t="str">
        <f>VLOOKUP($C226&amp;$F226,'MARCH - VISIT DATA'!A:J, 9, FALSE)</f>
        <v>MARTINEZ</v>
      </c>
      <c r="J226" s="85" t="str">
        <f>VLOOKUP(C226&amp;F226,'MARCH - VISIT DATA'!A:O,10,FALSE)</f>
        <v>AMERIGROUP</v>
      </c>
      <c r="K226" s="86"/>
      <c r="L226" s="86" t="s">
        <v>6559</v>
      </c>
      <c r="M226" s="86"/>
      <c r="N226" s="86"/>
      <c r="O226" s="121" t="str">
        <f t="shared" si="2"/>
        <v>✓</v>
      </c>
      <c r="P226" s="79" t="str">
        <f t="shared" si="3"/>
        <v>#VALUE!</v>
      </c>
      <c r="Q226" s="123" t="str">
        <f t="shared" si="4"/>
        <v>#VALUE!</v>
      </c>
      <c r="R226" s="124" t="str">
        <f t="shared" si="5"/>
        <v>#VALUE!</v>
      </c>
      <c r="S226" s="125" t="str">
        <f t="shared" si="6"/>
        <v>#VALUE!</v>
      </c>
      <c r="T226" s="125" t="str">
        <f t="shared" si="7"/>
        <v>#VALUE!</v>
      </c>
      <c r="U226" s="83">
        <f t="shared" si="8"/>
        <v>0</v>
      </c>
      <c r="V226" s="88" t="str">
        <f>ifs($N226="",VLOOKUP($C226&amp;$F226,'MARCH - VISIT DATA'!$A$2:$J600,7,FALSE), $N226="SWAB","OUTSA-RW",$N226="SWQU","OUTSA-SaQu", AND($L226="X",$M226="X",$N226="QUEST"),"OUT-UAQPre",$N226="QUEST","OUT-UAQ", $N226="Walk in","ColUATele")</f>
        <v>UA</v>
      </c>
      <c r="W226" s="70" t="str">
        <f t="shared" si="9"/>
        <v>UA : Urine Analysis In House</v>
      </c>
      <c r="X226" s="64" t="str">
        <f t="shared" si="10"/>
        <v>UA : Urine Analysis In House</v>
      </c>
      <c r="Y226" s="64" t="str">
        <f t="shared" si="11"/>
        <v>MATCH</v>
      </c>
      <c r="Z226" s="66" t="str">
        <f t="shared" si="12"/>
        <v> </v>
      </c>
      <c r="AA226" s="71"/>
    </row>
    <row r="227" ht="15.75" customHeight="1">
      <c r="A227" s="56" t="str">
        <f t="shared" si="1"/>
        <v>1687344635</v>
      </c>
      <c r="B227" s="56" t="str">
        <f>IFS($C227=FALSE,"",$C227,VLOOKUP($C227,'PATIENT DATA (072721)'!A:C, 2, 0))</f>
        <v>SPENCER, CHARLES</v>
      </c>
      <c r="C227" s="57">
        <v>16873.0</v>
      </c>
      <c r="D227" s="127" t="str">
        <f>IF(COUNTIF('PATIENT DATA (072721)'!A:A, C227)=0, "X","✓")</f>
        <v>✓</v>
      </c>
      <c r="E227" s="79">
        <f>IFS($C227=FALSE,"",$C227,VLOOKUP($C227,'PATIENT DATA (072721)'!A:C, 3, 0))</f>
        <v>25643</v>
      </c>
      <c r="F227" s="80">
        <v>44635.0</v>
      </c>
      <c r="G227" s="81">
        <f>ifs($C227="","",$C227, VLOOKUP($C227&amp;$F227, 'MARCH - VISIT DATA'!A:O,3,0))</f>
        <v>0.4479166667</v>
      </c>
      <c r="H227" s="83"/>
      <c r="I227" s="122" t="str">
        <f>VLOOKUP($C227&amp;$F227,'MARCH - VISIT DATA'!A:J, 9, FALSE)</f>
        <v>LOPEZ</v>
      </c>
      <c r="J227" s="85" t="str">
        <f>VLOOKUP(C227&amp;F227,'MARCH - VISIT DATA'!A:O,10,FALSE)</f>
        <v>AMERIGROUP</v>
      </c>
      <c r="K227" s="86" t="s">
        <v>6559</v>
      </c>
      <c r="L227" s="86"/>
      <c r="M227" s="86"/>
      <c r="N227" s="86"/>
      <c r="O227" s="121" t="str">
        <f t="shared" si="2"/>
        <v>✓</v>
      </c>
      <c r="P227" s="79" t="str">
        <f t="shared" si="3"/>
        <v>#VALUE!</v>
      </c>
      <c r="Q227" s="123" t="str">
        <f t="shared" si="4"/>
        <v>#VALUE!</v>
      </c>
      <c r="R227" s="124" t="str">
        <f t="shared" si="5"/>
        <v>#VALUE!</v>
      </c>
      <c r="S227" s="125" t="str">
        <f t="shared" si="6"/>
        <v>#VALUE!</v>
      </c>
      <c r="T227" s="125" t="str">
        <f t="shared" si="7"/>
        <v>#VALUE!</v>
      </c>
      <c r="U227" s="83">
        <f t="shared" si="8"/>
        <v>0</v>
      </c>
      <c r="V227" s="88" t="str">
        <f>ifs($N227="",VLOOKUP($C227&amp;$F227,'MARCH - VISIT DATA'!$A$2:$J600,7,FALSE), $N227="SWAB","OUTSA-RW",$N227="SWQU","OUTSA-SaQu", AND($L227="X",$M227="X",$N227="QUEST"),"OUT-UAQPre",$N227="QUEST","OUT-UAQ", $N227="Walk in","ColUATele")</f>
        <v>UA-NWPT</v>
      </c>
      <c r="W227" s="70" t="str">
        <f t="shared" si="9"/>
        <v>UA-NWPT : UA New Patient</v>
      </c>
      <c r="X227" s="64" t="str">
        <f t="shared" si="10"/>
        <v>UA-NWPT : UA New Patient</v>
      </c>
      <c r="Y227" s="64" t="str">
        <f t="shared" si="11"/>
        <v>MATCH</v>
      </c>
      <c r="Z227" s="66" t="str">
        <f t="shared" si="12"/>
        <v> </v>
      </c>
      <c r="AA227" s="71"/>
    </row>
    <row r="228" ht="15.75" customHeight="1">
      <c r="A228" s="56" t="str">
        <f t="shared" si="1"/>
        <v>1692344635</v>
      </c>
      <c r="B228" s="56" t="str">
        <f>IFS($C228=FALSE,"",$C228,VLOOKUP($C228,'PATIENT DATA (072721)'!A:C, 2, 0))</f>
        <v>ALVARADO, SILVIA</v>
      </c>
      <c r="C228" s="57">
        <v>16923.0</v>
      </c>
      <c r="D228" s="127" t="str">
        <f>IF(COUNTIF('PATIENT DATA (072721)'!A:A, C228)=0, "X","✓")</f>
        <v>✓</v>
      </c>
      <c r="E228" s="79">
        <f>IFS($C228=FALSE,"",$C228,VLOOKUP($C228,'PATIENT DATA (072721)'!A:C, 3, 0))</f>
        <v>26764</v>
      </c>
      <c r="F228" s="80">
        <v>44635.0</v>
      </c>
      <c r="G228" s="81">
        <f>ifs($C228="","",$C228, VLOOKUP($C228&amp;$F228, 'MARCH - VISIT DATA'!A:O,3,0))</f>
        <v>0.4479166667</v>
      </c>
      <c r="H228" s="83"/>
      <c r="I228" s="122" t="str">
        <f>VLOOKUP($C228&amp;$F228,'MARCH - VISIT DATA'!A:J, 9, FALSE)</f>
        <v>MARTINEZ</v>
      </c>
      <c r="J228" s="85" t="str">
        <f>VLOOKUP(C228&amp;F228,'MARCH - VISIT DATA'!A:O,10,FALSE)</f>
        <v>UNITED HEALTH CARE CHOICEPLUS</v>
      </c>
      <c r="K228" s="86"/>
      <c r="L228" s="86" t="s">
        <v>6559</v>
      </c>
      <c r="M228" s="86"/>
      <c r="N228" s="86"/>
      <c r="O228" s="121" t="str">
        <f t="shared" si="2"/>
        <v>✓</v>
      </c>
      <c r="P228" s="79" t="str">
        <f t="shared" si="3"/>
        <v>#VALUE!</v>
      </c>
      <c r="Q228" s="123" t="str">
        <f t="shared" si="4"/>
        <v>#VALUE!</v>
      </c>
      <c r="R228" s="124" t="str">
        <f t="shared" si="5"/>
        <v>#VALUE!</v>
      </c>
      <c r="S228" s="125" t="str">
        <f t="shared" si="6"/>
        <v>#VALUE!</v>
      </c>
      <c r="T228" s="125" t="str">
        <f t="shared" si="7"/>
        <v>#VALUE!</v>
      </c>
      <c r="U228" s="83">
        <f t="shared" si="8"/>
        <v>0</v>
      </c>
      <c r="V228" s="88" t="str">
        <f>ifs($N228="",VLOOKUP($C228&amp;$F228,'MARCH - VISIT DATA'!$A$2:$J600,7,FALSE), $N228="SWAB","OUTSA-RW",$N228="SWQU","OUTSA-SaQu", AND($L228="X",$M228="X",$N228="QUEST"),"OUT-UAQPre",$N228="QUEST","OUT-UAQ", $N228="Walk in","ColUATele")</f>
        <v>UA</v>
      </c>
      <c r="W228" s="70" t="str">
        <f t="shared" si="9"/>
        <v>UA : Urine Analysis In House</v>
      </c>
      <c r="X228" s="64" t="str">
        <f t="shared" si="10"/>
        <v>UA : Urine Analysis In House</v>
      </c>
      <c r="Y228" s="64" t="str">
        <f t="shared" si="11"/>
        <v>MATCH</v>
      </c>
      <c r="Z228" s="66" t="str">
        <f t="shared" si="12"/>
        <v> </v>
      </c>
      <c r="AA228" s="71"/>
    </row>
    <row r="229" ht="15.75" customHeight="1">
      <c r="A229" s="56" t="str">
        <f t="shared" si="1"/>
        <v>1747644635</v>
      </c>
      <c r="B229" s="56" t="str">
        <f>IFS($C229=FALSE,"",$C229,VLOOKUP($C229,'PATIENT DATA (072721)'!A:C, 2, 0))</f>
        <v>LEYVA, FRANCISCO</v>
      </c>
      <c r="C229" s="57">
        <v>17476.0</v>
      </c>
      <c r="D229" s="127" t="str">
        <f>IF(COUNTIF('PATIENT DATA (072721)'!A:A, C229)=0, "X","✓")</f>
        <v>✓</v>
      </c>
      <c r="E229" s="79">
        <f>IFS($C229=FALSE,"",$C229,VLOOKUP($C229,'PATIENT DATA (072721)'!A:C, 3, 0))</f>
        <v>18351</v>
      </c>
      <c r="F229" s="80">
        <v>44635.0</v>
      </c>
      <c r="G229" s="81">
        <f>ifs($C229="","",$C229, VLOOKUP($C229&amp;$F229, 'MARCH - VISIT DATA'!A:O,3,0))</f>
        <v>0.4166666667</v>
      </c>
      <c r="H229" s="83"/>
      <c r="I229" s="122" t="str">
        <f>VLOOKUP($C229&amp;$F229,'MARCH - VISIT DATA'!A:J, 9, FALSE)</f>
        <v>TORRES</v>
      </c>
      <c r="J229" s="85" t="str">
        <f>VLOOKUP(C229&amp;F229,'MARCH - VISIT DATA'!A:O,10,FALSE)</f>
        <v>MEDICARE TEXAS</v>
      </c>
      <c r="K229" s="86"/>
      <c r="L229" s="86" t="s">
        <v>6559</v>
      </c>
      <c r="M229" s="86"/>
      <c r="N229" s="86"/>
      <c r="O229" s="121" t="str">
        <f t="shared" si="2"/>
        <v>✓</v>
      </c>
      <c r="P229" s="79" t="str">
        <f t="shared" si="3"/>
        <v>#VALUE!</v>
      </c>
      <c r="Q229" s="123" t="str">
        <f t="shared" si="4"/>
        <v>#VALUE!</v>
      </c>
      <c r="R229" s="124" t="str">
        <f t="shared" si="5"/>
        <v>#VALUE!</v>
      </c>
      <c r="S229" s="125" t="str">
        <f t="shared" si="6"/>
        <v>#VALUE!</v>
      </c>
      <c r="T229" s="125" t="str">
        <f t="shared" si="7"/>
        <v>#VALUE!</v>
      </c>
      <c r="U229" s="83">
        <f t="shared" si="8"/>
        <v>0</v>
      </c>
      <c r="V229" s="88" t="str">
        <f>ifs($N229="",VLOOKUP($C229&amp;$F229,'MARCH - VISIT DATA'!$A$2:$J600,7,FALSE), $N229="SWAB","OUTSA-RW",$N229="SWQU","OUTSA-SaQu", AND($L229="X",$M229="X",$N229="QUEST"),"OUT-UAQPre",$N229="QUEST","OUT-UAQ", $N229="Walk in","ColUATele")</f>
        <v>UA</v>
      </c>
      <c r="W229" s="70" t="str">
        <f t="shared" si="9"/>
        <v>UA : Urine Analysis In House</v>
      </c>
      <c r="X229" s="64" t="str">
        <f t="shared" si="10"/>
        <v>UA : Urine Analysis In House</v>
      </c>
      <c r="Y229" s="64" t="str">
        <f t="shared" si="11"/>
        <v>MATCH</v>
      </c>
      <c r="Z229" s="66" t="str">
        <f t="shared" si="12"/>
        <v> </v>
      </c>
      <c r="AA229" s="71"/>
    </row>
    <row r="230" ht="15.75" customHeight="1">
      <c r="A230" s="56" t="str">
        <f t="shared" si="1"/>
        <v>1794744635</v>
      </c>
      <c r="B230" s="56" t="str">
        <f>IFS($C230=FALSE,"",$C230,VLOOKUP($C230,'PATIENT DATA (072721)'!A:C, 2, 0))</f>
        <v>AMAYA, PATRICIA S</v>
      </c>
      <c r="C230" s="57">
        <v>17947.0</v>
      </c>
      <c r="D230" s="127" t="str">
        <f>IF(COUNTIF('PATIENT DATA (072721)'!A:A, C230)=0, "X","✓")</f>
        <v>✓</v>
      </c>
      <c r="E230" s="79">
        <f>IFS($C230=FALSE,"",$C230,VLOOKUP($C230,'PATIENT DATA (072721)'!A:C, 3, 0))</f>
        <v>22055</v>
      </c>
      <c r="F230" s="80">
        <v>44635.0</v>
      </c>
      <c r="G230" s="81">
        <f>ifs($C230="","",$C230, VLOOKUP($C230&amp;$F230, 'MARCH - VISIT DATA'!A:O,3,0))</f>
        <v>0.59375</v>
      </c>
      <c r="H230" s="83"/>
      <c r="I230" s="122" t="str">
        <f>VLOOKUP($C230&amp;$F230,'MARCH - VISIT DATA'!A:J, 9, FALSE)</f>
        <v>LOPEZ</v>
      </c>
      <c r="J230" s="85" t="str">
        <f>VLOOKUP(C230&amp;F230,'MARCH - VISIT DATA'!A:O,10,FALSE)</f>
        <v>BCBS HEALTH SELECT</v>
      </c>
      <c r="K230" s="86" t="s">
        <v>6559</v>
      </c>
      <c r="L230" s="86"/>
      <c r="M230" s="86"/>
      <c r="N230" s="86"/>
      <c r="O230" s="121" t="str">
        <f t="shared" si="2"/>
        <v>✓</v>
      </c>
      <c r="P230" s="79" t="str">
        <f t="shared" si="3"/>
        <v>#VALUE!</v>
      </c>
      <c r="Q230" s="123" t="str">
        <f t="shared" si="4"/>
        <v>#VALUE!</v>
      </c>
      <c r="R230" s="124" t="str">
        <f t="shared" si="5"/>
        <v>#VALUE!</v>
      </c>
      <c r="S230" s="125" t="str">
        <f t="shared" si="6"/>
        <v>#VALUE!</v>
      </c>
      <c r="T230" s="125" t="str">
        <f t="shared" si="7"/>
        <v>#VALUE!</v>
      </c>
      <c r="U230" s="83">
        <f t="shared" si="8"/>
        <v>0</v>
      </c>
      <c r="V230" s="88" t="str">
        <f>ifs($N230="",VLOOKUP($C230&amp;$F230,'MARCH - VISIT DATA'!$A$2:$J600,7,FALSE), $N230="SWAB","OUTSA-RW",$N230="SWQU","OUTSA-SaQu", AND($L230="X",$M230="X",$N230="QUEST"),"OUT-UAQPre",$N230="QUEST","OUT-UAQ", $N230="Walk in","ColUATele")</f>
        <v>UA-NWPT</v>
      </c>
      <c r="W230" s="70" t="str">
        <f t="shared" si="9"/>
        <v>UA-NWPT : UA New Patient</v>
      </c>
      <c r="X230" s="64" t="str">
        <f t="shared" si="10"/>
        <v>UA-NWPT : UA New Patient</v>
      </c>
      <c r="Y230" s="64" t="str">
        <f t="shared" si="11"/>
        <v>MATCH</v>
      </c>
      <c r="Z230" s="66" t="str">
        <f t="shared" si="12"/>
        <v> </v>
      </c>
      <c r="AA230" s="71"/>
    </row>
    <row r="231" ht="15.75" customHeight="1">
      <c r="A231" s="56" t="str">
        <f t="shared" si="1"/>
        <v>1812244635</v>
      </c>
      <c r="B231" s="56" t="str">
        <f>IFS($C231=FALSE,"",$C231,VLOOKUP($C231,'PATIENT DATA (072721)'!A:C, 2, 0))</f>
        <v>BAUERKEMPER, SAMUEL</v>
      </c>
      <c r="C231" s="57">
        <v>18122.0</v>
      </c>
      <c r="D231" s="127" t="str">
        <f>IF(COUNTIF('PATIENT DATA (072721)'!A:A, C231)=0, "X","✓")</f>
        <v>✓</v>
      </c>
      <c r="E231" s="79">
        <f>IFS($C231=FALSE,"",$C231,VLOOKUP($C231,'PATIENT DATA (072721)'!A:C, 3, 0))</f>
        <v>26185</v>
      </c>
      <c r="F231" s="80">
        <v>44635.0</v>
      </c>
      <c r="G231" s="81">
        <f>ifs($C231="","",$C231, VLOOKUP($C231&amp;$F231, 'MARCH - VISIT DATA'!A:O,3,0))</f>
        <v>0.5625</v>
      </c>
      <c r="H231" s="83"/>
      <c r="I231" s="122" t="str">
        <f>VLOOKUP($C231&amp;$F231,'MARCH - VISIT DATA'!A:J, 9, FALSE)</f>
        <v>LOPEZ</v>
      </c>
      <c r="J231" s="85" t="str">
        <f>VLOOKUP(C231&amp;F231,'MARCH - VISIT DATA'!A:O,10,FALSE)</f>
        <v>WPS VA - COMMUNITY CARE</v>
      </c>
      <c r="K231" s="86" t="s">
        <v>6559</v>
      </c>
      <c r="L231" s="86"/>
      <c r="M231" s="86"/>
      <c r="N231" s="86"/>
      <c r="O231" s="121" t="str">
        <f t="shared" si="2"/>
        <v>✓</v>
      </c>
      <c r="P231" s="79" t="str">
        <f t="shared" si="3"/>
        <v>#VALUE!</v>
      </c>
      <c r="Q231" s="123" t="str">
        <f t="shared" si="4"/>
        <v>#VALUE!</v>
      </c>
      <c r="R231" s="124" t="str">
        <f t="shared" si="5"/>
        <v>#VALUE!</v>
      </c>
      <c r="S231" s="125" t="str">
        <f t="shared" si="6"/>
        <v>#VALUE!</v>
      </c>
      <c r="T231" s="125" t="str">
        <f t="shared" si="7"/>
        <v>#VALUE!</v>
      </c>
      <c r="U231" s="83">
        <f t="shared" si="8"/>
        <v>0</v>
      </c>
      <c r="V231" s="88" t="str">
        <f>ifs($N231="",VLOOKUP($C231&amp;$F231,'MARCH - VISIT DATA'!$A$2:$J600,7,FALSE), $N231="SWAB","OUTSA-RW",$N231="SWQU","OUTSA-SaQu", AND($L231="X",$M231="X",$N231="QUEST"),"OUT-UAQPre",$N231="QUEST","OUT-UAQ", $N231="Walk in","ColUATele")</f>
        <v>UA-NWPT</v>
      </c>
      <c r="W231" s="70" t="str">
        <f t="shared" si="9"/>
        <v>UA-NWPT : UA New Patient</v>
      </c>
      <c r="X231" s="64" t="str">
        <f t="shared" si="10"/>
        <v>UA-NWPT : UA New Patient</v>
      </c>
      <c r="Y231" s="64" t="str">
        <f t="shared" si="11"/>
        <v>MATCH</v>
      </c>
      <c r="Z231" s="66" t="str">
        <f t="shared" si="12"/>
        <v> </v>
      </c>
      <c r="AA231" s="71"/>
    </row>
    <row r="232" ht="15.75" customHeight="1">
      <c r="A232" s="56" t="str">
        <f t="shared" si="1"/>
        <v>1821244635</v>
      </c>
      <c r="B232" s="56" t="str">
        <f>IFS($C232=FALSE,"",$C232,VLOOKUP($C232,'PATIENT DATA (072721)'!A:C, 2, 0))</f>
        <v>GONZALEZ, JOSHUA M</v>
      </c>
      <c r="C232" s="57">
        <v>18212.0</v>
      </c>
      <c r="D232" s="127" t="str">
        <f>IF(COUNTIF('PATIENT DATA (072721)'!A:A, C232)=0, "X","✓")</f>
        <v>✓</v>
      </c>
      <c r="E232" s="79">
        <f>IFS($C232=FALSE,"",$C232,VLOOKUP($C232,'PATIENT DATA (072721)'!A:C, 3, 0))</f>
        <v>29080</v>
      </c>
      <c r="F232" s="80">
        <v>44635.0</v>
      </c>
      <c r="G232" s="81">
        <f>ifs($C232="","",$C232, VLOOKUP($C232&amp;$F232, 'MARCH - VISIT DATA'!A:O,3,0))</f>
        <v>0.34375</v>
      </c>
      <c r="H232" s="83"/>
      <c r="I232" s="122" t="str">
        <f>VLOOKUP($C232&amp;$F232,'MARCH - VISIT DATA'!A:J, 9, FALSE)</f>
        <v>LOPEZ</v>
      </c>
      <c r="J232" s="85" t="str">
        <f>VLOOKUP(C232&amp;F232,'MARCH - VISIT DATA'!A:O,10,FALSE)</f>
        <v>THE AMERICAN WORKER - PHCS PPO</v>
      </c>
      <c r="K232" s="86" t="s">
        <v>6559</v>
      </c>
      <c r="L232" s="86"/>
      <c r="M232" s="86"/>
      <c r="N232" s="86"/>
      <c r="O232" s="121" t="str">
        <f t="shared" si="2"/>
        <v>✓</v>
      </c>
      <c r="P232" s="79" t="str">
        <f t="shared" si="3"/>
        <v>#VALUE!</v>
      </c>
      <c r="Q232" s="123" t="str">
        <f t="shared" si="4"/>
        <v>#VALUE!</v>
      </c>
      <c r="R232" s="124" t="str">
        <f t="shared" si="5"/>
        <v>#VALUE!</v>
      </c>
      <c r="S232" s="125" t="str">
        <f t="shared" si="6"/>
        <v>#VALUE!</v>
      </c>
      <c r="T232" s="125" t="str">
        <f t="shared" si="7"/>
        <v>#VALUE!</v>
      </c>
      <c r="U232" s="83">
        <f t="shared" si="8"/>
        <v>0</v>
      </c>
      <c r="V232" s="88" t="str">
        <f>ifs($N232="",VLOOKUP($C232&amp;$F232,'MARCH - VISIT DATA'!$A$2:$J600,7,FALSE), $N232="SWAB","OUTSA-RW",$N232="SWQU","OUTSA-SaQu", AND($L232="X",$M232="X",$N232="QUEST"),"OUT-UAQPre",$N232="QUEST","OUT-UAQ", $N232="Walk in","ColUATele")</f>
        <v>UA-NWPT</v>
      </c>
      <c r="W232" s="70" t="str">
        <f t="shared" si="9"/>
        <v>UA-NWPT : UA New Patient</v>
      </c>
      <c r="X232" s="64" t="str">
        <f t="shared" si="10"/>
        <v>UA-NWPT : UA New Patient</v>
      </c>
      <c r="Y232" s="64" t="str">
        <f t="shared" si="11"/>
        <v>MATCH</v>
      </c>
      <c r="Z232" s="66" t="str">
        <f t="shared" si="12"/>
        <v> </v>
      </c>
      <c r="AA232" s="71"/>
    </row>
    <row r="233" ht="15.75" customHeight="1">
      <c r="A233" s="56" t="str">
        <f t="shared" si="1"/>
        <v>1829744635</v>
      </c>
      <c r="B233" s="56" t="str">
        <f>IFS($C233=FALSE,"",$C233,VLOOKUP($C233,'PATIENT DATA (072721)'!A:C, 2, 0))</f>
        <v>HODGKINS, GERALD</v>
      </c>
      <c r="C233" s="57">
        <v>18297.0</v>
      </c>
      <c r="D233" s="127" t="str">
        <f>IF(COUNTIF('PATIENT DATA (072721)'!A:A, C233)=0, "X","✓")</f>
        <v>✓</v>
      </c>
      <c r="E233" s="79">
        <f>IFS($C233=FALSE,"",$C233,VLOOKUP($C233,'PATIENT DATA (072721)'!A:C, 3, 0))</f>
        <v>15719</v>
      </c>
      <c r="F233" s="80">
        <v>44635.0</v>
      </c>
      <c r="G233" s="81">
        <f>ifs($C233="","",$C233, VLOOKUP($C233&amp;$F233, 'MARCH - VISIT DATA'!A:O,3,0))</f>
        <v>0.5416666667</v>
      </c>
      <c r="H233" s="83"/>
      <c r="I233" s="122" t="str">
        <f>VLOOKUP($C233&amp;$F233,'MARCH - VISIT DATA'!A:J, 9, FALSE)</f>
        <v>LOPEZ</v>
      </c>
      <c r="J233" s="85" t="str">
        <f>VLOOKUP(C233&amp;F233,'MARCH - VISIT DATA'!A:O,10,FALSE)</f>
        <v>HUMANA MEDICARE PPO</v>
      </c>
      <c r="K233" s="86" t="s">
        <v>6559</v>
      </c>
      <c r="L233" s="86"/>
      <c r="M233" s="86"/>
      <c r="N233" s="86"/>
      <c r="O233" s="121" t="str">
        <f t="shared" si="2"/>
        <v>✓</v>
      </c>
      <c r="P233" s="79" t="str">
        <f t="shared" si="3"/>
        <v>#VALUE!</v>
      </c>
      <c r="Q233" s="123" t="str">
        <f t="shared" si="4"/>
        <v>#VALUE!</v>
      </c>
      <c r="R233" s="124" t="str">
        <f t="shared" si="5"/>
        <v>#VALUE!</v>
      </c>
      <c r="S233" s="125" t="str">
        <f t="shared" si="6"/>
        <v>#VALUE!</v>
      </c>
      <c r="T233" s="125" t="str">
        <f t="shared" si="7"/>
        <v>#VALUE!</v>
      </c>
      <c r="U233" s="83">
        <f t="shared" si="8"/>
        <v>0</v>
      </c>
      <c r="V233" s="88" t="str">
        <f>ifs($N233="",VLOOKUP($C233&amp;$F233,'MARCH - VISIT DATA'!$A$2:$J600,7,FALSE), $N233="SWAB","OUTSA-RW",$N233="SWQU","OUTSA-SaQu", AND($L233="X",$M233="X",$N233="QUEST"),"OUT-UAQPre",$N233="QUEST","OUT-UAQ", $N233="Walk in","ColUATele")</f>
        <v>UA-NWPT</v>
      </c>
      <c r="W233" s="70" t="str">
        <f t="shared" si="9"/>
        <v>UA-NWPT : UA New Patient</v>
      </c>
      <c r="X233" s="64" t="str">
        <f t="shared" si="10"/>
        <v>UA-NWPT : UA New Patient</v>
      </c>
      <c r="Y233" s="64" t="str">
        <f t="shared" si="11"/>
        <v>MATCH</v>
      </c>
      <c r="Z233" s="66" t="str">
        <f t="shared" si="12"/>
        <v> </v>
      </c>
      <c r="AA233" s="71"/>
    </row>
    <row r="234" ht="15.75" customHeight="1">
      <c r="A234" s="56" t="str">
        <f t="shared" si="1"/>
        <v>1829944635</v>
      </c>
      <c r="B234" s="56" t="str">
        <f>IFS($C234=FALSE,"",$C234,VLOOKUP($C234,'PATIENT DATA (072721)'!A:C, 2, 0))</f>
        <v>CARDENAS, MARIA C</v>
      </c>
      <c r="C234" s="57">
        <v>18299.0</v>
      </c>
      <c r="D234" s="127" t="str">
        <f>IF(COUNTIF('PATIENT DATA (072721)'!A:A, C234)=0, "X","✓")</f>
        <v>✓</v>
      </c>
      <c r="E234" s="79">
        <f>IFS($C234=FALSE,"",$C234,VLOOKUP($C234,'PATIENT DATA (072721)'!A:C, 3, 0))</f>
        <v>22989</v>
      </c>
      <c r="F234" s="80">
        <v>44635.0</v>
      </c>
      <c r="G234" s="81">
        <f>ifs($C234="","",$C234, VLOOKUP($C234&amp;$F234, 'MARCH - VISIT DATA'!A:O,3,0))</f>
        <v>0.3958333333</v>
      </c>
      <c r="H234" s="83"/>
      <c r="I234" s="122" t="str">
        <f>VLOOKUP($C234&amp;$F234,'MARCH - VISIT DATA'!A:J, 9, FALSE)</f>
        <v>LOPEZ</v>
      </c>
      <c r="J234" s="85" t="str">
        <f>VLOOKUP(C234&amp;F234,'MARCH - VISIT DATA'!A:O,10,FALSE)</f>
        <v>AMERIGROUP</v>
      </c>
      <c r="K234" s="86" t="s">
        <v>6559</v>
      </c>
      <c r="L234" s="86"/>
      <c r="M234" s="86"/>
      <c r="N234" s="86"/>
      <c r="O234" s="121" t="str">
        <f t="shared" si="2"/>
        <v>✓</v>
      </c>
      <c r="P234" s="79" t="str">
        <f t="shared" si="3"/>
        <v>#VALUE!</v>
      </c>
      <c r="Q234" s="123" t="str">
        <f t="shared" si="4"/>
        <v>#VALUE!</v>
      </c>
      <c r="R234" s="124" t="str">
        <f t="shared" si="5"/>
        <v>#VALUE!</v>
      </c>
      <c r="S234" s="125" t="str">
        <f t="shared" si="6"/>
        <v>#VALUE!</v>
      </c>
      <c r="T234" s="125" t="str">
        <f t="shared" si="7"/>
        <v>#VALUE!</v>
      </c>
      <c r="U234" s="83">
        <f t="shared" si="8"/>
        <v>0</v>
      </c>
      <c r="V234" s="88" t="str">
        <f>ifs($N234="",VLOOKUP($C234&amp;$F234,'MARCH - VISIT DATA'!$A$2:$J600,7,FALSE), $N234="SWAB","OUTSA-RW",$N234="SWQU","OUTSA-SaQu", AND($L234="X",$M234="X",$N234="QUEST"),"OUT-UAQPre",$N234="QUEST","OUT-UAQ", $N234="Walk in","ColUATele")</f>
        <v>UA-NWPT</v>
      </c>
      <c r="W234" s="70" t="str">
        <f t="shared" si="9"/>
        <v>UA-NWPT : UA New Patient</v>
      </c>
      <c r="X234" s="64" t="str">
        <f t="shared" si="10"/>
        <v>UA-NWPT : UA New Patient</v>
      </c>
      <c r="Y234" s="64" t="str">
        <f t="shared" si="11"/>
        <v>MATCH</v>
      </c>
      <c r="Z234" s="66" t="str">
        <f t="shared" si="12"/>
        <v> </v>
      </c>
      <c r="AA234" s="71"/>
    </row>
    <row r="235" ht="15.75" customHeight="1">
      <c r="A235" s="56" t="str">
        <f t="shared" si="1"/>
        <v>1831044635</v>
      </c>
      <c r="B235" s="56" t="str">
        <f>IFS($C235=FALSE,"",$C235,VLOOKUP($C235,'PATIENT DATA (072721)'!A:C, 2, 0))</f>
        <v>SEANEZ, FREDERICK J</v>
      </c>
      <c r="C235" s="57">
        <v>18310.0</v>
      </c>
      <c r="D235" s="127" t="str">
        <f>IF(COUNTIF('PATIENT DATA (072721)'!A:A, C235)=0, "X","✓")</f>
        <v>✓</v>
      </c>
      <c r="E235" s="79">
        <f>IFS($C235=FALSE,"",$C235,VLOOKUP($C235,'PATIENT DATA (072721)'!A:C, 3, 0))</f>
        <v>24704</v>
      </c>
      <c r="F235" s="80">
        <v>44635.0</v>
      </c>
      <c r="G235" s="81">
        <f>ifs($C235="","",$C235, VLOOKUP($C235&amp;$F235, 'MARCH - VISIT DATA'!A:O,3,0))</f>
        <v>0.3958333333</v>
      </c>
      <c r="H235" s="83"/>
      <c r="I235" s="122" t="str">
        <f>VLOOKUP($C235&amp;$F235,'MARCH - VISIT DATA'!A:J, 9, FALSE)</f>
        <v>LOPEZ</v>
      </c>
      <c r="J235" s="85" t="str">
        <f>VLOOKUP(C235&amp;F235,'MARCH - VISIT DATA'!A:O,10,FALSE)</f>
        <v>AMERIGROUP</v>
      </c>
      <c r="K235" s="86" t="s">
        <v>6559</v>
      </c>
      <c r="L235" s="86"/>
      <c r="M235" s="86"/>
      <c r="N235" s="86"/>
      <c r="O235" s="121" t="str">
        <f t="shared" si="2"/>
        <v>✓</v>
      </c>
      <c r="P235" s="79" t="str">
        <f t="shared" si="3"/>
        <v>#VALUE!</v>
      </c>
      <c r="Q235" s="123" t="str">
        <f t="shared" si="4"/>
        <v>#VALUE!</v>
      </c>
      <c r="R235" s="124" t="str">
        <f t="shared" si="5"/>
        <v>#VALUE!</v>
      </c>
      <c r="S235" s="125" t="str">
        <f t="shared" si="6"/>
        <v>#VALUE!</v>
      </c>
      <c r="T235" s="125" t="str">
        <f t="shared" si="7"/>
        <v>#VALUE!</v>
      </c>
      <c r="U235" s="83">
        <f t="shared" si="8"/>
        <v>0</v>
      </c>
      <c r="V235" s="88" t="str">
        <f>ifs($N235="",VLOOKUP($C235&amp;$F235,'MARCH - VISIT DATA'!$A$2:$J600,7,FALSE), $N235="SWAB","OUTSA-RW",$N235="SWQU","OUTSA-SaQu", AND($L235="X",$M235="X",$N235="QUEST"),"OUT-UAQPre",$N235="QUEST","OUT-UAQ", $N235="Walk in","ColUATele")</f>
        <v>UA-NWPT</v>
      </c>
      <c r="W235" s="70" t="str">
        <f t="shared" si="9"/>
        <v>UA-NWPT : UA New Patient</v>
      </c>
      <c r="X235" s="64" t="str">
        <f t="shared" si="10"/>
        <v>UA-NWPT : UA New Patient</v>
      </c>
      <c r="Y235" s="64" t="str">
        <f t="shared" si="11"/>
        <v>MATCH</v>
      </c>
      <c r="Z235" s="66" t="str">
        <f t="shared" si="12"/>
        <v> </v>
      </c>
      <c r="AA235" s="71"/>
    </row>
    <row r="236" ht="15.75" customHeight="1">
      <c r="A236" s="56" t="str">
        <f t="shared" si="1"/>
        <v>1831344635</v>
      </c>
      <c r="B236" s="56" t="str">
        <f>IFS($C236=FALSE,"",$C236,VLOOKUP($C236,'PATIENT DATA (072721)'!A:C, 2, 0))</f>
        <v>GARCIA, ELIZABETH</v>
      </c>
      <c r="C236" s="57">
        <v>18313.0</v>
      </c>
      <c r="D236" s="127" t="str">
        <f>IF(COUNTIF('PATIENT DATA (072721)'!A:A, C236)=0, "X","✓")</f>
        <v>✓</v>
      </c>
      <c r="E236" s="79">
        <f>IFS($C236=FALSE,"",$C236,VLOOKUP($C236,'PATIENT DATA (072721)'!A:C, 3, 0))</f>
        <v>25973</v>
      </c>
      <c r="F236" s="80">
        <v>44635.0</v>
      </c>
      <c r="G236" s="81">
        <f>ifs($C236="","",$C236, VLOOKUP($C236&amp;$F236, 'MARCH - VISIT DATA'!A:O,3,0))</f>
        <v>0.6145833333</v>
      </c>
      <c r="H236" s="83"/>
      <c r="I236" s="122" t="str">
        <f>VLOOKUP($C236&amp;$F236,'MARCH - VISIT DATA'!A:J, 9, FALSE)</f>
        <v>LOPEZ</v>
      </c>
      <c r="J236" s="85" t="str">
        <f>VLOOKUP(C236&amp;F236,'MARCH - VISIT DATA'!A:O,10,FALSE)</f>
        <v>SUPERIOR HEALTH PLAN</v>
      </c>
      <c r="K236" s="86" t="s">
        <v>6559</v>
      </c>
      <c r="L236" s="86"/>
      <c r="M236" s="86"/>
      <c r="N236" s="86"/>
      <c r="O236" s="121" t="str">
        <f t="shared" si="2"/>
        <v>✓</v>
      </c>
      <c r="P236" s="79" t="str">
        <f t="shared" si="3"/>
        <v>#VALUE!</v>
      </c>
      <c r="Q236" s="123" t="str">
        <f t="shared" si="4"/>
        <v>#VALUE!</v>
      </c>
      <c r="R236" s="124" t="str">
        <f t="shared" si="5"/>
        <v>#VALUE!</v>
      </c>
      <c r="S236" s="125" t="str">
        <f t="shared" si="6"/>
        <v>#VALUE!</v>
      </c>
      <c r="T236" s="125" t="str">
        <f t="shared" si="7"/>
        <v>#VALUE!</v>
      </c>
      <c r="U236" s="83">
        <f t="shared" si="8"/>
        <v>0</v>
      </c>
      <c r="V236" s="88" t="str">
        <f>ifs($N236="",VLOOKUP($C236&amp;$F236,'MARCH - VISIT DATA'!$A$2:$J600,7,FALSE), $N236="SWAB","OUTSA-RW",$N236="SWQU","OUTSA-SaQu", AND($L236="X",$M236="X",$N236="QUEST"),"OUT-UAQPre",$N236="QUEST","OUT-UAQ", $N236="Walk in","ColUATele")</f>
        <v>UA-NWPT</v>
      </c>
      <c r="W236" s="70" t="str">
        <f t="shared" si="9"/>
        <v>UA-NWPT : UA New Patient</v>
      </c>
      <c r="X236" s="64" t="str">
        <f t="shared" si="10"/>
        <v>UA-NWPT : UA New Patient</v>
      </c>
      <c r="Y236" s="64" t="str">
        <f t="shared" si="11"/>
        <v>MATCH</v>
      </c>
      <c r="Z236" s="66" t="str">
        <f t="shared" si="12"/>
        <v> </v>
      </c>
      <c r="AA236" s="71"/>
    </row>
    <row r="237" ht="15.75" customHeight="1">
      <c r="A237" s="56" t="str">
        <f t="shared" si="1"/>
        <v>1832344635</v>
      </c>
      <c r="B237" s="56" t="str">
        <f>IFS($C237=FALSE,"",$C237,VLOOKUP($C237,'PATIENT DATA (072721)'!A:C, 2, 0))</f>
        <v>COVARRUBIAS, YAMEL A</v>
      </c>
      <c r="C237" s="57">
        <v>18323.0</v>
      </c>
      <c r="D237" s="127" t="str">
        <f>IF(COUNTIF('PATIENT DATA (072721)'!A:A, C237)=0, "X","✓")</f>
        <v>✓</v>
      </c>
      <c r="E237" s="79">
        <f>IFS($C237=FALSE,"",$C237,VLOOKUP($C237,'PATIENT DATA (072721)'!A:C, 3, 0))</f>
        <v>34576</v>
      </c>
      <c r="F237" s="80">
        <v>44635.0</v>
      </c>
      <c r="G237" s="81">
        <f>ifs($C237="","",$C237, VLOOKUP($C237&amp;$F237, 'MARCH - VISIT DATA'!A:O,3,0))</f>
        <v>0.59375</v>
      </c>
      <c r="H237" s="83"/>
      <c r="I237" s="122" t="str">
        <f>VLOOKUP($C237&amp;$F237,'MARCH - VISIT DATA'!A:J, 9, FALSE)</f>
        <v>LOPEZ</v>
      </c>
      <c r="J237" s="85" t="str">
        <f>VLOOKUP(C237&amp;F237,'MARCH - VISIT DATA'!A:O,10,FALSE)</f>
        <v>UNITED HEALTH CARE CHOICEPLUS</v>
      </c>
      <c r="K237" s="86" t="s">
        <v>6559</v>
      </c>
      <c r="L237" s="86"/>
      <c r="M237" s="86"/>
      <c r="N237" s="86"/>
      <c r="O237" s="121" t="str">
        <f t="shared" si="2"/>
        <v>✓</v>
      </c>
      <c r="P237" s="79" t="str">
        <f t="shared" si="3"/>
        <v>#VALUE!</v>
      </c>
      <c r="Q237" s="123" t="str">
        <f t="shared" si="4"/>
        <v>#VALUE!</v>
      </c>
      <c r="R237" s="124" t="str">
        <f t="shared" si="5"/>
        <v>#VALUE!</v>
      </c>
      <c r="S237" s="125" t="str">
        <f t="shared" si="6"/>
        <v>#VALUE!</v>
      </c>
      <c r="T237" s="125" t="str">
        <f t="shared" si="7"/>
        <v>#VALUE!</v>
      </c>
      <c r="U237" s="83">
        <f t="shared" si="8"/>
        <v>0</v>
      </c>
      <c r="V237" s="88" t="str">
        <f>ifs($N237="",VLOOKUP($C237&amp;$F237,'MARCH - VISIT DATA'!$A$2:$J600,7,FALSE), $N237="SWAB","OUTSA-RW",$N237="SWQU","OUTSA-SaQu", AND($L237="X",$M237="X",$N237="QUEST"),"OUT-UAQPre",$N237="QUEST","OUT-UAQ", $N237="Walk in","ColUATele")</f>
        <v>UA-NWPT</v>
      </c>
      <c r="W237" s="70" t="str">
        <f t="shared" si="9"/>
        <v>UA-NWPT : UA New Patient</v>
      </c>
      <c r="X237" s="64" t="str">
        <f t="shared" si="10"/>
        <v>UA-NWPT : UA New Patient</v>
      </c>
      <c r="Y237" s="64" t="str">
        <f t="shared" si="11"/>
        <v>MATCH</v>
      </c>
      <c r="Z237" s="66" t="str">
        <f t="shared" si="12"/>
        <v> </v>
      </c>
      <c r="AA237" s="71"/>
    </row>
    <row r="238" ht="15.75" customHeight="1">
      <c r="A238" s="56" t="str">
        <f t="shared" si="1"/>
        <v>1840344635</v>
      </c>
      <c r="B238" s="56" t="str">
        <f>IFS($C238=FALSE,"",$C238,VLOOKUP($C238,'PATIENT DATA (072721)'!A:C, 2, 0))</f>
        <v>EVRAGE, JAMES R</v>
      </c>
      <c r="C238" s="57">
        <v>18403.0</v>
      </c>
      <c r="D238" s="127" t="str">
        <f>IF(COUNTIF('PATIENT DATA (072721)'!A:A, C238)=0, "X","✓")</f>
        <v>✓</v>
      </c>
      <c r="E238" s="79">
        <f>IFS($C238=FALSE,"",$C238,VLOOKUP($C238,'PATIENT DATA (072721)'!A:C, 3, 0))</f>
        <v>14229</v>
      </c>
      <c r="F238" s="80">
        <v>44635.0</v>
      </c>
      <c r="G238" s="81">
        <f>ifs($C238="","",$C238, VLOOKUP($C238&amp;$F238, 'MARCH - VISIT DATA'!A:O,3,0))</f>
        <v>0.59375</v>
      </c>
      <c r="H238" s="83"/>
      <c r="I238" s="122" t="str">
        <f>VLOOKUP($C238&amp;$F238,'MARCH - VISIT DATA'!A:J, 9, FALSE)</f>
        <v>LOPEZ</v>
      </c>
      <c r="J238" s="85" t="str">
        <f>VLOOKUP(C238&amp;F238,'MARCH - VISIT DATA'!A:O,10,FALSE)</f>
        <v>MEDICARE TEXAS</v>
      </c>
      <c r="K238" s="86" t="s">
        <v>6559</v>
      </c>
      <c r="L238" s="86"/>
      <c r="M238" s="86"/>
      <c r="N238" s="86"/>
      <c r="O238" s="121" t="str">
        <f t="shared" si="2"/>
        <v>✓</v>
      </c>
      <c r="P238" s="79" t="str">
        <f t="shared" si="3"/>
        <v>#VALUE!</v>
      </c>
      <c r="Q238" s="123" t="str">
        <f t="shared" si="4"/>
        <v>#VALUE!</v>
      </c>
      <c r="R238" s="124" t="str">
        <f t="shared" si="5"/>
        <v>#VALUE!</v>
      </c>
      <c r="S238" s="125" t="str">
        <f t="shared" si="6"/>
        <v>#VALUE!</v>
      </c>
      <c r="T238" s="125" t="str">
        <f t="shared" si="7"/>
        <v>#VALUE!</v>
      </c>
      <c r="U238" s="83">
        <f t="shared" si="8"/>
        <v>0</v>
      </c>
      <c r="V238" s="88" t="str">
        <f>ifs($N238="",VLOOKUP($C238&amp;$F238,'MARCH - VISIT DATA'!$A$2:$J600,7,FALSE), $N238="SWAB","OUTSA-RW",$N238="SWQU","OUTSA-SaQu", AND($L238="X",$M238="X",$N238="QUEST"),"OUT-UAQPre",$N238="QUEST","OUT-UAQ", $N238="Walk in","ColUATele")</f>
        <v>UA-NWPT</v>
      </c>
      <c r="W238" s="70" t="str">
        <f t="shared" si="9"/>
        <v>UA-NWPT : UA New Patient</v>
      </c>
      <c r="X238" s="64" t="str">
        <f t="shared" si="10"/>
        <v>UA-NWPT : UA New Patient</v>
      </c>
      <c r="Y238" s="64" t="str">
        <f t="shared" si="11"/>
        <v>MATCH</v>
      </c>
      <c r="Z238" s="66" t="str">
        <f t="shared" si="12"/>
        <v> </v>
      </c>
      <c r="AA238" s="71"/>
    </row>
    <row r="239" ht="15.75" customHeight="1">
      <c r="A239" s="56" t="str">
        <f t="shared" si="1"/>
        <v/>
      </c>
      <c r="B239" s="56" t="str">
        <f>IFS($C239=FALSE,"",$C239,VLOOKUP($C239,'PATIENT DATA (072721)'!A:C, 2, 0))</f>
        <v/>
      </c>
      <c r="C239" s="57"/>
      <c r="D239" s="127" t="str">
        <f>IF(COUNTIF('PATIENT DATA (072721)'!A:A, C239)=0, "X","✓")</f>
        <v>X</v>
      </c>
      <c r="E239" s="79"/>
      <c r="F239" s="80"/>
      <c r="G239" s="81" t="str">
        <f>ifs($C239="","",$C239, VLOOKUP($C239&amp;$F239, 'MARCH - VISIT DATA'!A:O,3,0))</f>
        <v/>
      </c>
      <c r="H239" s="83"/>
      <c r="I239" s="122" t="str">
        <f>VLOOKUP($C239&amp;$F239,'MARCH - VISIT DATA'!A:J, 9, FALSE)</f>
        <v>#N/A</v>
      </c>
      <c r="J239" s="85" t="str">
        <f>VLOOKUP(C239&amp;F239,'MARCH - VISIT DATA'!A:O,10,FALSE)</f>
        <v>#N/A</v>
      </c>
      <c r="K239" s="86"/>
      <c r="L239" s="86"/>
      <c r="M239" s="86"/>
      <c r="N239" s="86"/>
      <c r="O239" s="121" t="str">
        <f t="shared" si="2"/>
        <v>X</v>
      </c>
      <c r="P239" s="79" t="str">
        <f t="shared" si="3"/>
        <v>#N/A</v>
      </c>
      <c r="Q239" s="123" t="str">
        <f t="shared" si="4"/>
        <v>#N/A</v>
      </c>
      <c r="R239" s="124" t="str">
        <f t="shared" si="5"/>
        <v>#N/A</v>
      </c>
      <c r="S239" s="125" t="str">
        <f t="shared" si="6"/>
        <v>#N/A</v>
      </c>
      <c r="T239" s="125" t="str">
        <f t="shared" si="7"/>
        <v>#N/A</v>
      </c>
      <c r="U239" s="83">
        <f t="shared" si="8"/>
        <v>0</v>
      </c>
      <c r="V239" s="88" t="str">
        <f>ifs($N239="",VLOOKUP($C239&amp;$F239,'MARCH - VISIT DATA'!$A$2:$J600,7,FALSE), $N239="SWAB","OUTSA-RW",$N239="SWQU","OUTSA-SaQu", AND($L239="X",$M239="X",$N239="QUEST"),"OUT-UAQPre",$N239="QUEST","OUT-UAQ", $N239="Walk in","ColUATele")</f>
        <v>#N/A</v>
      </c>
      <c r="W239" s="70" t="str">
        <f t="shared" si="9"/>
        <v>#N/A</v>
      </c>
      <c r="X239" s="64" t="str">
        <f t="shared" si="10"/>
        <v/>
      </c>
      <c r="Y239" s="64" t="str">
        <f t="shared" si="11"/>
        <v/>
      </c>
      <c r="Z239" s="66" t="str">
        <f t="shared" si="12"/>
        <v> </v>
      </c>
      <c r="AA239" s="71"/>
    </row>
    <row r="240" ht="15.75" customHeight="1">
      <c r="A240" s="56" t="str">
        <f t="shared" si="1"/>
        <v/>
      </c>
      <c r="B240" s="56" t="str">
        <f>IFS($C240=FALSE,"",$C240,VLOOKUP($C240,'PATIENT DATA (072721)'!A:C, 2, 0))</f>
        <v/>
      </c>
      <c r="C240" s="57"/>
      <c r="D240" s="127" t="str">
        <f>IF(COUNTIF('PATIENT DATA (072721)'!A:A, C240)=0, "X","✓")</f>
        <v>X</v>
      </c>
      <c r="E240" s="79"/>
      <c r="F240" s="80"/>
      <c r="G240" s="81" t="str">
        <f>ifs($C240="","",$C240, VLOOKUP($C240&amp;$F240, 'MARCH - VISIT DATA'!A:O,3,0))</f>
        <v/>
      </c>
      <c r="H240" s="83"/>
      <c r="I240" s="122" t="str">
        <f>VLOOKUP($C240&amp;$F240,'MARCH - VISIT DATA'!A:J, 9, FALSE)</f>
        <v>#N/A</v>
      </c>
      <c r="J240" s="85" t="str">
        <f>VLOOKUP(C240&amp;F240,'MARCH - VISIT DATA'!A:O,10,FALSE)</f>
        <v>#N/A</v>
      </c>
      <c r="K240" s="86"/>
      <c r="L240" s="86"/>
      <c r="M240" s="86"/>
      <c r="N240" s="86"/>
      <c r="O240" s="121" t="str">
        <f t="shared" si="2"/>
        <v>X</v>
      </c>
      <c r="P240" s="79" t="str">
        <f t="shared" si="3"/>
        <v>#N/A</v>
      </c>
      <c r="Q240" s="123" t="str">
        <f t="shared" si="4"/>
        <v>#N/A</v>
      </c>
      <c r="R240" s="124" t="str">
        <f t="shared" si="5"/>
        <v>#N/A</v>
      </c>
      <c r="S240" s="125" t="str">
        <f t="shared" si="6"/>
        <v>#N/A</v>
      </c>
      <c r="T240" s="125" t="str">
        <f t="shared" si="7"/>
        <v>#N/A</v>
      </c>
      <c r="U240" s="83">
        <f t="shared" si="8"/>
        <v>0</v>
      </c>
      <c r="V240" s="88" t="str">
        <f>ifs($N240="",VLOOKUP($C240&amp;$F240,'MARCH - VISIT DATA'!$A$2:$J600,7,FALSE), $N240="SWAB","OUTSA-RW",$N240="SWQU","OUTSA-SaQu", AND($L240="X",$M240="X",$N240="QUEST"),"OUT-UAQPre",$N240="QUEST","OUT-UAQ", $N240="Walk in","ColUATele")</f>
        <v>#N/A</v>
      </c>
      <c r="W240" s="70" t="str">
        <f t="shared" si="9"/>
        <v>#N/A</v>
      </c>
      <c r="X240" s="64" t="str">
        <f t="shared" si="10"/>
        <v/>
      </c>
      <c r="Y240" s="64" t="str">
        <f t="shared" si="11"/>
        <v/>
      </c>
      <c r="Z240" s="66" t="str">
        <f t="shared" si="12"/>
        <v> </v>
      </c>
      <c r="AA240" s="71"/>
    </row>
    <row r="241" ht="15.75" customHeight="1">
      <c r="A241" s="56" t="str">
        <f t="shared" si="1"/>
        <v/>
      </c>
      <c r="B241" s="56" t="str">
        <f>IFS($C241=FALSE,"",$C241,VLOOKUP($C241,'PATIENT DATA (072721)'!A:C, 2, 0))</f>
        <v/>
      </c>
      <c r="C241" s="57"/>
      <c r="D241" s="127" t="str">
        <f>IF(COUNTIF('PATIENT DATA (072721)'!A:A, C241)=0, "X","✓")</f>
        <v>X</v>
      </c>
      <c r="E241" s="79"/>
      <c r="F241" s="80"/>
      <c r="G241" s="81" t="str">
        <f>ifs($C241="","",$C241, VLOOKUP($C241&amp;$F241, 'MARCH - VISIT DATA'!A:O,3,0))</f>
        <v/>
      </c>
      <c r="H241" s="83"/>
      <c r="I241" s="122" t="str">
        <f>VLOOKUP($C241&amp;$F241,'MARCH - VISIT DATA'!A:J, 9, FALSE)</f>
        <v>#N/A</v>
      </c>
      <c r="J241" s="85" t="str">
        <f>VLOOKUP(C241&amp;F241,'MARCH - VISIT DATA'!A:O,10,FALSE)</f>
        <v>#N/A</v>
      </c>
      <c r="K241" s="86"/>
      <c r="L241" s="86"/>
      <c r="M241" s="86"/>
      <c r="N241" s="86"/>
      <c r="O241" s="121" t="str">
        <f t="shared" si="2"/>
        <v>X</v>
      </c>
      <c r="P241" s="79" t="str">
        <f t="shared" si="3"/>
        <v>#N/A</v>
      </c>
      <c r="Q241" s="123" t="str">
        <f t="shared" si="4"/>
        <v>#N/A</v>
      </c>
      <c r="R241" s="124" t="str">
        <f t="shared" si="5"/>
        <v>#N/A</v>
      </c>
      <c r="S241" s="125" t="str">
        <f t="shared" si="6"/>
        <v>#N/A</v>
      </c>
      <c r="T241" s="125" t="str">
        <f t="shared" si="7"/>
        <v>#N/A</v>
      </c>
      <c r="U241" s="83">
        <f t="shared" si="8"/>
        <v>0</v>
      </c>
      <c r="V241" s="88" t="str">
        <f>ifs($N241="",VLOOKUP($C241&amp;$F241,'MARCH - VISIT DATA'!$A$2:$J600,7,FALSE), $N241="SWAB","OUTSA-RW",$N241="SWQU","OUTSA-SaQu", AND($L241="X",$M241="X",$N241="QUEST"),"OUT-UAQPre",$N241="QUEST","OUT-UAQ", $N241="Walk in","ColUATele")</f>
        <v>#N/A</v>
      </c>
      <c r="W241" s="70" t="str">
        <f t="shared" si="9"/>
        <v>#N/A</v>
      </c>
      <c r="X241" s="64" t="str">
        <f t="shared" si="10"/>
        <v/>
      </c>
      <c r="Y241" s="64" t="str">
        <f t="shared" si="11"/>
        <v/>
      </c>
      <c r="Z241" s="66" t="str">
        <f t="shared" si="12"/>
        <v> </v>
      </c>
      <c r="AA241" s="71"/>
    </row>
    <row r="242" ht="15.75" customHeight="1">
      <c r="A242" s="56" t="str">
        <f t="shared" si="1"/>
        <v/>
      </c>
      <c r="B242" s="56" t="str">
        <f>IFS($C242=FALSE,"",$C242,VLOOKUP($C242,'PATIENT DATA (072721)'!A:C, 2, 0))</f>
        <v/>
      </c>
      <c r="C242" s="57"/>
      <c r="D242" s="127" t="str">
        <f>IF(COUNTIF('PATIENT DATA (072721)'!A:A, C242)=0, "X","✓")</f>
        <v>X</v>
      </c>
      <c r="E242" s="79"/>
      <c r="F242" s="80"/>
      <c r="G242" s="81" t="str">
        <f>ifs($C242="","",$C242, VLOOKUP($C242&amp;$F242, 'MARCH - VISIT DATA'!A:O,3,0))</f>
        <v/>
      </c>
      <c r="H242" s="83"/>
      <c r="I242" s="122" t="str">
        <f>VLOOKUP($C242&amp;$F242,'MARCH - VISIT DATA'!A:J, 9, FALSE)</f>
        <v>#N/A</v>
      </c>
      <c r="J242" s="85" t="str">
        <f>VLOOKUP(C242&amp;F242,'MARCH - VISIT DATA'!A:O,10,FALSE)</f>
        <v>#N/A</v>
      </c>
      <c r="K242" s="86"/>
      <c r="L242" s="86"/>
      <c r="M242" s="86"/>
      <c r="N242" s="86"/>
      <c r="O242" s="121" t="str">
        <f t="shared" si="2"/>
        <v>X</v>
      </c>
      <c r="P242" s="79" t="str">
        <f t="shared" si="3"/>
        <v>#N/A</v>
      </c>
      <c r="Q242" s="123" t="str">
        <f t="shared" si="4"/>
        <v>#N/A</v>
      </c>
      <c r="R242" s="124" t="str">
        <f t="shared" si="5"/>
        <v>#N/A</v>
      </c>
      <c r="S242" s="125" t="str">
        <f t="shared" si="6"/>
        <v>#N/A</v>
      </c>
      <c r="T242" s="125" t="str">
        <f t="shared" si="7"/>
        <v>#N/A</v>
      </c>
      <c r="U242" s="83">
        <f t="shared" si="8"/>
        <v>0</v>
      </c>
      <c r="V242" s="88" t="str">
        <f>ifs($N242="",VLOOKUP($C242&amp;$F242,'MARCH - VISIT DATA'!$A$2:$J600,7,FALSE), $N242="SWAB","OUTSA-RW",$N242="SWQU","OUTSA-SaQu", AND($L242="X",$M242="X",$N242="QUEST"),"OUT-UAQPre",$N242="QUEST","OUT-UAQ", $N242="Walk in","ColUATele")</f>
        <v>#N/A</v>
      </c>
      <c r="W242" s="70" t="str">
        <f t="shared" si="9"/>
        <v>#N/A</v>
      </c>
      <c r="X242" s="64" t="str">
        <f t="shared" si="10"/>
        <v/>
      </c>
      <c r="Y242" s="64" t="str">
        <f t="shared" si="11"/>
        <v/>
      </c>
      <c r="Z242" s="66" t="str">
        <f t="shared" si="12"/>
        <v> </v>
      </c>
      <c r="AA242" s="71"/>
    </row>
    <row r="243" ht="15.75" customHeight="1">
      <c r="A243" s="56" t="str">
        <f t="shared" si="1"/>
        <v/>
      </c>
      <c r="B243" s="56" t="str">
        <f>IFS($C243=FALSE,"",$C243,VLOOKUP($C243,'PATIENT DATA (072721)'!A:C, 2, 0))</f>
        <v/>
      </c>
      <c r="C243" s="57"/>
      <c r="D243" s="127" t="str">
        <f>IF(COUNTIF('PATIENT DATA (072721)'!A:A, C243)=0, "X","✓")</f>
        <v>X</v>
      </c>
      <c r="E243" s="79"/>
      <c r="F243" s="80"/>
      <c r="G243" s="81" t="str">
        <f>ifs($C243="","",$C243, VLOOKUP($C243&amp;$F243, 'MARCH - VISIT DATA'!A:O,3,0))</f>
        <v/>
      </c>
      <c r="H243" s="83"/>
      <c r="I243" s="122" t="str">
        <f>VLOOKUP($C243&amp;$F243,'MARCH - VISIT DATA'!A:J, 9, FALSE)</f>
        <v>#N/A</v>
      </c>
      <c r="J243" s="85" t="str">
        <f>VLOOKUP(C243&amp;F243,'MARCH - VISIT DATA'!A:O,10,FALSE)</f>
        <v>#N/A</v>
      </c>
      <c r="K243" s="86"/>
      <c r="L243" s="86"/>
      <c r="M243" s="86"/>
      <c r="N243" s="86"/>
      <c r="O243" s="121" t="str">
        <f t="shared" si="2"/>
        <v>X</v>
      </c>
      <c r="P243" s="79" t="str">
        <f t="shared" si="3"/>
        <v>#N/A</v>
      </c>
      <c r="Q243" s="123" t="str">
        <f t="shared" si="4"/>
        <v>#N/A</v>
      </c>
      <c r="R243" s="124" t="str">
        <f t="shared" si="5"/>
        <v>#N/A</v>
      </c>
      <c r="S243" s="125" t="str">
        <f t="shared" si="6"/>
        <v>#N/A</v>
      </c>
      <c r="T243" s="125" t="str">
        <f t="shared" si="7"/>
        <v>#N/A</v>
      </c>
      <c r="U243" s="83">
        <f t="shared" si="8"/>
        <v>0</v>
      </c>
      <c r="V243" s="88" t="str">
        <f>ifs($N243="",VLOOKUP($C243&amp;$F243,'MARCH - VISIT DATA'!$A$2:$J600,7,FALSE), $N243="SWAB","OUTSA-RW",$N243="SWQU","OUTSA-SaQu", AND($L243="X",$M243="X",$N243="QUEST"),"OUT-UAQPre",$N243="QUEST","OUT-UAQ", $N243="Walk in","ColUATele")</f>
        <v>#N/A</v>
      </c>
      <c r="W243" s="70" t="str">
        <f t="shared" si="9"/>
        <v>#N/A</v>
      </c>
      <c r="X243" s="64" t="str">
        <f t="shared" si="10"/>
        <v/>
      </c>
      <c r="Y243" s="64" t="str">
        <f t="shared" si="11"/>
        <v/>
      </c>
      <c r="Z243" s="66" t="str">
        <f t="shared" si="12"/>
        <v> </v>
      </c>
      <c r="AA243" s="71"/>
    </row>
    <row r="244" ht="15.75" customHeight="1">
      <c r="A244" s="56" t="str">
        <f t="shared" si="1"/>
        <v/>
      </c>
      <c r="B244" s="56" t="str">
        <f>IFS($C244=FALSE,"",$C244,VLOOKUP($C244,'PATIENT DATA (072721)'!A:C, 2, 0))</f>
        <v/>
      </c>
      <c r="C244" s="57"/>
      <c r="D244" s="127" t="str">
        <f>IF(COUNTIF('PATIENT DATA (072721)'!A:A, C244)=0, "X","✓")</f>
        <v>X</v>
      </c>
      <c r="E244" s="79"/>
      <c r="F244" s="80"/>
      <c r="G244" s="81" t="str">
        <f>ifs($C244="","",$C244, VLOOKUP($C244&amp;$F244, 'MARCH - VISIT DATA'!A:O,3,0))</f>
        <v/>
      </c>
      <c r="H244" s="83"/>
      <c r="I244" s="122" t="str">
        <f>VLOOKUP($C244&amp;$F244,'MARCH - VISIT DATA'!A:J, 9, FALSE)</f>
        <v>#N/A</v>
      </c>
      <c r="J244" s="85" t="str">
        <f>VLOOKUP(C244&amp;F244,'MARCH - VISIT DATA'!A:O,10,FALSE)</f>
        <v>#N/A</v>
      </c>
      <c r="K244" s="86"/>
      <c r="L244" s="86"/>
      <c r="M244" s="86"/>
      <c r="N244" s="86"/>
      <c r="O244" s="121" t="str">
        <f t="shared" si="2"/>
        <v>X</v>
      </c>
      <c r="P244" s="79" t="str">
        <f t="shared" si="3"/>
        <v>#N/A</v>
      </c>
      <c r="Q244" s="123" t="str">
        <f t="shared" si="4"/>
        <v>#N/A</v>
      </c>
      <c r="R244" s="124" t="str">
        <f t="shared" si="5"/>
        <v>#N/A</v>
      </c>
      <c r="S244" s="125" t="str">
        <f t="shared" si="6"/>
        <v>#N/A</v>
      </c>
      <c r="T244" s="125" t="str">
        <f t="shared" si="7"/>
        <v>#N/A</v>
      </c>
      <c r="U244" s="83">
        <f t="shared" si="8"/>
        <v>0</v>
      </c>
      <c r="V244" s="88" t="str">
        <f>ifs($N244="",VLOOKUP($C244&amp;$F244,'MARCH - VISIT DATA'!$A$2:$J600,7,FALSE), $N244="SWAB","OUTSA-RW",$N244="SWQU","OUTSA-SaQu", AND($L244="X",$M244="X",$N244="QUEST"),"OUT-UAQPre",$N244="QUEST","OUT-UAQ", $N244="Walk in","ColUATele")</f>
        <v>#N/A</v>
      </c>
      <c r="W244" s="70" t="str">
        <f t="shared" si="9"/>
        <v>#N/A</v>
      </c>
      <c r="X244" s="64" t="str">
        <f t="shared" si="10"/>
        <v/>
      </c>
      <c r="Y244" s="64" t="str">
        <f t="shared" si="11"/>
        <v/>
      </c>
      <c r="Z244" s="66" t="str">
        <f t="shared" si="12"/>
        <v> </v>
      </c>
      <c r="AA244" s="71"/>
    </row>
    <row r="245" ht="15.75" customHeight="1">
      <c r="A245" s="56" t="str">
        <f t="shared" si="1"/>
        <v/>
      </c>
      <c r="B245" s="56" t="str">
        <f>IFS($C245=FALSE,"",$C245,VLOOKUP($C245,'PATIENT DATA (072721)'!A:C, 2, 0))</f>
        <v/>
      </c>
      <c r="C245" s="57"/>
      <c r="D245" s="127" t="str">
        <f>IF(COUNTIF('PATIENT DATA (072721)'!A:A, C245)=0, "X","✓")</f>
        <v>X</v>
      </c>
      <c r="E245" s="79"/>
      <c r="F245" s="80"/>
      <c r="G245" s="81" t="str">
        <f>ifs($C245="","",$C245, VLOOKUP($C245&amp;$F245, 'MARCH - VISIT DATA'!A:O,3,0))</f>
        <v/>
      </c>
      <c r="H245" s="83"/>
      <c r="I245" s="122" t="str">
        <f>VLOOKUP($C245&amp;$F245,'MARCH - VISIT DATA'!A:J, 9, FALSE)</f>
        <v>#N/A</v>
      </c>
      <c r="J245" s="85" t="str">
        <f>VLOOKUP(C245&amp;F245,'MARCH - VISIT DATA'!A:O,10,FALSE)</f>
        <v>#N/A</v>
      </c>
      <c r="K245" s="86"/>
      <c r="L245" s="86"/>
      <c r="M245" s="86"/>
      <c r="N245" s="86"/>
      <c r="O245" s="121" t="str">
        <f t="shared" si="2"/>
        <v>X</v>
      </c>
      <c r="P245" s="79" t="str">
        <f t="shared" si="3"/>
        <v>#N/A</v>
      </c>
      <c r="Q245" s="123" t="str">
        <f t="shared" si="4"/>
        <v>#N/A</v>
      </c>
      <c r="R245" s="124" t="str">
        <f t="shared" si="5"/>
        <v>#N/A</v>
      </c>
      <c r="S245" s="125" t="str">
        <f t="shared" si="6"/>
        <v>#N/A</v>
      </c>
      <c r="T245" s="125" t="str">
        <f t="shared" si="7"/>
        <v>#N/A</v>
      </c>
      <c r="U245" s="83">
        <f t="shared" si="8"/>
        <v>0</v>
      </c>
      <c r="V245" s="88" t="str">
        <f>ifs($N245="",VLOOKUP($C245&amp;$F245,'MARCH - VISIT DATA'!$A$2:$J600,7,FALSE), $N245="SWAB","OUTSA-RW",$N245="SWQU","OUTSA-SaQu", AND($L245="X",$M245="X",$N245="QUEST"),"OUT-UAQPre",$N245="QUEST","OUT-UAQ", $N245="Walk in","ColUATele")</f>
        <v>#N/A</v>
      </c>
      <c r="W245" s="70" t="str">
        <f t="shared" si="9"/>
        <v>#N/A</v>
      </c>
      <c r="X245" s="64" t="str">
        <f t="shared" si="10"/>
        <v/>
      </c>
      <c r="Y245" s="64" t="str">
        <f t="shared" si="11"/>
        <v/>
      </c>
      <c r="Z245" s="66" t="str">
        <f t="shared" si="12"/>
        <v> </v>
      </c>
      <c r="AA245" s="71"/>
    </row>
    <row r="246" ht="15.75" customHeight="1">
      <c r="A246" s="56" t="str">
        <f t="shared" si="1"/>
        <v/>
      </c>
      <c r="B246" s="56" t="str">
        <f>IFS($C246=FALSE,"",$C246,VLOOKUP($C246,'PATIENT DATA (072721)'!A:C, 2, 0))</f>
        <v/>
      </c>
      <c r="C246" s="57"/>
      <c r="D246" s="127" t="str">
        <f>IF(COUNTIF('PATIENT DATA (072721)'!A:A, C246)=0, "X","✓")</f>
        <v>X</v>
      </c>
      <c r="E246" s="79"/>
      <c r="F246" s="80"/>
      <c r="G246" s="81" t="str">
        <f>ifs($C246="","",$C246, VLOOKUP($C246&amp;$F246, 'MARCH - VISIT DATA'!A:O,3,0))</f>
        <v/>
      </c>
      <c r="H246" s="83"/>
      <c r="I246" s="122" t="str">
        <f>VLOOKUP($C246&amp;$F246,'MARCH - VISIT DATA'!A:J, 9, FALSE)</f>
        <v>#N/A</v>
      </c>
      <c r="J246" s="85" t="str">
        <f>VLOOKUP(C246&amp;F246,'MARCH - VISIT DATA'!A:O,10,FALSE)</f>
        <v>#N/A</v>
      </c>
      <c r="K246" s="86"/>
      <c r="L246" s="86"/>
      <c r="M246" s="86"/>
      <c r="N246" s="86"/>
      <c r="O246" s="121" t="str">
        <f t="shared" si="2"/>
        <v>X</v>
      </c>
      <c r="P246" s="79" t="str">
        <f t="shared" si="3"/>
        <v>#N/A</v>
      </c>
      <c r="Q246" s="123" t="str">
        <f t="shared" si="4"/>
        <v>#N/A</v>
      </c>
      <c r="R246" s="124" t="str">
        <f t="shared" si="5"/>
        <v>#N/A</v>
      </c>
      <c r="S246" s="125" t="str">
        <f t="shared" si="6"/>
        <v>#N/A</v>
      </c>
      <c r="T246" s="125" t="str">
        <f t="shared" si="7"/>
        <v>#N/A</v>
      </c>
      <c r="U246" s="83">
        <f t="shared" si="8"/>
        <v>0</v>
      </c>
      <c r="V246" s="88" t="str">
        <f>ifs($N246="",VLOOKUP($C246&amp;$F246,'MARCH - VISIT DATA'!$A$2:$J600,7,FALSE), $N246="SWAB","OUTSA-RW",$N246="SWQU","OUTSA-SaQu", AND($L246="X",$M246="X",$N246="QUEST"),"OUT-UAQPre",$N246="QUEST","OUT-UAQ", $N246="Walk in","ColUATele")</f>
        <v>#N/A</v>
      </c>
      <c r="W246" s="70" t="str">
        <f t="shared" si="9"/>
        <v>#N/A</v>
      </c>
      <c r="X246" s="64" t="str">
        <f t="shared" si="10"/>
        <v/>
      </c>
      <c r="Y246" s="64" t="str">
        <f t="shared" si="11"/>
        <v/>
      </c>
      <c r="Z246" s="66" t="str">
        <f t="shared" si="12"/>
        <v> </v>
      </c>
      <c r="AA246" s="71"/>
    </row>
    <row r="247" ht="15.75" customHeight="1">
      <c r="A247" s="56" t="str">
        <f t="shared" si="1"/>
        <v/>
      </c>
      <c r="B247" s="56" t="str">
        <f>IFS($C247=FALSE,"",$C247,VLOOKUP($C247,'PATIENT DATA (072721)'!A:C, 2, 0))</f>
        <v/>
      </c>
      <c r="C247" s="57"/>
      <c r="D247" s="127" t="str">
        <f>IF(COUNTIF('PATIENT DATA (072721)'!A:A, C247)=0, "X","✓")</f>
        <v>X</v>
      </c>
      <c r="E247" s="79"/>
      <c r="F247" s="80"/>
      <c r="G247" s="81" t="str">
        <f>ifs($C247="","",$C247, VLOOKUP($C247&amp;$F247, 'MARCH - VISIT DATA'!A:O,3,0))</f>
        <v/>
      </c>
      <c r="H247" s="83"/>
      <c r="I247" s="122" t="str">
        <f>VLOOKUP($C247&amp;$F247,'MARCH - VISIT DATA'!A:J, 9, FALSE)</f>
        <v>#N/A</v>
      </c>
      <c r="J247" s="85" t="str">
        <f>VLOOKUP(C247&amp;F247,'MARCH - VISIT DATA'!A:O,10,FALSE)</f>
        <v>#N/A</v>
      </c>
      <c r="K247" s="86"/>
      <c r="L247" s="86"/>
      <c r="M247" s="86"/>
      <c r="N247" s="86"/>
      <c r="O247" s="121" t="str">
        <f t="shared" si="2"/>
        <v>X</v>
      </c>
      <c r="P247" s="79" t="str">
        <f t="shared" si="3"/>
        <v>#N/A</v>
      </c>
      <c r="Q247" s="123" t="str">
        <f t="shared" si="4"/>
        <v>#N/A</v>
      </c>
      <c r="R247" s="124" t="str">
        <f t="shared" si="5"/>
        <v>#N/A</v>
      </c>
      <c r="S247" s="125" t="str">
        <f t="shared" si="6"/>
        <v>#N/A</v>
      </c>
      <c r="T247" s="125" t="str">
        <f t="shared" si="7"/>
        <v>#N/A</v>
      </c>
      <c r="U247" s="83">
        <f t="shared" si="8"/>
        <v>0</v>
      </c>
      <c r="V247" s="88" t="str">
        <f>ifs($N247="",VLOOKUP($C247&amp;$F247,'MARCH - VISIT DATA'!$A$2:$J600,7,FALSE), $N247="SWAB","OUTSA-RW",$N247="SWQU","OUTSA-SaQu", AND($L247="X",$M247="X",$N247="QUEST"),"OUT-UAQPre",$N247="QUEST","OUT-UAQ", $N247="Walk in","ColUATele")</f>
        <v>#N/A</v>
      </c>
      <c r="W247" s="70" t="str">
        <f t="shared" si="9"/>
        <v>#N/A</v>
      </c>
      <c r="X247" s="64" t="str">
        <f t="shared" si="10"/>
        <v/>
      </c>
      <c r="Y247" s="64" t="str">
        <f t="shared" si="11"/>
        <v/>
      </c>
      <c r="Z247" s="66" t="str">
        <f t="shared" si="12"/>
        <v> </v>
      </c>
      <c r="AA247" s="71"/>
    </row>
    <row r="248" ht="15.75" customHeight="1">
      <c r="A248" s="56" t="str">
        <f t="shared" si="1"/>
        <v/>
      </c>
      <c r="B248" s="56" t="str">
        <f>IFS($C248=FALSE,"",$C248,VLOOKUP($C248,'PATIENT DATA (072721)'!A:C, 2, 0))</f>
        <v/>
      </c>
      <c r="C248" s="57"/>
      <c r="D248" s="127" t="str">
        <f>IF(COUNTIF('PATIENT DATA (072721)'!A:A, C248)=0, "X","✓")</f>
        <v>X</v>
      </c>
      <c r="E248" s="79"/>
      <c r="F248" s="80"/>
      <c r="G248" s="81" t="str">
        <f>ifs($C248="","",$C248, VLOOKUP($C248&amp;$F248, 'MARCH - VISIT DATA'!A:O,3,0))</f>
        <v/>
      </c>
      <c r="H248" s="83"/>
      <c r="I248" s="122" t="str">
        <f>VLOOKUP($C248&amp;$F248,'MARCH - VISIT DATA'!A:J, 9, FALSE)</f>
        <v>#N/A</v>
      </c>
      <c r="J248" s="85" t="str">
        <f>VLOOKUP(C248&amp;F248,'MARCH - VISIT DATA'!A:O,10,FALSE)</f>
        <v>#N/A</v>
      </c>
      <c r="K248" s="86"/>
      <c r="L248" s="86"/>
      <c r="M248" s="86"/>
      <c r="N248" s="86"/>
      <c r="O248" s="121" t="str">
        <f t="shared" si="2"/>
        <v>X</v>
      </c>
      <c r="P248" s="79" t="str">
        <f t="shared" si="3"/>
        <v>#N/A</v>
      </c>
      <c r="Q248" s="123" t="str">
        <f t="shared" si="4"/>
        <v>#N/A</v>
      </c>
      <c r="R248" s="124" t="str">
        <f t="shared" si="5"/>
        <v>#N/A</v>
      </c>
      <c r="S248" s="125" t="str">
        <f t="shared" si="6"/>
        <v>#N/A</v>
      </c>
      <c r="T248" s="125" t="str">
        <f t="shared" si="7"/>
        <v>#N/A</v>
      </c>
      <c r="U248" s="83">
        <f t="shared" si="8"/>
        <v>0</v>
      </c>
      <c r="V248" s="88" t="str">
        <f>ifs($N248="",VLOOKUP($C248&amp;$F248,'MARCH - VISIT DATA'!$A$2:$J600,7,FALSE), $N248="SWAB","OUTSA-RW",$N248="SWQU","OUTSA-SaQu", AND($L248="X",$M248="X",$N248="QUEST"),"OUT-UAQPre",$N248="QUEST","OUT-UAQ", $N248="Walk in","ColUATele")</f>
        <v>#N/A</v>
      </c>
      <c r="W248" s="70" t="str">
        <f t="shared" si="9"/>
        <v>#N/A</v>
      </c>
      <c r="X248" s="64" t="str">
        <f t="shared" si="10"/>
        <v/>
      </c>
      <c r="Y248" s="64" t="str">
        <f t="shared" si="11"/>
        <v/>
      </c>
      <c r="Z248" s="66" t="str">
        <f t="shared" si="12"/>
        <v> </v>
      </c>
      <c r="AA248" s="71"/>
    </row>
    <row r="249" ht="15.75" customHeight="1">
      <c r="A249" s="56" t="str">
        <f t="shared" si="1"/>
        <v/>
      </c>
      <c r="B249" s="56" t="str">
        <f>IFS($C249=FALSE,"",$C249,VLOOKUP($C249,'PATIENT DATA (072721)'!A:C, 2, 0))</f>
        <v/>
      </c>
      <c r="C249" s="57"/>
      <c r="D249" s="127" t="str">
        <f>IF(COUNTIF('PATIENT DATA (072721)'!A:A, C249)=0, "X","✓")</f>
        <v>X</v>
      </c>
      <c r="E249" s="79"/>
      <c r="F249" s="80"/>
      <c r="G249" s="81" t="str">
        <f>ifs($C249="","",$C249, VLOOKUP($C249&amp;$F249, 'MARCH - VISIT DATA'!A:O,3,0))</f>
        <v/>
      </c>
      <c r="H249" s="83"/>
      <c r="I249" s="122" t="str">
        <f>VLOOKUP($C249&amp;$F249,'MARCH - VISIT DATA'!A:J, 9, FALSE)</f>
        <v>#N/A</v>
      </c>
      <c r="J249" s="85" t="str">
        <f>VLOOKUP(C249&amp;F249,'MARCH - VISIT DATA'!A:O,10,FALSE)</f>
        <v>#N/A</v>
      </c>
      <c r="K249" s="86"/>
      <c r="L249" s="86"/>
      <c r="M249" s="86"/>
      <c r="N249" s="86"/>
      <c r="O249" s="121" t="str">
        <f t="shared" si="2"/>
        <v>X</v>
      </c>
      <c r="P249" s="79" t="str">
        <f t="shared" si="3"/>
        <v>#N/A</v>
      </c>
      <c r="Q249" s="123" t="str">
        <f t="shared" si="4"/>
        <v>#N/A</v>
      </c>
      <c r="R249" s="124" t="str">
        <f t="shared" si="5"/>
        <v>#N/A</v>
      </c>
      <c r="S249" s="125" t="str">
        <f t="shared" si="6"/>
        <v>#N/A</v>
      </c>
      <c r="T249" s="125" t="str">
        <f t="shared" si="7"/>
        <v>#N/A</v>
      </c>
      <c r="U249" s="83">
        <f t="shared" si="8"/>
        <v>0</v>
      </c>
      <c r="V249" s="88" t="str">
        <f>ifs($N249="",VLOOKUP($C249&amp;$F249,'MARCH - VISIT DATA'!$A$2:$J600,7,FALSE), $N249="SWAB","OUTSA-RW",$N249="SWQU","OUTSA-SaQu", AND($L249="X",$M249="X",$N249="QUEST"),"OUT-UAQPre",$N249="QUEST","OUT-UAQ", $N249="Walk in","ColUATele")</f>
        <v>#N/A</v>
      </c>
      <c r="W249" s="70" t="str">
        <f t="shared" si="9"/>
        <v>#N/A</v>
      </c>
      <c r="X249" s="64" t="str">
        <f t="shared" si="10"/>
        <v/>
      </c>
      <c r="Y249" s="64" t="str">
        <f t="shared" si="11"/>
        <v/>
      </c>
      <c r="Z249" s="66" t="str">
        <f t="shared" si="12"/>
        <v> </v>
      </c>
      <c r="AA249" s="71"/>
    </row>
    <row r="250" ht="15.75" customHeight="1">
      <c r="A250" s="56" t="str">
        <f t="shared" si="1"/>
        <v/>
      </c>
      <c r="B250" s="56" t="str">
        <f>IFS($C250=FALSE,"",$C250,VLOOKUP($C250,'PATIENT DATA (072721)'!A:C, 2, 0))</f>
        <v/>
      </c>
      <c r="C250" s="57"/>
      <c r="D250" s="127" t="str">
        <f>IF(COUNTIF('PATIENT DATA (072721)'!A:A, C250)=0, "X","✓")</f>
        <v>X</v>
      </c>
      <c r="E250" s="79"/>
      <c r="F250" s="80"/>
      <c r="G250" s="81" t="str">
        <f>ifs($C250="","",$C250, VLOOKUP($C250&amp;$F250, 'MARCH - VISIT DATA'!A:O,3,0))</f>
        <v/>
      </c>
      <c r="H250" s="83"/>
      <c r="I250" s="122" t="str">
        <f>VLOOKUP($C250&amp;$F250,'MARCH - VISIT DATA'!A:J, 9, FALSE)</f>
        <v>#N/A</v>
      </c>
      <c r="J250" s="85" t="str">
        <f>VLOOKUP(C250&amp;F250,'MARCH - VISIT DATA'!A:O,10,FALSE)</f>
        <v>#N/A</v>
      </c>
      <c r="K250" s="86"/>
      <c r="L250" s="86"/>
      <c r="M250" s="86"/>
      <c r="N250" s="86"/>
      <c r="O250" s="121" t="str">
        <f t="shared" si="2"/>
        <v>X</v>
      </c>
      <c r="P250" s="79" t="str">
        <f t="shared" si="3"/>
        <v>#N/A</v>
      </c>
      <c r="Q250" s="123" t="str">
        <f t="shared" si="4"/>
        <v>#N/A</v>
      </c>
      <c r="R250" s="124" t="str">
        <f t="shared" si="5"/>
        <v>#N/A</v>
      </c>
      <c r="S250" s="125" t="str">
        <f t="shared" si="6"/>
        <v>#N/A</v>
      </c>
      <c r="T250" s="125" t="str">
        <f t="shared" si="7"/>
        <v>#N/A</v>
      </c>
      <c r="U250" s="83">
        <f t="shared" si="8"/>
        <v>0</v>
      </c>
      <c r="V250" s="88" t="str">
        <f>ifs($N250="",VLOOKUP($C250&amp;$F250,'MARCH - VISIT DATA'!$A$2:$J600,7,FALSE), $N250="SWAB","OUTSA-RW",$N250="SWQU","OUTSA-SaQu", AND($L250="X",$M250="X",$N250="QUEST"),"OUT-UAQPre",$N250="QUEST","OUT-UAQ", $N250="Walk in","ColUATele")</f>
        <v>#N/A</v>
      </c>
      <c r="W250" s="70" t="str">
        <f t="shared" si="9"/>
        <v>#N/A</v>
      </c>
      <c r="X250" s="64" t="str">
        <f t="shared" si="10"/>
        <v/>
      </c>
      <c r="Y250" s="64" t="str">
        <f t="shared" si="11"/>
        <v/>
      </c>
      <c r="Z250" s="66" t="str">
        <f t="shared" si="12"/>
        <v> </v>
      </c>
      <c r="AA250" s="71"/>
    </row>
    <row r="251" ht="15.75" customHeight="1">
      <c r="A251" s="56" t="str">
        <f t="shared" si="1"/>
        <v/>
      </c>
      <c r="B251" s="56" t="str">
        <f>IFS($C251=FALSE,"",$C251,VLOOKUP($C251,'PATIENT DATA (072721)'!A:C, 2, 0))</f>
        <v/>
      </c>
      <c r="C251" s="57"/>
      <c r="D251" s="127" t="str">
        <f>IF(COUNTIF('PATIENT DATA (072721)'!A:A, C251)=0, "X","✓")</f>
        <v>X</v>
      </c>
      <c r="E251" s="79"/>
      <c r="F251" s="80"/>
      <c r="G251" s="81" t="str">
        <f>ifs($C251="","",$C251, VLOOKUP($C251&amp;$F251, 'MARCH - VISIT DATA'!A:O,3,0))</f>
        <v/>
      </c>
      <c r="H251" s="83"/>
      <c r="I251" s="122" t="str">
        <f>VLOOKUP($C251&amp;$F251,'MARCH - VISIT DATA'!A:J, 9, FALSE)</f>
        <v>#N/A</v>
      </c>
      <c r="J251" s="85" t="str">
        <f>VLOOKUP(C251&amp;F251,'MARCH - VISIT DATA'!A:O,10,FALSE)</f>
        <v>#N/A</v>
      </c>
      <c r="K251" s="86"/>
      <c r="L251" s="86"/>
      <c r="M251" s="86"/>
      <c r="N251" s="86"/>
      <c r="O251" s="121" t="str">
        <f t="shared" si="2"/>
        <v>X</v>
      </c>
      <c r="P251" s="79" t="str">
        <f t="shared" si="3"/>
        <v>#N/A</v>
      </c>
      <c r="Q251" s="123" t="str">
        <f t="shared" si="4"/>
        <v>#N/A</v>
      </c>
      <c r="R251" s="124" t="str">
        <f t="shared" si="5"/>
        <v>#N/A</v>
      </c>
      <c r="S251" s="125" t="str">
        <f t="shared" si="6"/>
        <v>#N/A</v>
      </c>
      <c r="T251" s="125" t="str">
        <f t="shared" si="7"/>
        <v>#N/A</v>
      </c>
      <c r="U251" s="83">
        <f t="shared" si="8"/>
        <v>0</v>
      </c>
      <c r="V251" s="88" t="str">
        <f>ifs($N251="",VLOOKUP($C251&amp;$F251,'MARCH - VISIT DATA'!$A$2:$J600,7,FALSE), $N251="SWAB","OUTSA-RW",$N251="SWQU","OUTSA-SaQu", AND($L251="X",$M251="X",$N251="QUEST"),"OUT-UAQPre",$N251="QUEST","OUT-UAQ", $N251="Walk in","ColUATele")</f>
        <v>#N/A</v>
      </c>
      <c r="W251" s="70" t="str">
        <f t="shared" si="9"/>
        <v>#N/A</v>
      </c>
      <c r="X251" s="64" t="str">
        <f t="shared" si="10"/>
        <v/>
      </c>
      <c r="Y251" s="64" t="str">
        <f t="shared" si="11"/>
        <v/>
      </c>
      <c r="Z251" s="66" t="str">
        <f t="shared" si="12"/>
        <v> </v>
      </c>
      <c r="AA251" s="71"/>
    </row>
    <row r="252" ht="15.75" customHeight="1">
      <c r="A252" s="56" t="str">
        <f t="shared" si="1"/>
        <v/>
      </c>
      <c r="B252" s="56" t="str">
        <f>IFS($C252=FALSE,"",$C252,VLOOKUP($C252,'PATIENT DATA (072721)'!A:C, 2, 0))</f>
        <v/>
      </c>
      <c r="C252" s="57"/>
      <c r="D252" s="127" t="str">
        <f>IF(COUNTIF('PATIENT DATA (072721)'!A:A, C252)=0, "X","✓")</f>
        <v>X</v>
      </c>
      <c r="E252" s="79"/>
      <c r="F252" s="80"/>
      <c r="G252" s="81" t="str">
        <f>ifs($C252="","",$C252, VLOOKUP($C252&amp;$F252, 'MARCH - VISIT DATA'!A:O,3,0))</f>
        <v/>
      </c>
      <c r="H252" s="83"/>
      <c r="I252" s="122" t="str">
        <f>VLOOKUP($C252&amp;$F252,'MARCH - VISIT DATA'!A:J, 9, FALSE)</f>
        <v>#N/A</v>
      </c>
      <c r="J252" s="85" t="str">
        <f>VLOOKUP(C252&amp;F252,'MARCH - VISIT DATA'!A:O,10,FALSE)</f>
        <v>#N/A</v>
      </c>
      <c r="K252" s="86"/>
      <c r="L252" s="86"/>
      <c r="M252" s="86"/>
      <c r="N252" s="86"/>
      <c r="O252" s="121" t="str">
        <f t="shared" si="2"/>
        <v>X</v>
      </c>
      <c r="P252" s="79" t="str">
        <f t="shared" si="3"/>
        <v>#N/A</v>
      </c>
      <c r="Q252" s="123" t="str">
        <f t="shared" si="4"/>
        <v>#N/A</v>
      </c>
      <c r="R252" s="124" t="str">
        <f t="shared" si="5"/>
        <v>#N/A</v>
      </c>
      <c r="S252" s="125" t="str">
        <f t="shared" si="6"/>
        <v>#N/A</v>
      </c>
      <c r="T252" s="125" t="str">
        <f t="shared" si="7"/>
        <v>#N/A</v>
      </c>
      <c r="U252" s="83">
        <f t="shared" si="8"/>
        <v>0</v>
      </c>
      <c r="V252" s="88" t="str">
        <f>ifs($N252="",VLOOKUP($C252&amp;$F252,'MARCH - VISIT DATA'!$A$2:$J600,7,FALSE), $N252="SWAB","OUTSA-RW",$N252="SWQU","OUTSA-SaQu", AND($L252="X",$M252="X",$N252="QUEST"),"OUT-UAQPre",$N252="QUEST","OUT-UAQ", $N252="Walk in","ColUATele")</f>
        <v>#N/A</v>
      </c>
      <c r="W252" s="70" t="str">
        <f t="shared" si="9"/>
        <v>#N/A</v>
      </c>
      <c r="X252" s="64" t="str">
        <f t="shared" si="10"/>
        <v/>
      </c>
      <c r="Y252" s="64" t="str">
        <f t="shared" si="11"/>
        <v/>
      </c>
      <c r="Z252" s="66" t="str">
        <f t="shared" si="12"/>
        <v> </v>
      </c>
      <c r="AA252" s="71"/>
    </row>
    <row r="253" ht="15.75" customHeight="1">
      <c r="A253" s="56" t="str">
        <f t="shared" si="1"/>
        <v/>
      </c>
      <c r="B253" s="56" t="str">
        <f>IFS($C253=FALSE,"",$C253,VLOOKUP($C253,'PATIENT DATA (072721)'!A:C, 2, 0))</f>
        <v/>
      </c>
      <c r="C253" s="57"/>
      <c r="D253" s="127" t="str">
        <f>IF(COUNTIF('PATIENT DATA (072721)'!A:A, C253)=0, "X","✓")</f>
        <v>X</v>
      </c>
      <c r="E253" s="79"/>
      <c r="F253" s="80"/>
      <c r="G253" s="81" t="str">
        <f>ifs($C253="","",$C253, VLOOKUP($C253&amp;$F253, 'MARCH - VISIT DATA'!A:O,3,0))</f>
        <v/>
      </c>
      <c r="H253" s="83"/>
      <c r="I253" s="122" t="str">
        <f>VLOOKUP($C253&amp;$F253,'MARCH - VISIT DATA'!A:J, 9, FALSE)</f>
        <v>#N/A</v>
      </c>
      <c r="J253" s="85" t="str">
        <f>VLOOKUP(C253&amp;F253,'MARCH - VISIT DATA'!A:O,10,FALSE)</f>
        <v>#N/A</v>
      </c>
      <c r="K253" s="86"/>
      <c r="L253" s="86"/>
      <c r="M253" s="86"/>
      <c r="N253" s="86"/>
      <c r="O253" s="121" t="str">
        <f t="shared" si="2"/>
        <v>X</v>
      </c>
      <c r="P253" s="79" t="str">
        <f t="shared" si="3"/>
        <v>#N/A</v>
      </c>
      <c r="Q253" s="123" t="str">
        <f t="shared" si="4"/>
        <v>#N/A</v>
      </c>
      <c r="R253" s="124" t="str">
        <f t="shared" si="5"/>
        <v>#N/A</v>
      </c>
      <c r="S253" s="125" t="str">
        <f t="shared" si="6"/>
        <v>#N/A</v>
      </c>
      <c r="T253" s="125" t="str">
        <f t="shared" si="7"/>
        <v>#N/A</v>
      </c>
      <c r="U253" s="83">
        <f t="shared" si="8"/>
        <v>0</v>
      </c>
      <c r="V253" s="88" t="str">
        <f>ifs($N253="",VLOOKUP($C253&amp;$F253,'MARCH - VISIT DATA'!$A$2:$J600,7,FALSE), $N253="SWAB","OUTSA-RW",$N253="SWQU","OUTSA-SaQu", AND($L253="X",$M253="X",$N253="QUEST"),"OUT-UAQPre",$N253="QUEST","OUT-UAQ", $N253="Walk in","ColUATele")</f>
        <v>#N/A</v>
      </c>
      <c r="W253" s="70" t="str">
        <f t="shared" si="9"/>
        <v>#N/A</v>
      </c>
      <c r="X253" s="64" t="str">
        <f t="shared" si="10"/>
        <v/>
      </c>
      <c r="Y253" s="64" t="str">
        <f t="shared" si="11"/>
        <v/>
      </c>
      <c r="Z253" s="66" t="str">
        <f t="shared" si="12"/>
        <v> </v>
      </c>
      <c r="AA253" s="71"/>
    </row>
    <row r="254" ht="15.75" customHeight="1">
      <c r="A254" s="56" t="str">
        <f t="shared" si="1"/>
        <v/>
      </c>
      <c r="B254" s="56" t="str">
        <f>IFS($C254=FALSE,"",$C254,VLOOKUP($C254,'PATIENT DATA (072721)'!A:C, 2, 0))</f>
        <v/>
      </c>
      <c r="C254" s="57"/>
      <c r="D254" s="127" t="str">
        <f>IF(COUNTIF('PATIENT DATA (072721)'!A:A, C254)=0, "X","✓")</f>
        <v>X</v>
      </c>
      <c r="E254" s="79"/>
      <c r="F254" s="80"/>
      <c r="G254" s="81" t="str">
        <f>ifs($C254="","",$C254, VLOOKUP($C254&amp;$F254, 'MARCH - VISIT DATA'!A:O,3,0))</f>
        <v/>
      </c>
      <c r="H254" s="83"/>
      <c r="I254" s="122" t="str">
        <f>VLOOKUP($C254&amp;$F254,'MARCH - VISIT DATA'!A:J, 9, FALSE)</f>
        <v>#N/A</v>
      </c>
      <c r="J254" s="85" t="str">
        <f>VLOOKUP(C254&amp;F254,'MARCH - VISIT DATA'!A:O,10,FALSE)</f>
        <v>#N/A</v>
      </c>
      <c r="K254" s="86"/>
      <c r="L254" s="86"/>
      <c r="M254" s="86"/>
      <c r="N254" s="86"/>
      <c r="O254" s="121" t="str">
        <f t="shared" si="2"/>
        <v>X</v>
      </c>
      <c r="P254" s="79" t="str">
        <f t="shared" si="3"/>
        <v>#N/A</v>
      </c>
      <c r="Q254" s="123" t="str">
        <f t="shared" si="4"/>
        <v>#N/A</v>
      </c>
      <c r="R254" s="124" t="str">
        <f t="shared" si="5"/>
        <v>#N/A</v>
      </c>
      <c r="S254" s="125" t="str">
        <f t="shared" si="6"/>
        <v>#N/A</v>
      </c>
      <c r="T254" s="125" t="str">
        <f t="shared" si="7"/>
        <v>#N/A</v>
      </c>
      <c r="U254" s="83">
        <f t="shared" si="8"/>
        <v>0</v>
      </c>
      <c r="V254" s="88" t="str">
        <f>ifs($N254="",VLOOKUP($C254&amp;$F254,'MARCH - VISIT DATA'!$A$2:$J600,7,FALSE), $N254="SWAB","OUTSA-RW",$N254="SWQU","OUTSA-SaQu", AND($L254="X",$M254="X",$N254="QUEST"),"OUT-UAQPre",$N254="QUEST","OUT-UAQ", $N254="Walk in","ColUATele")</f>
        <v>#N/A</v>
      </c>
      <c r="W254" s="70" t="str">
        <f t="shared" si="9"/>
        <v>#N/A</v>
      </c>
      <c r="X254" s="64" t="str">
        <f t="shared" si="10"/>
        <v/>
      </c>
      <c r="Y254" s="64" t="str">
        <f t="shared" si="11"/>
        <v/>
      </c>
      <c r="Z254" s="66" t="str">
        <f t="shared" si="12"/>
        <v> </v>
      </c>
      <c r="AA254" s="71"/>
    </row>
    <row r="255" ht="15.75" customHeight="1">
      <c r="A255" s="56" t="str">
        <f t="shared" si="1"/>
        <v/>
      </c>
      <c r="B255" s="56" t="str">
        <f>IFS($C255=FALSE,"",$C255,VLOOKUP($C255,'PATIENT DATA (072721)'!A:C, 2, 0))</f>
        <v/>
      </c>
      <c r="C255" s="57"/>
      <c r="D255" s="127" t="str">
        <f>IF(COUNTIF('PATIENT DATA (072721)'!A:A, C255)=0, "X","✓")</f>
        <v>X</v>
      </c>
      <c r="E255" s="79"/>
      <c r="F255" s="80"/>
      <c r="G255" s="81" t="str">
        <f>ifs($C255="","",$C255, VLOOKUP($C255&amp;$F255, 'MARCH - VISIT DATA'!A:O,3,0))</f>
        <v/>
      </c>
      <c r="H255" s="83"/>
      <c r="I255" s="122" t="str">
        <f>VLOOKUP($C255&amp;$F255,'MARCH - VISIT DATA'!A:J, 9, FALSE)</f>
        <v>#N/A</v>
      </c>
      <c r="J255" s="85" t="str">
        <f>VLOOKUP(C255&amp;F255,'MARCH - VISIT DATA'!A:O,10,FALSE)</f>
        <v>#N/A</v>
      </c>
      <c r="K255" s="86"/>
      <c r="L255" s="86"/>
      <c r="M255" s="86"/>
      <c r="N255" s="86"/>
      <c r="O255" s="121" t="str">
        <f t="shared" si="2"/>
        <v>X</v>
      </c>
      <c r="P255" s="79" t="str">
        <f t="shared" si="3"/>
        <v>#N/A</v>
      </c>
      <c r="Q255" s="123" t="str">
        <f t="shared" si="4"/>
        <v>#N/A</v>
      </c>
      <c r="R255" s="124" t="str">
        <f t="shared" si="5"/>
        <v>#N/A</v>
      </c>
      <c r="S255" s="125" t="str">
        <f t="shared" si="6"/>
        <v>#N/A</v>
      </c>
      <c r="T255" s="125" t="str">
        <f t="shared" si="7"/>
        <v>#N/A</v>
      </c>
      <c r="U255" s="83">
        <f t="shared" si="8"/>
        <v>0</v>
      </c>
      <c r="V255" s="88" t="str">
        <f>ifs($N255="",VLOOKUP($C255&amp;$F255,'MARCH - VISIT DATA'!$A$2:$J600,7,FALSE), $N255="SWAB","OUTSA-RW",$N255="SWQU","OUTSA-SaQu", AND($L255="X",$M255="X",$N255="QUEST"),"OUT-UAQPre",$N255="QUEST","OUT-UAQ", $N255="Walk in","ColUATele")</f>
        <v>#N/A</v>
      </c>
      <c r="W255" s="70" t="str">
        <f t="shared" si="9"/>
        <v>#N/A</v>
      </c>
      <c r="X255" s="64" t="str">
        <f t="shared" si="10"/>
        <v/>
      </c>
      <c r="Y255" s="64" t="str">
        <f t="shared" si="11"/>
        <v/>
      </c>
      <c r="Z255" s="66" t="str">
        <f t="shared" si="12"/>
        <v> </v>
      </c>
      <c r="AA255" s="71"/>
    </row>
    <row r="256" ht="15.75" customHeight="1">
      <c r="A256" s="56" t="str">
        <f t="shared" si="1"/>
        <v/>
      </c>
      <c r="B256" s="56" t="str">
        <f>IFS($C256=FALSE,"",$C256,VLOOKUP($C256,'PATIENT DATA (072721)'!A:C, 2, 0))</f>
        <v/>
      </c>
      <c r="C256" s="57"/>
      <c r="D256" s="127" t="str">
        <f>IF(COUNTIF('PATIENT DATA (072721)'!A:A, C256)=0, "X","✓")</f>
        <v>X</v>
      </c>
      <c r="E256" s="79"/>
      <c r="F256" s="80"/>
      <c r="G256" s="81" t="str">
        <f>ifs($C256="","",$C256, VLOOKUP($C256&amp;$F256, 'MARCH - VISIT DATA'!A:O,3,0))</f>
        <v/>
      </c>
      <c r="H256" s="83"/>
      <c r="I256" s="122" t="str">
        <f>VLOOKUP($C256&amp;$F256,'MARCH - VISIT DATA'!A:J, 9, FALSE)</f>
        <v>#N/A</v>
      </c>
      <c r="J256" s="85" t="str">
        <f>VLOOKUP(C256&amp;F256,'MARCH - VISIT DATA'!A:O,10,FALSE)</f>
        <v>#N/A</v>
      </c>
      <c r="K256" s="86"/>
      <c r="L256" s="86"/>
      <c r="M256" s="86"/>
      <c r="N256" s="86"/>
      <c r="O256" s="121" t="str">
        <f t="shared" si="2"/>
        <v>X</v>
      </c>
      <c r="P256" s="79" t="str">
        <f t="shared" si="3"/>
        <v>#N/A</v>
      </c>
      <c r="Q256" s="123" t="str">
        <f t="shared" si="4"/>
        <v>#N/A</v>
      </c>
      <c r="R256" s="124" t="str">
        <f t="shared" si="5"/>
        <v>#N/A</v>
      </c>
      <c r="S256" s="125" t="str">
        <f t="shared" si="6"/>
        <v>#N/A</v>
      </c>
      <c r="T256" s="125" t="str">
        <f t="shared" si="7"/>
        <v>#N/A</v>
      </c>
      <c r="U256" s="83">
        <f t="shared" si="8"/>
        <v>0</v>
      </c>
      <c r="V256" s="88" t="str">
        <f>ifs($N256="",VLOOKUP($C256&amp;$F256,'MARCH - VISIT DATA'!$A$2:$J600,7,FALSE), $N256="SWAB","OUTSA-RW",$N256="SWQU","OUTSA-SaQu", AND($L256="X",$M256="X",$N256="QUEST"),"OUT-UAQPre",$N256="QUEST","OUT-UAQ", $N256="Walk in","ColUATele")</f>
        <v>#N/A</v>
      </c>
      <c r="W256" s="70" t="str">
        <f t="shared" si="9"/>
        <v>#N/A</v>
      </c>
      <c r="X256" s="64" t="str">
        <f t="shared" si="10"/>
        <v/>
      </c>
      <c r="Y256" s="64" t="str">
        <f t="shared" si="11"/>
        <v/>
      </c>
      <c r="Z256" s="66" t="str">
        <f t="shared" si="12"/>
        <v> </v>
      </c>
      <c r="AA256" s="71"/>
    </row>
    <row r="257" ht="15.75" customHeight="1">
      <c r="A257" s="56" t="str">
        <f t="shared" si="1"/>
        <v/>
      </c>
      <c r="B257" s="56" t="str">
        <f>IFS($C257=FALSE,"",$C257,VLOOKUP($C257,'PATIENT DATA (072721)'!A:C, 2, 0))</f>
        <v/>
      </c>
      <c r="C257" s="57"/>
      <c r="D257" s="127" t="str">
        <f>IF(COUNTIF('PATIENT DATA (072721)'!A:A, C257)=0, "X","✓")</f>
        <v>X</v>
      </c>
      <c r="E257" s="79"/>
      <c r="F257" s="80"/>
      <c r="G257" s="81" t="str">
        <f>ifs($C257="","",$C257, VLOOKUP($C257&amp;$F257, 'MARCH - VISIT DATA'!A:O,3,0))</f>
        <v/>
      </c>
      <c r="H257" s="83"/>
      <c r="I257" s="122" t="str">
        <f>VLOOKUP($C257&amp;$F257,'MARCH - VISIT DATA'!A:J, 9, FALSE)</f>
        <v>#N/A</v>
      </c>
      <c r="J257" s="85" t="str">
        <f>VLOOKUP(C257&amp;F257,'MARCH - VISIT DATA'!A:O,10,FALSE)</f>
        <v>#N/A</v>
      </c>
      <c r="K257" s="86"/>
      <c r="L257" s="86"/>
      <c r="M257" s="86"/>
      <c r="N257" s="86"/>
      <c r="O257" s="121" t="str">
        <f t="shared" si="2"/>
        <v>X</v>
      </c>
      <c r="P257" s="79" t="str">
        <f t="shared" si="3"/>
        <v>#N/A</v>
      </c>
      <c r="Q257" s="123" t="str">
        <f t="shared" si="4"/>
        <v>#N/A</v>
      </c>
      <c r="R257" s="124" t="str">
        <f t="shared" si="5"/>
        <v>#N/A</v>
      </c>
      <c r="S257" s="125" t="str">
        <f t="shared" si="6"/>
        <v>#N/A</v>
      </c>
      <c r="T257" s="125" t="str">
        <f t="shared" si="7"/>
        <v>#N/A</v>
      </c>
      <c r="U257" s="83">
        <f t="shared" si="8"/>
        <v>0</v>
      </c>
      <c r="V257" s="88" t="str">
        <f>ifs($N257="",VLOOKUP($C257&amp;$F257,'MARCH - VISIT DATA'!$A$2:$J600,7,FALSE), $N257="SWAB","OUTSA-RW",$N257="SWQU","OUTSA-SaQu", AND($L257="X",$M257="X",$N257="QUEST"),"OUT-UAQPre",$N257="QUEST","OUT-UAQ", $N257="Walk in","ColUATele")</f>
        <v>#N/A</v>
      </c>
      <c r="W257" s="70" t="str">
        <f t="shared" si="9"/>
        <v>#N/A</v>
      </c>
      <c r="X257" s="64" t="str">
        <f t="shared" si="10"/>
        <v/>
      </c>
      <c r="Y257" s="64" t="str">
        <f t="shared" si="11"/>
        <v/>
      </c>
      <c r="Z257" s="66" t="str">
        <f t="shared" si="12"/>
        <v> </v>
      </c>
      <c r="AA257" s="71"/>
    </row>
    <row r="258" ht="15.75" customHeight="1">
      <c r="A258" s="56" t="str">
        <f t="shared" si="1"/>
        <v/>
      </c>
      <c r="B258" s="56" t="str">
        <f>IFS($C258=FALSE,"",$C258,VLOOKUP($C258,'PATIENT DATA (072721)'!A:C, 2, 0))</f>
        <v/>
      </c>
      <c r="C258" s="57"/>
      <c r="D258" s="127" t="str">
        <f>IF(COUNTIF('PATIENT DATA (072721)'!A:A, C258)=0, "X","✓")</f>
        <v>X</v>
      </c>
      <c r="E258" s="79"/>
      <c r="F258" s="80"/>
      <c r="G258" s="81" t="str">
        <f>ifs($C258="","",$C258, VLOOKUP($C258&amp;$F258, 'MARCH - VISIT DATA'!A:O,3,0))</f>
        <v/>
      </c>
      <c r="H258" s="83"/>
      <c r="I258" s="122" t="str">
        <f>VLOOKUP($C258&amp;$F258,'MARCH - VISIT DATA'!A:J, 9, FALSE)</f>
        <v>#N/A</v>
      </c>
      <c r="J258" s="85" t="str">
        <f>VLOOKUP(C258&amp;F258,'MARCH - VISIT DATA'!A:O,10,FALSE)</f>
        <v>#N/A</v>
      </c>
      <c r="K258" s="86"/>
      <c r="L258" s="86"/>
      <c r="M258" s="86"/>
      <c r="N258" s="86"/>
      <c r="O258" s="121" t="str">
        <f t="shared" si="2"/>
        <v>X</v>
      </c>
      <c r="P258" s="79" t="str">
        <f t="shared" si="3"/>
        <v>#N/A</v>
      </c>
      <c r="Q258" s="123" t="str">
        <f t="shared" si="4"/>
        <v>#N/A</v>
      </c>
      <c r="R258" s="124" t="str">
        <f t="shared" si="5"/>
        <v>#N/A</v>
      </c>
      <c r="S258" s="125" t="str">
        <f t="shared" si="6"/>
        <v>#N/A</v>
      </c>
      <c r="T258" s="125" t="str">
        <f t="shared" si="7"/>
        <v>#N/A</v>
      </c>
      <c r="U258" s="83">
        <f t="shared" si="8"/>
        <v>0</v>
      </c>
      <c r="V258" s="88" t="str">
        <f>ifs($N258="",VLOOKUP($C258&amp;$F258,'MARCH - VISIT DATA'!$A$2:$J600,7,FALSE), $N258="SWAB","OUTSA-RW",$N258="SWQU","OUTSA-SaQu", AND($L258="X",$M258="X",$N258="QUEST"),"OUT-UAQPre",$N258="QUEST","OUT-UAQ", $N258="Walk in","ColUATele")</f>
        <v>#N/A</v>
      </c>
      <c r="W258" s="70" t="str">
        <f t="shared" si="9"/>
        <v>#N/A</v>
      </c>
      <c r="X258" s="64" t="str">
        <f t="shared" si="10"/>
        <v/>
      </c>
      <c r="Y258" s="64" t="str">
        <f t="shared" si="11"/>
        <v/>
      </c>
      <c r="Z258" s="66" t="str">
        <f t="shared" si="12"/>
        <v> </v>
      </c>
      <c r="AA258" s="71"/>
    </row>
    <row r="259" ht="15.75" customHeight="1">
      <c r="A259" s="56" t="str">
        <f t="shared" si="1"/>
        <v/>
      </c>
      <c r="B259" s="56" t="str">
        <f>IFS($C259=FALSE,"",$C259,VLOOKUP($C259,'PATIENT DATA (072721)'!A:C, 2, 0))</f>
        <v/>
      </c>
      <c r="C259" s="57"/>
      <c r="D259" s="127" t="str">
        <f>IF(COUNTIF('PATIENT DATA (072721)'!A:A, C259)=0, "X","✓")</f>
        <v>X</v>
      </c>
      <c r="E259" s="79"/>
      <c r="F259" s="80"/>
      <c r="G259" s="81" t="str">
        <f>ifs($C259="","",$C259, VLOOKUP($C259&amp;$F259, 'MARCH - VISIT DATA'!A:O,3,0))</f>
        <v/>
      </c>
      <c r="H259" s="83"/>
      <c r="I259" s="122" t="str">
        <f>VLOOKUP($C259&amp;$F259,'MARCH - VISIT DATA'!A:J, 9, FALSE)</f>
        <v>#N/A</v>
      </c>
      <c r="J259" s="85" t="str">
        <f>VLOOKUP(C259&amp;F259,'MARCH - VISIT DATA'!A:O,10,FALSE)</f>
        <v>#N/A</v>
      </c>
      <c r="K259" s="86"/>
      <c r="L259" s="86"/>
      <c r="M259" s="86"/>
      <c r="N259" s="86"/>
      <c r="O259" s="121" t="str">
        <f t="shared" si="2"/>
        <v>X</v>
      </c>
      <c r="P259" s="79" t="str">
        <f t="shared" si="3"/>
        <v>#N/A</v>
      </c>
      <c r="Q259" s="123" t="str">
        <f t="shared" si="4"/>
        <v>#N/A</v>
      </c>
      <c r="R259" s="124" t="str">
        <f t="shared" si="5"/>
        <v>#N/A</v>
      </c>
      <c r="S259" s="125" t="str">
        <f t="shared" si="6"/>
        <v>#N/A</v>
      </c>
      <c r="T259" s="125" t="str">
        <f t="shared" si="7"/>
        <v>#N/A</v>
      </c>
      <c r="U259" s="83">
        <f t="shared" si="8"/>
        <v>0</v>
      </c>
      <c r="V259" s="88" t="str">
        <f>ifs($N259="",VLOOKUP($C259&amp;$F259,'MARCH - VISIT DATA'!$A$2:$J600,7,FALSE), $N259="SWAB","OUTSA-RW",$N259="SWQU","OUTSA-SaQu", AND($L259="X",$M259="X",$N259="QUEST"),"OUT-UAQPre",$N259="QUEST","OUT-UAQ", $N259="Walk in","ColUATele")</f>
        <v>#N/A</v>
      </c>
      <c r="W259" s="70" t="str">
        <f t="shared" si="9"/>
        <v>#N/A</v>
      </c>
      <c r="X259" s="64" t="str">
        <f t="shared" si="10"/>
        <v/>
      </c>
      <c r="Y259" s="64" t="str">
        <f t="shared" si="11"/>
        <v/>
      </c>
      <c r="Z259" s="66" t="str">
        <f t="shared" si="12"/>
        <v> </v>
      </c>
      <c r="AA259" s="71"/>
    </row>
    <row r="260" ht="15.75" customHeight="1">
      <c r="A260" s="56" t="str">
        <f t="shared" si="1"/>
        <v/>
      </c>
      <c r="B260" s="56" t="str">
        <f>IFS($C260=FALSE,"",$C260,VLOOKUP($C260,'PATIENT DATA (072721)'!A:C, 2, 0))</f>
        <v/>
      </c>
      <c r="C260" s="57"/>
      <c r="D260" s="127" t="str">
        <f>IF(COUNTIF('PATIENT DATA (072721)'!A:A, C260)=0, "X","✓")</f>
        <v>X</v>
      </c>
      <c r="E260" s="79"/>
      <c r="F260" s="80"/>
      <c r="G260" s="81" t="str">
        <f>ifs($C260="","",$C260, VLOOKUP($C260&amp;$F260, 'MARCH - VISIT DATA'!A:O,3,0))</f>
        <v/>
      </c>
      <c r="H260" s="83"/>
      <c r="I260" s="122" t="str">
        <f>VLOOKUP($C260&amp;$F260,'MARCH - VISIT DATA'!A:J, 9, FALSE)</f>
        <v>#N/A</v>
      </c>
      <c r="J260" s="85" t="str">
        <f>VLOOKUP(C260&amp;F260,'MARCH - VISIT DATA'!A:O,10,FALSE)</f>
        <v>#N/A</v>
      </c>
      <c r="K260" s="86"/>
      <c r="L260" s="86"/>
      <c r="M260" s="86"/>
      <c r="N260" s="86"/>
      <c r="O260" s="121" t="str">
        <f t="shared" si="2"/>
        <v>X</v>
      </c>
      <c r="P260" s="79" t="str">
        <f t="shared" si="3"/>
        <v>#N/A</v>
      </c>
      <c r="Q260" s="123" t="str">
        <f t="shared" si="4"/>
        <v>#N/A</v>
      </c>
      <c r="R260" s="124" t="str">
        <f t="shared" si="5"/>
        <v>#N/A</v>
      </c>
      <c r="S260" s="125" t="str">
        <f t="shared" si="6"/>
        <v>#N/A</v>
      </c>
      <c r="T260" s="125" t="str">
        <f t="shared" si="7"/>
        <v>#N/A</v>
      </c>
      <c r="U260" s="83">
        <f t="shared" si="8"/>
        <v>0</v>
      </c>
      <c r="V260" s="88" t="str">
        <f>ifs($N260="",VLOOKUP($C260&amp;$F260,'MARCH - VISIT DATA'!$A$2:$J600,7,FALSE), $N260="SWAB","OUTSA-RW",$N260="SWQU","OUTSA-SaQu", AND($L260="X",$M260="X",$N260="QUEST"),"OUT-UAQPre",$N260="QUEST","OUT-UAQ", $N260="Walk in","ColUATele")</f>
        <v>#N/A</v>
      </c>
      <c r="W260" s="70" t="str">
        <f t="shared" si="9"/>
        <v>#N/A</v>
      </c>
      <c r="X260" s="64" t="str">
        <f t="shared" si="10"/>
        <v/>
      </c>
      <c r="Y260" s="64" t="str">
        <f t="shared" si="11"/>
        <v/>
      </c>
      <c r="Z260" s="66" t="str">
        <f t="shared" si="12"/>
        <v> </v>
      </c>
      <c r="AA260" s="71"/>
    </row>
    <row r="261" ht="15.75" customHeight="1">
      <c r="A261" s="56" t="str">
        <f t="shared" si="1"/>
        <v/>
      </c>
      <c r="B261" s="56" t="str">
        <f>IFS($C261=FALSE,"",$C261,VLOOKUP($C261,'PATIENT DATA (072721)'!A:C, 2, 0))</f>
        <v/>
      </c>
      <c r="C261" s="57"/>
      <c r="D261" s="127" t="str">
        <f>IF(COUNTIF('PATIENT DATA (072721)'!A:A, C261)=0, "X","✓")</f>
        <v>X</v>
      </c>
      <c r="E261" s="79"/>
      <c r="F261" s="80"/>
      <c r="G261" s="81" t="str">
        <f>ifs($C261="","",$C261, VLOOKUP($C261&amp;$F261, 'MARCH - VISIT DATA'!A:O,3,0))</f>
        <v/>
      </c>
      <c r="H261" s="83"/>
      <c r="I261" s="122" t="str">
        <f>VLOOKUP($C261&amp;$F261,'MARCH - VISIT DATA'!A:J, 9, FALSE)</f>
        <v>#N/A</v>
      </c>
      <c r="J261" s="85" t="str">
        <f>VLOOKUP(C261&amp;F261,'MARCH - VISIT DATA'!A:O,10,FALSE)</f>
        <v>#N/A</v>
      </c>
      <c r="K261" s="86"/>
      <c r="L261" s="86"/>
      <c r="M261" s="86"/>
      <c r="N261" s="86"/>
      <c r="O261" s="121" t="str">
        <f t="shared" si="2"/>
        <v>X</v>
      </c>
      <c r="P261" s="79" t="str">
        <f t="shared" si="3"/>
        <v>#N/A</v>
      </c>
      <c r="Q261" s="123" t="str">
        <f t="shared" si="4"/>
        <v>#N/A</v>
      </c>
      <c r="R261" s="124" t="str">
        <f t="shared" si="5"/>
        <v>#N/A</v>
      </c>
      <c r="S261" s="125" t="str">
        <f t="shared" si="6"/>
        <v>#N/A</v>
      </c>
      <c r="T261" s="125" t="str">
        <f t="shared" si="7"/>
        <v>#N/A</v>
      </c>
      <c r="U261" s="83">
        <f t="shared" si="8"/>
        <v>0</v>
      </c>
      <c r="V261" s="88" t="str">
        <f>ifs($N261="",VLOOKUP($C261&amp;$F261,'MARCH - VISIT DATA'!$A$2:$J600,7,FALSE), $N261="SWAB","OUTSA-RW",$N261="SWQU","OUTSA-SaQu", AND($L261="X",$M261="X",$N261="QUEST"),"OUT-UAQPre",$N261="QUEST","OUT-UAQ", $N261="Walk in","ColUATele")</f>
        <v>#N/A</v>
      </c>
      <c r="W261" s="70" t="str">
        <f t="shared" si="9"/>
        <v>#N/A</v>
      </c>
      <c r="X261" s="64" t="str">
        <f t="shared" si="10"/>
        <v/>
      </c>
      <c r="Y261" s="64" t="str">
        <f t="shared" si="11"/>
        <v/>
      </c>
      <c r="Z261" s="66" t="str">
        <f t="shared" si="12"/>
        <v> </v>
      </c>
      <c r="AA261" s="71"/>
    </row>
    <row r="262" ht="15.75" customHeight="1">
      <c r="A262" s="56" t="str">
        <f t="shared" si="1"/>
        <v/>
      </c>
      <c r="B262" s="56" t="str">
        <f>IFS($C262=FALSE,"",$C262,VLOOKUP($C262,'PATIENT DATA (072721)'!A:C, 2, 0))</f>
        <v/>
      </c>
      <c r="C262" s="57"/>
      <c r="D262" s="127" t="str">
        <f>IF(COUNTIF('PATIENT DATA (072721)'!A:A, C262)=0, "X","✓")</f>
        <v>X</v>
      </c>
      <c r="E262" s="79"/>
      <c r="F262" s="80"/>
      <c r="G262" s="81" t="str">
        <f>ifs($C262="","",$C262, VLOOKUP($C262&amp;$F262, 'MARCH - VISIT DATA'!A:O,3,0))</f>
        <v/>
      </c>
      <c r="H262" s="83"/>
      <c r="I262" s="122" t="str">
        <f>VLOOKUP($C262&amp;$F262,'MARCH - VISIT DATA'!A:J, 9, FALSE)</f>
        <v>#N/A</v>
      </c>
      <c r="J262" s="85" t="str">
        <f>VLOOKUP(C262&amp;F262,'MARCH - VISIT DATA'!A:O,10,FALSE)</f>
        <v>#N/A</v>
      </c>
      <c r="K262" s="86"/>
      <c r="L262" s="86"/>
      <c r="M262" s="86"/>
      <c r="N262" s="86"/>
      <c r="O262" s="121" t="str">
        <f t="shared" si="2"/>
        <v>X</v>
      </c>
      <c r="P262" s="79" t="str">
        <f t="shared" si="3"/>
        <v>#N/A</v>
      </c>
      <c r="Q262" s="123" t="str">
        <f t="shared" si="4"/>
        <v>#N/A</v>
      </c>
      <c r="R262" s="124" t="str">
        <f t="shared" si="5"/>
        <v>#N/A</v>
      </c>
      <c r="S262" s="125" t="str">
        <f t="shared" si="6"/>
        <v>#N/A</v>
      </c>
      <c r="T262" s="125" t="str">
        <f t="shared" si="7"/>
        <v>#N/A</v>
      </c>
      <c r="U262" s="83">
        <f t="shared" si="8"/>
        <v>0</v>
      </c>
      <c r="V262" s="88" t="str">
        <f>ifs($N262="",VLOOKUP($C262&amp;$F262,'MARCH - VISIT DATA'!$A$2:$J600,7,FALSE), $N262="SWAB","OUTSA-RW",$N262="SWQU","OUTSA-SaQu", AND($L262="X",$M262="X",$N262="QUEST"),"OUT-UAQPre",$N262="QUEST","OUT-UAQ", $N262="Walk in","ColUATele")</f>
        <v>#N/A</v>
      </c>
      <c r="W262" s="70" t="str">
        <f t="shared" si="9"/>
        <v>#N/A</v>
      </c>
      <c r="X262" s="64" t="str">
        <f t="shared" si="10"/>
        <v/>
      </c>
      <c r="Y262" s="64" t="str">
        <f t="shared" si="11"/>
        <v/>
      </c>
      <c r="Z262" s="66" t="str">
        <f t="shared" si="12"/>
        <v> </v>
      </c>
      <c r="AA262" s="71"/>
    </row>
    <row r="263" ht="15.75" customHeight="1">
      <c r="A263" s="56" t="str">
        <f t="shared" si="1"/>
        <v/>
      </c>
      <c r="B263" s="56" t="str">
        <f>IFS($C263=FALSE,"",$C263,VLOOKUP($C263,'PATIENT DATA (072721)'!A:C, 2, 0))</f>
        <v/>
      </c>
      <c r="C263" s="57"/>
      <c r="D263" s="127" t="str">
        <f>IF(COUNTIF('PATIENT DATA (072721)'!A:A, C263)=0, "X","✓")</f>
        <v>X</v>
      </c>
      <c r="E263" s="79"/>
      <c r="F263" s="80"/>
      <c r="G263" s="81" t="str">
        <f>ifs($C263="","",$C263, VLOOKUP($C263&amp;$F263, 'MARCH - VISIT DATA'!A:O,3,0))</f>
        <v/>
      </c>
      <c r="H263" s="83"/>
      <c r="I263" s="122" t="str">
        <f>VLOOKUP($C263&amp;$F263,'MARCH - VISIT DATA'!A:J, 9, FALSE)</f>
        <v>#N/A</v>
      </c>
      <c r="J263" s="85" t="str">
        <f>VLOOKUP(C263&amp;F263,'MARCH - VISIT DATA'!A:O,10,FALSE)</f>
        <v>#N/A</v>
      </c>
      <c r="K263" s="86"/>
      <c r="L263" s="86"/>
      <c r="M263" s="86"/>
      <c r="N263" s="86"/>
      <c r="O263" s="121" t="str">
        <f t="shared" si="2"/>
        <v>X</v>
      </c>
      <c r="P263" s="79" t="str">
        <f t="shared" si="3"/>
        <v>#N/A</v>
      </c>
      <c r="Q263" s="123" t="str">
        <f t="shared" si="4"/>
        <v>#N/A</v>
      </c>
      <c r="R263" s="124" t="str">
        <f t="shared" si="5"/>
        <v>#N/A</v>
      </c>
      <c r="S263" s="125" t="str">
        <f t="shared" si="6"/>
        <v>#N/A</v>
      </c>
      <c r="T263" s="125" t="str">
        <f t="shared" si="7"/>
        <v>#N/A</v>
      </c>
      <c r="U263" s="83">
        <f t="shared" si="8"/>
        <v>0</v>
      </c>
      <c r="V263" s="88" t="str">
        <f>ifs($N263="",VLOOKUP($C263&amp;$F263,'MARCH - VISIT DATA'!$A$2:$J600,7,FALSE), $N263="SWAB","OUTSA-RW",$N263="SWQU","OUTSA-SaQu", AND($L263="X",$M263="X",$N263="QUEST"),"OUT-UAQPre",$N263="QUEST","OUT-UAQ", $N263="Walk in","ColUATele")</f>
        <v>#N/A</v>
      </c>
      <c r="W263" s="70" t="str">
        <f t="shared" si="9"/>
        <v>#N/A</v>
      </c>
      <c r="X263" s="64" t="str">
        <f t="shared" si="10"/>
        <v/>
      </c>
      <c r="Y263" s="64" t="str">
        <f t="shared" si="11"/>
        <v/>
      </c>
      <c r="Z263" s="66" t="str">
        <f t="shared" si="12"/>
        <v> </v>
      </c>
      <c r="AA263" s="71"/>
    </row>
    <row r="264" ht="15.75" customHeight="1">
      <c r="A264" s="56" t="str">
        <f t="shared" si="1"/>
        <v/>
      </c>
      <c r="B264" s="56" t="str">
        <f>IFS($C264=FALSE,"",$C264,VLOOKUP($C264,'PATIENT DATA (072721)'!A:C, 2, 0))</f>
        <v/>
      </c>
      <c r="C264" s="57"/>
      <c r="D264" s="127" t="str">
        <f>IF(COUNTIF('PATIENT DATA (072721)'!A:A, C264)=0, "X","✓")</f>
        <v>X</v>
      </c>
      <c r="E264" s="79"/>
      <c r="F264" s="80"/>
      <c r="G264" s="81" t="str">
        <f>ifs($C264="","",$C264, VLOOKUP($C264&amp;$F264, 'MARCH - VISIT DATA'!A:O,3,0))</f>
        <v/>
      </c>
      <c r="H264" s="83"/>
      <c r="I264" s="122" t="str">
        <f>VLOOKUP($C264&amp;$F264,'MARCH - VISIT DATA'!A:J, 9, FALSE)</f>
        <v>#N/A</v>
      </c>
      <c r="J264" s="85" t="str">
        <f>VLOOKUP(C264&amp;F264,'MARCH - VISIT DATA'!A:O,10,FALSE)</f>
        <v>#N/A</v>
      </c>
      <c r="K264" s="86"/>
      <c r="L264" s="86"/>
      <c r="M264" s="86"/>
      <c r="N264" s="86"/>
      <c r="O264" s="121" t="str">
        <f t="shared" si="2"/>
        <v>X</v>
      </c>
      <c r="P264" s="79" t="str">
        <f t="shared" si="3"/>
        <v>#N/A</v>
      </c>
      <c r="Q264" s="123" t="str">
        <f t="shared" si="4"/>
        <v>#N/A</v>
      </c>
      <c r="R264" s="124" t="str">
        <f t="shared" si="5"/>
        <v>#N/A</v>
      </c>
      <c r="S264" s="125" t="str">
        <f t="shared" si="6"/>
        <v>#N/A</v>
      </c>
      <c r="T264" s="125" t="str">
        <f t="shared" si="7"/>
        <v>#N/A</v>
      </c>
      <c r="U264" s="83">
        <f t="shared" si="8"/>
        <v>0</v>
      </c>
      <c r="V264" s="88" t="str">
        <f>ifs($N264="",VLOOKUP($C264&amp;$F264,'MARCH - VISIT DATA'!$A$2:$J600,7,FALSE), $N264="SWAB","OUTSA-RW",$N264="SWQU","OUTSA-SaQu", AND($L264="X",$M264="X",$N264="QUEST"),"OUT-UAQPre",$N264="QUEST","OUT-UAQ", $N264="Walk in","ColUATele")</f>
        <v>#N/A</v>
      </c>
      <c r="W264" s="70" t="str">
        <f t="shared" si="9"/>
        <v>#N/A</v>
      </c>
      <c r="X264" s="64" t="str">
        <f t="shared" si="10"/>
        <v/>
      </c>
      <c r="Y264" s="64" t="str">
        <f t="shared" si="11"/>
        <v/>
      </c>
      <c r="Z264" s="66" t="str">
        <f t="shared" si="12"/>
        <v> </v>
      </c>
      <c r="AA264" s="71"/>
    </row>
    <row r="265" ht="15.75" customHeight="1">
      <c r="A265" s="56" t="str">
        <f t="shared" si="1"/>
        <v/>
      </c>
      <c r="B265" s="56" t="str">
        <f>IFS($C265=FALSE,"",$C265,VLOOKUP($C265,'PATIENT DATA (072721)'!A:C, 2, 0))</f>
        <v/>
      </c>
      <c r="C265" s="57"/>
      <c r="D265" s="127" t="str">
        <f>IF(COUNTIF('PATIENT DATA (072721)'!A:A, C265)=0, "X","✓")</f>
        <v>X</v>
      </c>
      <c r="E265" s="79"/>
      <c r="F265" s="80"/>
      <c r="G265" s="81" t="str">
        <f>ifs($C265="","",$C265, VLOOKUP($C265&amp;$F265, 'MARCH - VISIT DATA'!A:O,3,0))</f>
        <v/>
      </c>
      <c r="H265" s="83"/>
      <c r="I265" s="122" t="str">
        <f>VLOOKUP($C265&amp;$F265,'MARCH - VISIT DATA'!A:J, 9, FALSE)</f>
        <v>#N/A</v>
      </c>
      <c r="J265" s="85" t="str">
        <f>VLOOKUP(C265&amp;F265,'MARCH - VISIT DATA'!A:O,10,FALSE)</f>
        <v>#N/A</v>
      </c>
      <c r="K265" s="86"/>
      <c r="L265" s="86"/>
      <c r="M265" s="86"/>
      <c r="N265" s="86"/>
      <c r="O265" s="121" t="str">
        <f t="shared" si="2"/>
        <v>X</v>
      </c>
      <c r="P265" s="79" t="str">
        <f t="shared" si="3"/>
        <v>#N/A</v>
      </c>
      <c r="Q265" s="123" t="str">
        <f t="shared" si="4"/>
        <v>#N/A</v>
      </c>
      <c r="R265" s="124" t="str">
        <f t="shared" si="5"/>
        <v>#N/A</v>
      </c>
      <c r="S265" s="125" t="str">
        <f t="shared" si="6"/>
        <v>#N/A</v>
      </c>
      <c r="T265" s="125" t="str">
        <f t="shared" si="7"/>
        <v>#N/A</v>
      </c>
      <c r="U265" s="83">
        <f t="shared" si="8"/>
        <v>0</v>
      </c>
      <c r="V265" s="88" t="str">
        <f>ifs($N265="",VLOOKUP($C265&amp;$F265,'MARCH - VISIT DATA'!$A$2:$J600,7,FALSE), $N265="SWAB","OUTSA-RW",$N265="SWQU","OUTSA-SaQu", AND($L265="X",$M265="X",$N265="QUEST"),"OUT-UAQPre",$N265="QUEST","OUT-UAQ", $N265="Walk in","ColUATele")</f>
        <v>#N/A</v>
      </c>
      <c r="W265" s="70" t="str">
        <f t="shared" si="9"/>
        <v>#N/A</v>
      </c>
      <c r="X265" s="64" t="str">
        <f t="shared" si="10"/>
        <v/>
      </c>
      <c r="Y265" s="64" t="str">
        <f t="shared" si="11"/>
        <v/>
      </c>
      <c r="Z265" s="66" t="str">
        <f t="shared" si="12"/>
        <v> </v>
      </c>
      <c r="AA265" s="71"/>
    </row>
    <row r="266" ht="15.75" customHeight="1">
      <c r="A266" s="56" t="str">
        <f t="shared" si="1"/>
        <v/>
      </c>
      <c r="B266" s="56" t="str">
        <f>IFS($C266=FALSE,"",$C266,VLOOKUP($C266,'PATIENT DATA (072721)'!A:C, 2, 0))</f>
        <v/>
      </c>
      <c r="C266" s="57"/>
      <c r="D266" s="127" t="str">
        <f>IF(COUNTIF('PATIENT DATA (072721)'!A:A, C266)=0, "X","✓")</f>
        <v>X</v>
      </c>
      <c r="E266" s="79"/>
      <c r="F266" s="80"/>
      <c r="G266" s="81" t="str">
        <f>ifs($C266="","",$C266, VLOOKUP($C266&amp;$F266, 'MARCH - VISIT DATA'!A:O,3,0))</f>
        <v/>
      </c>
      <c r="H266" s="83"/>
      <c r="I266" s="122" t="str">
        <f>VLOOKUP($C266&amp;$F266,'MARCH - VISIT DATA'!A:J, 9, FALSE)</f>
        <v>#N/A</v>
      </c>
      <c r="J266" s="85" t="str">
        <f>VLOOKUP(C266&amp;F266,'MARCH - VISIT DATA'!A:O,10,FALSE)</f>
        <v>#N/A</v>
      </c>
      <c r="K266" s="86"/>
      <c r="L266" s="86"/>
      <c r="M266" s="86"/>
      <c r="N266" s="86"/>
      <c r="O266" s="121" t="str">
        <f t="shared" si="2"/>
        <v>X</v>
      </c>
      <c r="P266" s="79" t="str">
        <f t="shared" si="3"/>
        <v>#N/A</v>
      </c>
      <c r="Q266" s="123" t="str">
        <f t="shared" si="4"/>
        <v>#N/A</v>
      </c>
      <c r="R266" s="124" t="str">
        <f t="shared" si="5"/>
        <v>#N/A</v>
      </c>
      <c r="S266" s="125" t="str">
        <f t="shared" si="6"/>
        <v>#N/A</v>
      </c>
      <c r="T266" s="125" t="str">
        <f t="shared" si="7"/>
        <v>#N/A</v>
      </c>
      <c r="U266" s="83">
        <f t="shared" si="8"/>
        <v>0</v>
      </c>
      <c r="V266" s="88" t="str">
        <f>ifs($N266="",VLOOKUP($C266&amp;$F266,'MARCH - VISIT DATA'!$A$2:$J600,7,FALSE), $N266="SWAB","OUTSA-RW",$N266="SWQU","OUTSA-SaQu", AND($L266="X",$M266="X",$N266="QUEST"),"OUT-UAQPre",$N266="QUEST","OUT-UAQ", $N266="Walk in","ColUATele")</f>
        <v>#N/A</v>
      </c>
      <c r="W266" s="70" t="str">
        <f t="shared" si="9"/>
        <v>#N/A</v>
      </c>
      <c r="X266" s="64" t="str">
        <f t="shared" si="10"/>
        <v/>
      </c>
      <c r="Y266" s="64" t="str">
        <f t="shared" si="11"/>
        <v/>
      </c>
      <c r="Z266" s="66" t="str">
        <f t="shared" si="12"/>
        <v> </v>
      </c>
      <c r="AA266" s="71"/>
    </row>
    <row r="267" ht="15.75" customHeight="1">
      <c r="A267" s="56" t="str">
        <f t="shared" si="1"/>
        <v/>
      </c>
      <c r="B267" s="56" t="str">
        <f>IFS($C267=FALSE,"",$C267,VLOOKUP($C267,'PATIENT DATA (072721)'!A:C, 2, 0))</f>
        <v/>
      </c>
      <c r="C267" s="57"/>
      <c r="D267" s="127" t="str">
        <f>IF(COUNTIF('PATIENT DATA (072721)'!A:A, C267)=0, "X","✓")</f>
        <v>X</v>
      </c>
      <c r="E267" s="79"/>
      <c r="F267" s="80"/>
      <c r="G267" s="81" t="str">
        <f>ifs($C267="","",$C267, VLOOKUP($C267&amp;$F267, 'MARCH - VISIT DATA'!A:O,3,0))</f>
        <v/>
      </c>
      <c r="H267" s="83"/>
      <c r="I267" s="122" t="str">
        <f>VLOOKUP($C267&amp;$F267,'MARCH - VISIT DATA'!A:J, 9, FALSE)</f>
        <v>#N/A</v>
      </c>
      <c r="J267" s="85" t="str">
        <f>VLOOKUP(C267&amp;F267,'MARCH - VISIT DATA'!A:O,10,FALSE)</f>
        <v>#N/A</v>
      </c>
      <c r="K267" s="86"/>
      <c r="L267" s="86"/>
      <c r="M267" s="86"/>
      <c r="N267" s="86"/>
      <c r="O267" s="121" t="str">
        <f t="shared" si="2"/>
        <v>X</v>
      </c>
      <c r="P267" s="79" t="str">
        <f t="shared" si="3"/>
        <v>#N/A</v>
      </c>
      <c r="Q267" s="123" t="str">
        <f t="shared" si="4"/>
        <v>#N/A</v>
      </c>
      <c r="R267" s="124" t="str">
        <f t="shared" si="5"/>
        <v>#N/A</v>
      </c>
      <c r="S267" s="125" t="str">
        <f t="shared" si="6"/>
        <v>#N/A</v>
      </c>
      <c r="T267" s="125" t="str">
        <f t="shared" si="7"/>
        <v>#N/A</v>
      </c>
      <c r="U267" s="83">
        <f t="shared" si="8"/>
        <v>0</v>
      </c>
      <c r="V267" s="88" t="str">
        <f>ifs($N267="",VLOOKUP($C267&amp;$F267,'MARCH - VISIT DATA'!$A$2:$J600,7,FALSE), $N267="SWAB","OUTSA-RW",$N267="SWQU","OUTSA-SaQu", AND($L267="X",$M267="X",$N267="QUEST"),"OUT-UAQPre",$N267="QUEST","OUT-UAQ", $N267="Walk in","ColUATele")</f>
        <v>#N/A</v>
      </c>
      <c r="W267" s="70" t="str">
        <f t="shared" si="9"/>
        <v>#N/A</v>
      </c>
      <c r="X267" s="64" t="str">
        <f t="shared" si="10"/>
        <v/>
      </c>
      <c r="Y267" s="64" t="str">
        <f t="shared" si="11"/>
        <v/>
      </c>
      <c r="Z267" s="66" t="str">
        <f t="shared" si="12"/>
        <v> </v>
      </c>
      <c r="AA267" s="71"/>
    </row>
    <row r="268" ht="15.75" customHeight="1">
      <c r="A268" s="56" t="str">
        <f t="shared" si="1"/>
        <v/>
      </c>
      <c r="B268" s="56" t="str">
        <f>IFS($C268=FALSE,"",$C268,VLOOKUP($C268,'PATIENT DATA (072721)'!A:C, 2, 0))</f>
        <v/>
      </c>
      <c r="C268" s="57"/>
      <c r="D268" s="127" t="str">
        <f>IF(COUNTIF('PATIENT DATA (072721)'!A:A, C268)=0, "X","✓")</f>
        <v>X</v>
      </c>
      <c r="E268" s="79"/>
      <c r="F268" s="80"/>
      <c r="G268" s="81" t="str">
        <f>ifs($C268="","",$C268, VLOOKUP($C268&amp;$F268, 'MARCH - VISIT DATA'!A:O,3,0))</f>
        <v/>
      </c>
      <c r="H268" s="83"/>
      <c r="I268" s="122" t="str">
        <f>VLOOKUP($C268&amp;$F268,'MARCH - VISIT DATA'!A:J, 9, FALSE)</f>
        <v>#N/A</v>
      </c>
      <c r="J268" s="85" t="str">
        <f>VLOOKUP(C268&amp;F268,'MARCH - VISIT DATA'!A:O,10,FALSE)</f>
        <v>#N/A</v>
      </c>
      <c r="K268" s="86"/>
      <c r="L268" s="86"/>
      <c r="M268" s="86"/>
      <c r="N268" s="86"/>
      <c r="O268" s="121" t="str">
        <f t="shared" si="2"/>
        <v>X</v>
      </c>
      <c r="P268" s="79" t="str">
        <f t="shared" si="3"/>
        <v>#N/A</v>
      </c>
      <c r="Q268" s="123" t="str">
        <f t="shared" si="4"/>
        <v>#N/A</v>
      </c>
      <c r="R268" s="124" t="str">
        <f t="shared" si="5"/>
        <v>#N/A</v>
      </c>
      <c r="S268" s="125" t="str">
        <f t="shared" si="6"/>
        <v>#N/A</v>
      </c>
      <c r="T268" s="125" t="str">
        <f t="shared" si="7"/>
        <v>#N/A</v>
      </c>
      <c r="U268" s="83">
        <f t="shared" si="8"/>
        <v>0</v>
      </c>
      <c r="V268" s="88" t="str">
        <f>ifs($N268="",VLOOKUP($C268&amp;$F268,'MARCH - VISIT DATA'!$A$2:$J600,7,FALSE), $N268="SWAB","OUTSA-RW",$N268="SWQU","OUTSA-SaQu", AND($L268="X",$M268="X",$N268="QUEST"),"OUT-UAQPre",$N268="QUEST","OUT-UAQ", $N268="Walk in","ColUATele")</f>
        <v>#N/A</v>
      </c>
      <c r="W268" s="70" t="str">
        <f t="shared" si="9"/>
        <v>#N/A</v>
      </c>
      <c r="X268" s="64" t="str">
        <f t="shared" si="10"/>
        <v/>
      </c>
      <c r="Y268" s="64" t="str">
        <f t="shared" si="11"/>
        <v/>
      </c>
      <c r="Z268" s="66" t="str">
        <f t="shared" si="12"/>
        <v> </v>
      </c>
      <c r="AA268" s="71"/>
    </row>
    <row r="269" ht="15.75" customHeight="1">
      <c r="A269" s="56" t="str">
        <f t="shared" si="1"/>
        <v/>
      </c>
      <c r="B269" s="56" t="str">
        <f>IFS($C269=FALSE,"",$C269,VLOOKUP($C269,'PATIENT DATA (072721)'!A:C, 2, 0))</f>
        <v/>
      </c>
      <c r="C269" s="57"/>
      <c r="D269" s="127" t="str">
        <f>IF(COUNTIF('PATIENT DATA (072721)'!A:A, C269)=0, "X","✓")</f>
        <v>X</v>
      </c>
      <c r="E269" s="79"/>
      <c r="F269" s="80"/>
      <c r="G269" s="81" t="str">
        <f>ifs($C269="","",$C269, VLOOKUP($C269&amp;$F269, 'MARCH - VISIT DATA'!A:O,3,0))</f>
        <v/>
      </c>
      <c r="H269" s="83"/>
      <c r="I269" s="122" t="str">
        <f>VLOOKUP($C269&amp;$F269,'MARCH - VISIT DATA'!A:J, 9, FALSE)</f>
        <v>#N/A</v>
      </c>
      <c r="J269" s="85" t="str">
        <f>VLOOKUP(C269&amp;F269,'MARCH - VISIT DATA'!A:O,10,FALSE)</f>
        <v>#N/A</v>
      </c>
      <c r="K269" s="86"/>
      <c r="L269" s="86"/>
      <c r="M269" s="86"/>
      <c r="N269" s="86"/>
      <c r="O269" s="121" t="str">
        <f t="shared" si="2"/>
        <v>X</v>
      </c>
      <c r="P269" s="79" t="str">
        <f t="shared" si="3"/>
        <v>#N/A</v>
      </c>
      <c r="Q269" s="123" t="str">
        <f t="shared" si="4"/>
        <v>#N/A</v>
      </c>
      <c r="R269" s="124" t="str">
        <f t="shared" si="5"/>
        <v>#N/A</v>
      </c>
      <c r="S269" s="125" t="str">
        <f t="shared" si="6"/>
        <v>#N/A</v>
      </c>
      <c r="T269" s="125" t="str">
        <f t="shared" si="7"/>
        <v>#N/A</v>
      </c>
      <c r="U269" s="83">
        <f t="shared" si="8"/>
        <v>0</v>
      </c>
      <c r="V269" s="88" t="str">
        <f>ifs($N269="",VLOOKUP($C269&amp;$F269,'MARCH - VISIT DATA'!$A$2:$J600,7,FALSE), $N269="SWAB","OUTSA-RW",$N269="SWQU","OUTSA-SaQu", AND($L269="X",$M269="X",$N269="QUEST"),"OUT-UAQPre",$N269="QUEST","OUT-UAQ", $N269="Walk in","ColUATele")</f>
        <v>#N/A</v>
      </c>
      <c r="W269" s="70" t="str">
        <f t="shared" si="9"/>
        <v>#N/A</v>
      </c>
      <c r="X269" s="64" t="str">
        <f t="shared" si="10"/>
        <v/>
      </c>
      <c r="Y269" s="64" t="str">
        <f t="shared" si="11"/>
        <v/>
      </c>
      <c r="Z269" s="66" t="str">
        <f t="shared" si="12"/>
        <v> </v>
      </c>
      <c r="AA269" s="71"/>
    </row>
    <row r="270" ht="15.75" customHeight="1">
      <c r="A270" s="56" t="str">
        <f t="shared" si="1"/>
        <v/>
      </c>
      <c r="B270" s="56" t="str">
        <f>IFS($C270=FALSE,"",$C270,VLOOKUP($C270,'PATIENT DATA (072721)'!A:C, 2, 0))</f>
        <v/>
      </c>
      <c r="C270" s="57"/>
      <c r="D270" s="127" t="str">
        <f>IF(COUNTIF('PATIENT DATA (072721)'!A:A, C270)=0, "X","✓")</f>
        <v>X</v>
      </c>
      <c r="E270" s="79"/>
      <c r="F270" s="80"/>
      <c r="G270" s="81" t="str">
        <f>ifs($C270="","",$C270, VLOOKUP($C270&amp;$F270, 'MARCH - VISIT DATA'!A:O,3,0))</f>
        <v/>
      </c>
      <c r="H270" s="83"/>
      <c r="I270" s="122" t="str">
        <f>VLOOKUP($C270&amp;$F270,'MARCH - VISIT DATA'!A:J, 9, FALSE)</f>
        <v>#N/A</v>
      </c>
      <c r="J270" s="85" t="str">
        <f>VLOOKUP(C270&amp;F270,'MARCH - VISIT DATA'!A:O,10,FALSE)</f>
        <v>#N/A</v>
      </c>
      <c r="K270" s="86"/>
      <c r="L270" s="86"/>
      <c r="M270" s="86"/>
      <c r="N270" s="86"/>
      <c r="O270" s="121" t="str">
        <f t="shared" si="2"/>
        <v>X</v>
      </c>
      <c r="P270" s="79" t="str">
        <f t="shared" si="3"/>
        <v>#N/A</v>
      </c>
      <c r="Q270" s="123" t="str">
        <f t="shared" si="4"/>
        <v>#N/A</v>
      </c>
      <c r="R270" s="124" t="str">
        <f t="shared" si="5"/>
        <v>#N/A</v>
      </c>
      <c r="S270" s="125" t="str">
        <f t="shared" si="6"/>
        <v>#N/A</v>
      </c>
      <c r="T270" s="125" t="str">
        <f t="shared" si="7"/>
        <v>#N/A</v>
      </c>
      <c r="U270" s="83">
        <f t="shared" si="8"/>
        <v>0</v>
      </c>
      <c r="V270" s="88" t="str">
        <f>ifs($N270="",VLOOKUP($C270&amp;$F270,'MARCH - VISIT DATA'!$A$2:$J600,7,FALSE), $N270="SWAB","OUTSA-RW",$N270="SWQU","OUTSA-SaQu", AND($L270="X",$M270="X",$N270="QUEST"),"OUT-UAQPre",$N270="QUEST","OUT-UAQ", $N270="Walk in","ColUATele")</f>
        <v>#N/A</v>
      </c>
      <c r="W270" s="70" t="str">
        <f t="shared" si="9"/>
        <v>#N/A</v>
      </c>
      <c r="X270" s="64" t="str">
        <f t="shared" si="10"/>
        <v/>
      </c>
      <c r="Y270" s="64" t="str">
        <f t="shared" si="11"/>
        <v/>
      </c>
      <c r="Z270" s="66" t="str">
        <f t="shared" si="12"/>
        <v> </v>
      </c>
      <c r="AA270" s="71"/>
    </row>
    <row r="271" ht="15.75" customHeight="1">
      <c r="A271" s="56" t="str">
        <f t="shared" si="1"/>
        <v/>
      </c>
      <c r="B271" s="56" t="str">
        <f>IFS($C271=FALSE,"",$C271,VLOOKUP($C271,'PATIENT DATA (072721)'!A:C, 2, 0))</f>
        <v/>
      </c>
      <c r="C271" s="57"/>
      <c r="D271" s="127" t="str">
        <f>IF(COUNTIF('PATIENT DATA (072721)'!A:A, C271)=0, "X","✓")</f>
        <v>X</v>
      </c>
      <c r="E271" s="79"/>
      <c r="F271" s="80"/>
      <c r="G271" s="81" t="str">
        <f>ifs($C271="","",$C271, VLOOKUP($C271&amp;$F271, 'MARCH - VISIT DATA'!A:O,3,0))</f>
        <v/>
      </c>
      <c r="H271" s="83"/>
      <c r="I271" s="122" t="str">
        <f>VLOOKUP($C271&amp;$F271,'MARCH - VISIT DATA'!A:J, 9, FALSE)</f>
        <v>#N/A</v>
      </c>
      <c r="J271" s="85" t="str">
        <f>VLOOKUP(C271&amp;F271,'MARCH - VISIT DATA'!A:O,10,FALSE)</f>
        <v>#N/A</v>
      </c>
      <c r="K271" s="86"/>
      <c r="L271" s="86"/>
      <c r="M271" s="86"/>
      <c r="N271" s="86"/>
      <c r="O271" s="121" t="str">
        <f t="shared" si="2"/>
        <v>X</v>
      </c>
      <c r="P271" s="79" t="str">
        <f t="shared" si="3"/>
        <v>#N/A</v>
      </c>
      <c r="Q271" s="123" t="str">
        <f t="shared" si="4"/>
        <v>#N/A</v>
      </c>
      <c r="R271" s="124" t="str">
        <f t="shared" si="5"/>
        <v>#N/A</v>
      </c>
      <c r="S271" s="125" t="str">
        <f t="shared" si="6"/>
        <v>#N/A</v>
      </c>
      <c r="T271" s="125" t="str">
        <f t="shared" si="7"/>
        <v>#N/A</v>
      </c>
      <c r="U271" s="83">
        <f t="shared" si="8"/>
        <v>0</v>
      </c>
      <c r="V271" s="88" t="str">
        <f>ifs($N271="",VLOOKUP($C271&amp;$F271,'MARCH - VISIT DATA'!$A$2:$J600,7,FALSE), $N271="SWAB","OUTSA-RW",$N271="SWQU","OUTSA-SaQu", AND($L271="X",$M271="X",$N271="QUEST"),"OUT-UAQPre",$N271="QUEST","OUT-UAQ", $N271="Walk in","ColUATele")</f>
        <v>#N/A</v>
      </c>
      <c r="W271" s="70" t="str">
        <f t="shared" si="9"/>
        <v>#N/A</v>
      </c>
      <c r="X271" s="64" t="str">
        <f t="shared" si="10"/>
        <v/>
      </c>
      <c r="Y271" s="64" t="str">
        <f t="shared" si="11"/>
        <v/>
      </c>
      <c r="Z271" s="66" t="str">
        <f t="shared" si="12"/>
        <v> </v>
      </c>
      <c r="AA271" s="71"/>
    </row>
    <row r="272" ht="15.75" customHeight="1">
      <c r="A272" s="56" t="str">
        <f t="shared" si="1"/>
        <v/>
      </c>
      <c r="B272" s="56" t="str">
        <f>IFS($C272=FALSE,"",$C272,VLOOKUP($C272,'PATIENT DATA (072721)'!A:C, 2, 0))</f>
        <v/>
      </c>
      <c r="C272" s="57"/>
      <c r="D272" s="127" t="str">
        <f>IF(COUNTIF('PATIENT DATA (072721)'!A:A, C272)=0, "X","✓")</f>
        <v>X</v>
      </c>
      <c r="E272" s="79"/>
      <c r="F272" s="80"/>
      <c r="G272" s="81" t="str">
        <f>ifs($C272="","",$C272, VLOOKUP($C272&amp;$F272, 'MARCH - VISIT DATA'!A:O,3,0))</f>
        <v/>
      </c>
      <c r="H272" s="83"/>
      <c r="I272" s="122" t="str">
        <f>VLOOKUP($C272&amp;$F272,'MARCH - VISIT DATA'!A:J, 9, FALSE)</f>
        <v>#N/A</v>
      </c>
      <c r="J272" s="85" t="str">
        <f>VLOOKUP(C272&amp;F272,'MARCH - VISIT DATA'!A:O,10,FALSE)</f>
        <v>#N/A</v>
      </c>
      <c r="K272" s="86"/>
      <c r="L272" s="86"/>
      <c r="M272" s="86"/>
      <c r="N272" s="86"/>
      <c r="O272" s="121" t="str">
        <f t="shared" si="2"/>
        <v>X</v>
      </c>
      <c r="P272" s="79" t="str">
        <f t="shared" si="3"/>
        <v>#N/A</v>
      </c>
      <c r="Q272" s="123" t="str">
        <f t="shared" si="4"/>
        <v>#N/A</v>
      </c>
      <c r="R272" s="124" t="str">
        <f t="shared" si="5"/>
        <v>#N/A</v>
      </c>
      <c r="S272" s="125" t="str">
        <f t="shared" si="6"/>
        <v>#N/A</v>
      </c>
      <c r="T272" s="125" t="str">
        <f t="shared" si="7"/>
        <v>#N/A</v>
      </c>
      <c r="U272" s="83">
        <f t="shared" si="8"/>
        <v>0</v>
      </c>
      <c r="V272" s="88" t="str">
        <f>ifs($N272="",VLOOKUP($C272&amp;$F272,'MARCH - VISIT DATA'!$A$2:$J600,7,FALSE), $N272="SWAB","OUTSA-RW",$N272="SWQU","OUTSA-SaQu", AND($L272="X",$M272="X",$N272="QUEST"),"OUT-UAQPre",$N272="QUEST","OUT-UAQ", $N272="Walk in","ColUATele")</f>
        <v>#N/A</v>
      </c>
      <c r="W272" s="70" t="str">
        <f t="shared" si="9"/>
        <v>#N/A</v>
      </c>
      <c r="X272" s="64" t="str">
        <f t="shared" si="10"/>
        <v/>
      </c>
      <c r="Y272" s="64" t="str">
        <f t="shared" si="11"/>
        <v/>
      </c>
      <c r="Z272" s="66" t="str">
        <f t="shared" si="12"/>
        <v> </v>
      </c>
      <c r="AA272" s="71"/>
    </row>
    <row r="273" ht="15.75" customHeight="1">
      <c r="A273" s="56" t="str">
        <f t="shared" si="1"/>
        <v/>
      </c>
      <c r="B273" s="56" t="str">
        <f>IFS($C273=FALSE,"",$C273,VLOOKUP($C273,'PATIENT DATA (072721)'!A:C, 2, 0))</f>
        <v/>
      </c>
      <c r="C273" s="57"/>
      <c r="D273" s="127" t="str">
        <f>IF(COUNTIF('PATIENT DATA (072721)'!A:A, C273)=0, "X","✓")</f>
        <v>X</v>
      </c>
      <c r="E273" s="79"/>
      <c r="F273" s="80"/>
      <c r="G273" s="81" t="str">
        <f>ifs($C273="","",$C273, VLOOKUP($C273&amp;$F273, 'MARCH - VISIT DATA'!A:O,3,0))</f>
        <v/>
      </c>
      <c r="H273" s="83"/>
      <c r="I273" s="122" t="str">
        <f>VLOOKUP($C273&amp;$F273,'MARCH - VISIT DATA'!A:J, 9, FALSE)</f>
        <v>#N/A</v>
      </c>
      <c r="J273" s="85" t="str">
        <f>VLOOKUP(C273&amp;F273,'MARCH - VISIT DATA'!A:O,10,FALSE)</f>
        <v>#N/A</v>
      </c>
      <c r="K273" s="86"/>
      <c r="L273" s="86"/>
      <c r="M273" s="86"/>
      <c r="N273" s="86"/>
      <c r="O273" s="121" t="str">
        <f t="shared" si="2"/>
        <v>X</v>
      </c>
      <c r="P273" s="79" t="str">
        <f t="shared" si="3"/>
        <v>#N/A</v>
      </c>
      <c r="Q273" s="123" t="str">
        <f t="shared" si="4"/>
        <v>#N/A</v>
      </c>
      <c r="R273" s="124" t="str">
        <f t="shared" si="5"/>
        <v>#N/A</v>
      </c>
      <c r="S273" s="125" t="str">
        <f t="shared" si="6"/>
        <v>#N/A</v>
      </c>
      <c r="T273" s="125" t="str">
        <f t="shared" si="7"/>
        <v>#N/A</v>
      </c>
      <c r="U273" s="83">
        <f t="shared" si="8"/>
        <v>0</v>
      </c>
      <c r="V273" s="88" t="str">
        <f>ifs($N273="",VLOOKUP($C273&amp;$F273,'MARCH - VISIT DATA'!$A$2:$J600,7,FALSE), $N273="SWAB","OUTSA-RW",$N273="SWQU","OUTSA-SaQu", AND($L273="X",$M273="X",$N273="QUEST"),"OUT-UAQPre",$N273="QUEST","OUT-UAQ", $N273="Walk in","ColUATele")</f>
        <v>#N/A</v>
      </c>
      <c r="W273" s="70" t="str">
        <f t="shared" si="9"/>
        <v>#N/A</v>
      </c>
      <c r="X273" s="64" t="str">
        <f t="shared" si="10"/>
        <v/>
      </c>
      <c r="Y273" s="64" t="str">
        <f t="shared" si="11"/>
        <v/>
      </c>
      <c r="Z273" s="66" t="str">
        <f t="shared" si="12"/>
        <v> </v>
      </c>
      <c r="AA273" s="71"/>
    </row>
    <row r="274" ht="15.75" customHeight="1">
      <c r="A274" s="56" t="str">
        <f t="shared" si="1"/>
        <v/>
      </c>
      <c r="B274" s="56" t="str">
        <f>IFS($C274=FALSE,"",$C274,VLOOKUP($C274,'PATIENT DATA (072721)'!A:C, 2, 0))</f>
        <v/>
      </c>
      <c r="C274" s="57"/>
      <c r="D274" s="127" t="str">
        <f>IF(COUNTIF('PATIENT DATA (072721)'!A:A, C274)=0, "X","✓")</f>
        <v>X</v>
      </c>
      <c r="E274" s="79"/>
      <c r="F274" s="80"/>
      <c r="G274" s="81" t="str">
        <f>ifs($C274="","",$C274, VLOOKUP($C274&amp;$F274, 'MARCH - VISIT DATA'!A:O,3,0))</f>
        <v/>
      </c>
      <c r="H274" s="83"/>
      <c r="I274" s="122" t="str">
        <f>VLOOKUP($C274&amp;$F274,'MARCH - VISIT DATA'!A:J, 9, FALSE)</f>
        <v>#N/A</v>
      </c>
      <c r="J274" s="85" t="str">
        <f>VLOOKUP(C274&amp;F274,'MARCH - VISIT DATA'!A:O,10,FALSE)</f>
        <v>#N/A</v>
      </c>
      <c r="K274" s="86"/>
      <c r="L274" s="86"/>
      <c r="M274" s="86"/>
      <c r="N274" s="86"/>
      <c r="O274" s="121" t="str">
        <f t="shared" si="2"/>
        <v>X</v>
      </c>
      <c r="P274" s="79" t="str">
        <f t="shared" si="3"/>
        <v>#N/A</v>
      </c>
      <c r="Q274" s="123" t="str">
        <f t="shared" si="4"/>
        <v>#N/A</v>
      </c>
      <c r="R274" s="124" t="str">
        <f t="shared" si="5"/>
        <v>#N/A</v>
      </c>
      <c r="S274" s="125" t="str">
        <f t="shared" si="6"/>
        <v>#N/A</v>
      </c>
      <c r="T274" s="125" t="str">
        <f t="shared" si="7"/>
        <v>#N/A</v>
      </c>
      <c r="U274" s="83">
        <f t="shared" si="8"/>
        <v>0</v>
      </c>
      <c r="V274" s="88" t="str">
        <f>ifs($N274="",VLOOKUP($C274&amp;$F274,'MARCH - VISIT DATA'!$A$2:$J600,7,FALSE), $N274="SWAB","OUTSA-RW",$N274="SWQU","OUTSA-SaQu", AND($L274="X",$M274="X",$N274="QUEST"),"OUT-UAQPre",$N274="QUEST","OUT-UAQ", $N274="Walk in","ColUATele")</f>
        <v>#N/A</v>
      </c>
      <c r="W274" s="70" t="str">
        <f t="shared" si="9"/>
        <v>#N/A</v>
      </c>
      <c r="X274" s="64" t="str">
        <f t="shared" si="10"/>
        <v/>
      </c>
      <c r="Y274" s="64" t="str">
        <f t="shared" si="11"/>
        <v/>
      </c>
      <c r="Z274" s="66" t="str">
        <f t="shared" si="12"/>
        <v> </v>
      </c>
      <c r="AA274" s="71"/>
    </row>
    <row r="275" ht="15.75" customHeight="1">
      <c r="A275" s="56" t="str">
        <f t="shared" si="1"/>
        <v/>
      </c>
      <c r="B275" s="56" t="str">
        <f>IFS($C275=FALSE,"",$C275,VLOOKUP($C275,'PATIENT DATA (072721)'!A:C, 2, 0))</f>
        <v/>
      </c>
      <c r="C275" s="57"/>
      <c r="D275" s="127" t="str">
        <f>IF(COUNTIF('PATIENT DATA (072721)'!A:A, C275)=0, "X","✓")</f>
        <v>X</v>
      </c>
      <c r="E275" s="79"/>
      <c r="F275" s="80"/>
      <c r="G275" s="81" t="str">
        <f>ifs($C275="","",$C275, VLOOKUP($C275&amp;$F275, 'MARCH - VISIT DATA'!A:O,3,0))</f>
        <v/>
      </c>
      <c r="H275" s="83"/>
      <c r="I275" s="122" t="str">
        <f>VLOOKUP($C275&amp;$F275,'MARCH - VISIT DATA'!A:J, 9, FALSE)</f>
        <v>#N/A</v>
      </c>
      <c r="J275" s="85" t="str">
        <f>VLOOKUP(C275&amp;F275,'MARCH - VISIT DATA'!A:O,10,FALSE)</f>
        <v>#N/A</v>
      </c>
      <c r="K275" s="86"/>
      <c r="L275" s="86"/>
      <c r="M275" s="86"/>
      <c r="N275" s="86"/>
      <c r="O275" s="121" t="str">
        <f t="shared" si="2"/>
        <v>X</v>
      </c>
      <c r="P275" s="79" t="str">
        <f t="shared" si="3"/>
        <v>#N/A</v>
      </c>
      <c r="Q275" s="123" t="str">
        <f t="shared" si="4"/>
        <v>#N/A</v>
      </c>
      <c r="R275" s="124" t="str">
        <f t="shared" si="5"/>
        <v>#N/A</v>
      </c>
      <c r="S275" s="125" t="str">
        <f t="shared" si="6"/>
        <v>#N/A</v>
      </c>
      <c r="T275" s="125" t="str">
        <f t="shared" si="7"/>
        <v>#N/A</v>
      </c>
      <c r="U275" s="83">
        <f t="shared" si="8"/>
        <v>0</v>
      </c>
      <c r="V275" s="88" t="str">
        <f>ifs($N275="",VLOOKUP($C275&amp;$F275,'MARCH - VISIT DATA'!$A$2:$J600,7,FALSE), $N275="SWAB","OUTSA-RW",$N275="SWQU","OUTSA-SaQu", AND($L275="X",$M275="X",$N275="QUEST"),"OUT-UAQPre",$N275="QUEST","OUT-UAQ", $N275="Walk in","ColUATele")</f>
        <v>#N/A</v>
      </c>
      <c r="W275" s="70" t="str">
        <f t="shared" si="9"/>
        <v>#N/A</v>
      </c>
      <c r="X275" s="64" t="str">
        <f t="shared" si="10"/>
        <v/>
      </c>
      <c r="Y275" s="64" t="str">
        <f t="shared" si="11"/>
        <v/>
      </c>
      <c r="Z275" s="66" t="str">
        <f t="shared" si="12"/>
        <v> </v>
      </c>
      <c r="AA275" s="71"/>
    </row>
    <row r="276" ht="15.75" customHeight="1">
      <c r="A276" s="56" t="str">
        <f t="shared" si="1"/>
        <v/>
      </c>
      <c r="B276" s="56" t="str">
        <f>IFS($C276=FALSE,"",$C276,VLOOKUP($C276,'PATIENT DATA (072721)'!A:C, 2, 0))</f>
        <v/>
      </c>
      <c r="C276" s="57"/>
      <c r="D276" s="127" t="str">
        <f>IF(COUNTIF('PATIENT DATA (072721)'!A:A, C276)=0, "X","✓")</f>
        <v>X</v>
      </c>
      <c r="E276" s="79"/>
      <c r="F276" s="80"/>
      <c r="G276" s="81" t="str">
        <f>ifs($C276="","",$C276, VLOOKUP($C276&amp;$F276, 'MARCH - VISIT DATA'!A:O,3,0))</f>
        <v/>
      </c>
      <c r="H276" s="83"/>
      <c r="I276" s="122" t="str">
        <f>VLOOKUP($C276&amp;$F276,'MARCH - VISIT DATA'!A:J, 9, FALSE)</f>
        <v>#N/A</v>
      </c>
      <c r="J276" s="85" t="str">
        <f>VLOOKUP(C276&amp;F276,'MARCH - VISIT DATA'!A:O,10,FALSE)</f>
        <v>#N/A</v>
      </c>
      <c r="K276" s="86"/>
      <c r="L276" s="86"/>
      <c r="M276" s="86"/>
      <c r="N276" s="86"/>
      <c r="O276" s="121" t="str">
        <f t="shared" si="2"/>
        <v>X</v>
      </c>
      <c r="P276" s="79" t="str">
        <f t="shared" si="3"/>
        <v>#N/A</v>
      </c>
      <c r="Q276" s="123" t="str">
        <f t="shared" si="4"/>
        <v>#N/A</v>
      </c>
      <c r="R276" s="124" t="str">
        <f t="shared" si="5"/>
        <v>#N/A</v>
      </c>
      <c r="S276" s="125" t="str">
        <f t="shared" si="6"/>
        <v>#N/A</v>
      </c>
      <c r="T276" s="125" t="str">
        <f t="shared" si="7"/>
        <v>#N/A</v>
      </c>
      <c r="U276" s="83">
        <f t="shared" si="8"/>
        <v>0</v>
      </c>
      <c r="V276" s="88" t="str">
        <f>ifs($N276="",VLOOKUP($C276&amp;$F276,'MARCH - VISIT DATA'!$A$2:$J600,7,FALSE), $N276="SWAB","OUTSA-RW",$N276="SWQU","OUTSA-SaQu", AND($L276="X",$M276="X",$N276="QUEST"),"OUT-UAQPre",$N276="QUEST","OUT-UAQ", $N276="Walk in","ColUATele")</f>
        <v>#N/A</v>
      </c>
      <c r="W276" s="70" t="str">
        <f t="shared" si="9"/>
        <v>#N/A</v>
      </c>
      <c r="X276" s="64" t="str">
        <f t="shared" si="10"/>
        <v/>
      </c>
      <c r="Y276" s="64" t="str">
        <f t="shared" si="11"/>
        <v/>
      </c>
      <c r="Z276" s="66" t="str">
        <f t="shared" si="12"/>
        <v> </v>
      </c>
      <c r="AA276" s="71"/>
    </row>
    <row r="277" ht="15.75" customHeight="1">
      <c r="A277" s="56" t="str">
        <f t="shared" si="1"/>
        <v/>
      </c>
      <c r="B277" s="56" t="str">
        <f>IFS($C277=FALSE,"",$C277,VLOOKUP($C277,'PATIENT DATA (072721)'!A:C, 2, 0))</f>
        <v/>
      </c>
      <c r="C277" s="57"/>
      <c r="D277" s="127" t="str">
        <f>IF(COUNTIF('PATIENT DATA (072721)'!A:A, C277)=0, "X","✓")</f>
        <v>X</v>
      </c>
      <c r="E277" s="79"/>
      <c r="F277" s="80"/>
      <c r="G277" s="81" t="str">
        <f>ifs($C277="","",$C277, VLOOKUP($C277&amp;$F277, 'MARCH - VISIT DATA'!A:O,3,0))</f>
        <v/>
      </c>
      <c r="H277" s="83"/>
      <c r="I277" s="122" t="str">
        <f>VLOOKUP($C277&amp;$F277,'MARCH - VISIT DATA'!A:J, 9, FALSE)</f>
        <v>#N/A</v>
      </c>
      <c r="J277" s="85" t="str">
        <f>VLOOKUP(C277&amp;F277,'MARCH - VISIT DATA'!A:O,10,FALSE)</f>
        <v>#N/A</v>
      </c>
      <c r="K277" s="86"/>
      <c r="L277" s="86"/>
      <c r="M277" s="86"/>
      <c r="N277" s="86"/>
      <c r="O277" s="121" t="str">
        <f t="shared" si="2"/>
        <v>X</v>
      </c>
      <c r="P277" s="79" t="str">
        <f t="shared" si="3"/>
        <v>#N/A</v>
      </c>
      <c r="Q277" s="123" t="str">
        <f t="shared" si="4"/>
        <v>#N/A</v>
      </c>
      <c r="R277" s="124" t="str">
        <f t="shared" si="5"/>
        <v>#N/A</v>
      </c>
      <c r="S277" s="125" t="str">
        <f t="shared" si="6"/>
        <v>#N/A</v>
      </c>
      <c r="T277" s="125" t="str">
        <f t="shared" si="7"/>
        <v>#N/A</v>
      </c>
      <c r="U277" s="83">
        <f t="shared" si="8"/>
        <v>0</v>
      </c>
      <c r="V277" s="88" t="str">
        <f>ifs($N277="",VLOOKUP($C277&amp;$F277,'MARCH - VISIT DATA'!$A$2:$J600,7,FALSE), $N277="SWAB","OUTSA-RW",$N277="SWQU","OUTSA-SaQu", AND($L277="X",$M277="X",$N277="QUEST"),"OUT-UAQPre",$N277="QUEST","OUT-UAQ", $N277="Walk in","ColUATele")</f>
        <v>#N/A</v>
      </c>
      <c r="W277" s="70" t="str">
        <f t="shared" si="9"/>
        <v>#N/A</v>
      </c>
      <c r="X277" s="64" t="str">
        <f t="shared" si="10"/>
        <v/>
      </c>
      <c r="Y277" s="64" t="str">
        <f t="shared" si="11"/>
        <v/>
      </c>
      <c r="Z277" s="66" t="str">
        <f t="shared" si="12"/>
        <v> </v>
      </c>
      <c r="AA277" s="71"/>
    </row>
    <row r="278" ht="15.75" customHeight="1">
      <c r="A278" s="56" t="str">
        <f t="shared" si="1"/>
        <v/>
      </c>
      <c r="B278" s="56" t="str">
        <f>IFS($C278=FALSE,"",$C278,VLOOKUP($C278,'PATIENT DATA (072721)'!A:C, 2, 0))</f>
        <v/>
      </c>
      <c r="C278" s="57"/>
      <c r="D278" s="127" t="str">
        <f>IF(COUNTIF('PATIENT DATA (072721)'!A:A, C278)=0, "X","✓")</f>
        <v>X</v>
      </c>
      <c r="E278" s="79"/>
      <c r="F278" s="80"/>
      <c r="G278" s="81" t="str">
        <f>ifs($C278="","",$C278, VLOOKUP($C278&amp;$F278, 'MARCH - VISIT DATA'!A:O,3,0))</f>
        <v/>
      </c>
      <c r="H278" s="83"/>
      <c r="I278" s="122" t="str">
        <f>VLOOKUP($C278&amp;$F278,'MARCH - VISIT DATA'!A:J, 9, FALSE)</f>
        <v>#N/A</v>
      </c>
      <c r="J278" s="85" t="str">
        <f>VLOOKUP(C278&amp;F278,'MARCH - VISIT DATA'!A:O,10,FALSE)</f>
        <v>#N/A</v>
      </c>
      <c r="K278" s="86"/>
      <c r="L278" s="86"/>
      <c r="M278" s="86"/>
      <c r="N278" s="86"/>
      <c r="O278" s="121" t="str">
        <f t="shared" si="2"/>
        <v>X</v>
      </c>
      <c r="P278" s="79" t="str">
        <f t="shared" si="3"/>
        <v>#N/A</v>
      </c>
      <c r="Q278" s="123" t="str">
        <f t="shared" si="4"/>
        <v>#N/A</v>
      </c>
      <c r="R278" s="124" t="str">
        <f t="shared" si="5"/>
        <v>#N/A</v>
      </c>
      <c r="S278" s="125" t="str">
        <f t="shared" si="6"/>
        <v>#N/A</v>
      </c>
      <c r="T278" s="125" t="str">
        <f t="shared" si="7"/>
        <v>#N/A</v>
      </c>
      <c r="U278" s="83">
        <f t="shared" si="8"/>
        <v>0</v>
      </c>
      <c r="V278" s="88" t="str">
        <f>ifs($N278="",VLOOKUP($C278&amp;$F278,'MARCH - VISIT DATA'!$A$2:$J600,7,FALSE), $N278="SWAB","OUTSA-RW",$N278="SWQU","OUTSA-SaQu", AND($L278="X",$M278="X",$N278="QUEST"),"OUT-UAQPre",$N278="QUEST","OUT-UAQ", $N278="Walk in","ColUATele")</f>
        <v>#N/A</v>
      </c>
      <c r="W278" s="70" t="str">
        <f t="shared" si="9"/>
        <v>#N/A</v>
      </c>
      <c r="X278" s="64" t="str">
        <f t="shared" si="10"/>
        <v/>
      </c>
      <c r="Y278" s="64" t="str">
        <f t="shared" si="11"/>
        <v/>
      </c>
      <c r="Z278" s="66" t="str">
        <f t="shared" si="12"/>
        <v> </v>
      </c>
      <c r="AA278" s="71"/>
    </row>
    <row r="279" ht="15.75" customHeight="1">
      <c r="A279" s="56" t="str">
        <f t="shared" si="1"/>
        <v/>
      </c>
      <c r="B279" s="56" t="str">
        <f>IFS($C279=FALSE,"",$C279,VLOOKUP($C279,'PATIENT DATA (072721)'!A:C, 2, 0))</f>
        <v/>
      </c>
      <c r="C279" s="57"/>
      <c r="D279" s="127" t="str">
        <f>IF(COUNTIF('PATIENT DATA (072721)'!A:A, C279)=0, "X","✓")</f>
        <v>X</v>
      </c>
      <c r="E279" s="79"/>
      <c r="F279" s="80"/>
      <c r="G279" s="81" t="str">
        <f>ifs($C279="","",$C279, VLOOKUP($C279&amp;$F279, 'MARCH - VISIT DATA'!A:O,3,0))</f>
        <v/>
      </c>
      <c r="H279" s="83"/>
      <c r="I279" s="122" t="str">
        <f>VLOOKUP($C279&amp;$F279,'MARCH - VISIT DATA'!A:J, 9, FALSE)</f>
        <v>#N/A</v>
      </c>
      <c r="J279" s="85" t="str">
        <f>VLOOKUP(C279&amp;F279,'MARCH - VISIT DATA'!A:O,10,FALSE)</f>
        <v>#N/A</v>
      </c>
      <c r="K279" s="86"/>
      <c r="L279" s="86"/>
      <c r="M279" s="86"/>
      <c r="N279" s="86"/>
      <c r="O279" s="121" t="str">
        <f t="shared" si="2"/>
        <v>X</v>
      </c>
      <c r="P279" s="79" t="str">
        <f t="shared" si="3"/>
        <v>#N/A</v>
      </c>
      <c r="Q279" s="123" t="str">
        <f t="shared" si="4"/>
        <v>#N/A</v>
      </c>
      <c r="R279" s="124" t="str">
        <f t="shared" si="5"/>
        <v>#N/A</v>
      </c>
      <c r="S279" s="125" t="str">
        <f t="shared" si="6"/>
        <v>#N/A</v>
      </c>
      <c r="T279" s="125" t="str">
        <f t="shared" si="7"/>
        <v>#N/A</v>
      </c>
      <c r="U279" s="83">
        <f t="shared" si="8"/>
        <v>0</v>
      </c>
      <c r="V279" s="88" t="str">
        <f>ifs($N279="",VLOOKUP($C279&amp;$F279,'MARCH - VISIT DATA'!$A$2:$J600,7,FALSE), $N279="SWAB","OUTSA-RW",$N279="SWQU","OUTSA-SaQu", AND($L279="X",$M279="X",$N279="QUEST"),"OUT-UAQPre",$N279="QUEST","OUT-UAQ", $N279="Walk in","ColUATele")</f>
        <v>#N/A</v>
      </c>
      <c r="W279" s="70" t="str">
        <f t="shared" si="9"/>
        <v>#N/A</v>
      </c>
      <c r="X279" s="64" t="str">
        <f t="shared" si="10"/>
        <v/>
      </c>
      <c r="Y279" s="64" t="str">
        <f t="shared" si="11"/>
        <v/>
      </c>
      <c r="Z279" s="66" t="str">
        <f t="shared" si="12"/>
        <v> </v>
      </c>
      <c r="AA279" s="71"/>
    </row>
    <row r="280" ht="15.75" customHeight="1">
      <c r="A280" s="56" t="str">
        <f t="shared" si="1"/>
        <v/>
      </c>
      <c r="B280" s="56" t="str">
        <f>IFS($C280=FALSE,"",$C280,VLOOKUP($C280,'PATIENT DATA (072721)'!A:C, 2, 0))</f>
        <v/>
      </c>
      <c r="C280" s="57"/>
      <c r="D280" s="127" t="str">
        <f>IF(COUNTIF('PATIENT DATA (072721)'!A:A, C280)=0, "X","✓")</f>
        <v>X</v>
      </c>
      <c r="E280" s="79"/>
      <c r="F280" s="80"/>
      <c r="G280" s="81" t="str">
        <f>ifs($C280="","",$C280, VLOOKUP($C280&amp;$F280, 'MARCH - VISIT DATA'!A:O,3,0))</f>
        <v/>
      </c>
      <c r="H280" s="83"/>
      <c r="I280" s="122" t="str">
        <f>VLOOKUP($C280&amp;$F280,'MARCH - VISIT DATA'!A:J, 9, FALSE)</f>
        <v>#N/A</v>
      </c>
      <c r="J280" s="85" t="str">
        <f>VLOOKUP(C280&amp;F280,'MARCH - VISIT DATA'!A:O,10,FALSE)</f>
        <v>#N/A</v>
      </c>
      <c r="K280" s="86"/>
      <c r="L280" s="86"/>
      <c r="M280" s="86"/>
      <c r="N280" s="86"/>
      <c r="O280" s="121" t="str">
        <f t="shared" si="2"/>
        <v>X</v>
      </c>
      <c r="P280" s="79" t="str">
        <f t="shared" si="3"/>
        <v>#N/A</v>
      </c>
      <c r="Q280" s="123" t="str">
        <f t="shared" si="4"/>
        <v>#N/A</v>
      </c>
      <c r="R280" s="124" t="str">
        <f t="shared" si="5"/>
        <v>#N/A</v>
      </c>
      <c r="S280" s="125" t="str">
        <f t="shared" si="6"/>
        <v>#N/A</v>
      </c>
      <c r="T280" s="125" t="str">
        <f t="shared" si="7"/>
        <v>#N/A</v>
      </c>
      <c r="U280" s="83">
        <f t="shared" si="8"/>
        <v>0</v>
      </c>
      <c r="V280" s="88" t="str">
        <f>ifs($N280="",VLOOKUP($C280&amp;$F280,'MARCH - VISIT DATA'!$A$2:$J600,7,FALSE), $N280="SWAB","OUTSA-RW",$N280="SWQU","OUTSA-SaQu", AND($L280="X",$M280="X",$N280="QUEST"),"OUT-UAQPre",$N280="QUEST","OUT-UAQ", $N280="Walk in","ColUATele")</f>
        <v>#N/A</v>
      </c>
      <c r="W280" s="70" t="str">
        <f t="shared" si="9"/>
        <v>#N/A</v>
      </c>
      <c r="X280" s="64" t="str">
        <f t="shared" si="10"/>
        <v/>
      </c>
      <c r="Y280" s="64" t="str">
        <f t="shared" si="11"/>
        <v/>
      </c>
      <c r="Z280" s="66" t="str">
        <f t="shared" si="12"/>
        <v> </v>
      </c>
      <c r="AA280" s="71"/>
    </row>
    <row r="281" ht="15.75" customHeight="1">
      <c r="A281" s="56" t="str">
        <f t="shared" si="1"/>
        <v/>
      </c>
      <c r="B281" s="56" t="str">
        <f>IFS($C281=FALSE,"",$C281,VLOOKUP($C281,'PATIENT DATA (072721)'!A:C, 2, 0))</f>
        <v/>
      </c>
      <c r="C281" s="57"/>
      <c r="D281" s="127" t="str">
        <f>IF(COUNTIF('PATIENT DATA (072721)'!A:A, C281)=0, "X","✓")</f>
        <v>X</v>
      </c>
      <c r="E281" s="79"/>
      <c r="F281" s="80"/>
      <c r="G281" s="81" t="str">
        <f>ifs($C281="","",$C281, VLOOKUP($C281&amp;$F281, 'MARCH - VISIT DATA'!A:O,3,0))</f>
        <v/>
      </c>
      <c r="H281" s="83"/>
      <c r="I281" s="122" t="str">
        <f>VLOOKUP($C281&amp;$F281,'MARCH - VISIT DATA'!A:J, 9, FALSE)</f>
        <v>#N/A</v>
      </c>
      <c r="J281" s="85" t="str">
        <f>VLOOKUP(C281&amp;F281,'MARCH - VISIT DATA'!A:O,10,FALSE)</f>
        <v>#N/A</v>
      </c>
      <c r="K281" s="86"/>
      <c r="L281" s="86"/>
      <c r="M281" s="86"/>
      <c r="N281" s="86"/>
      <c r="O281" s="121" t="str">
        <f t="shared" si="2"/>
        <v>X</v>
      </c>
      <c r="P281" s="79" t="str">
        <f t="shared" si="3"/>
        <v>#N/A</v>
      </c>
      <c r="Q281" s="123" t="str">
        <f t="shared" si="4"/>
        <v>#N/A</v>
      </c>
      <c r="R281" s="124" t="str">
        <f t="shared" si="5"/>
        <v>#N/A</v>
      </c>
      <c r="S281" s="125" t="str">
        <f t="shared" si="6"/>
        <v>#N/A</v>
      </c>
      <c r="T281" s="125" t="str">
        <f t="shared" si="7"/>
        <v>#N/A</v>
      </c>
      <c r="U281" s="83">
        <f t="shared" si="8"/>
        <v>0</v>
      </c>
      <c r="V281" s="88" t="str">
        <f>ifs($N281="",VLOOKUP($C281&amp;$F281,'MARCH - VISIT DATA'!$A$2:$J600,7,FALSE), $N281="SWAB","OUTSA-RW",$N281="SWQU","OUTSA-SaQu", AND($L281="X",$M281="X",$N281="QUEST"),"OUT-UAQPre",$N281="QUEST","OUT-UAQ", $N281="Walk in","ColUATele")</f>
        <v>#N/A</v>
      </c>
      <c r="W281" s="70" t="str">
        <f t="shared" si="9"/>
        <v>#N/A</v>
      </c>
      <c r="X281" s="64" t="str">
        <f t="shared" si="10"/>
        <v/>
      </c>
      <c r="Y281" s="64" t="str">
        <f t="shared" si="11"/>
        <v/>
      </c>
      <c r="Z281" s="66" t="str">
        <f t="shared" si="12"/>
        <v> </v>
      </c>
      <c r="AA281" s="71"/>
    </row>
    <row r="282" ht="15.75" customHeight="1">
      <c r="A282" s="56" t="str">
        <f t="shared" si="1"/>
        <v/>
      </c>
      <c r="B282" s="56" t="str">
        <f>IFS($C282=FALSE,"",$C282,VLOOKUP($C282,'PATIENT DATA (072721)'!A:C, 2, 0))</f>
        <v/>
      </c>
      <c r="C282" s="57"/>
      <c r="D282" s="127" t="str">
        <f>IF(COUNTIF('PATIENT DATA (072721)'!A:A, C282)=0, "X","✓")</f>
        <v>X</v>
      </c>
      <c r="E282" s="79"/>
      <c r="F282" s="80"/>
      <c r="G282" s="81" t="str">
        <f>ifs($C282="","",$C282, VLOOKUP($C282&amp;$F282, 'MARCH - VISIT DATA'!A:O,3,0))</f>
        <v/>
      </c>
      <c r="H282" s="83"/>
      <c r="I282" s="122" t="str">
        <f>VLOOKUP($C282&amp;$F282,'MARCH - VISIT DATA'!A:J, 9, FALSE)</f>
        <v>#N/A</v>
      </c>
      <c r="J282" s="85" t="str">
        <f>VLOOKUP(C282&amp;F282,'MARCH - VISIT DATA'!A:O,10,FALSE)</f>
        <v>#N/A</v>
      </c>
      <c r="K282" s="86"/>
      <c r="L282" s="86"/>
      <c r="M282" s="86"/>
      <c r="N282" s="86"/>
      <c r="O282" s="121" t="str">
        <f t="shared" si="2"/>
        <v>X</v>
      </c>
      <c r="P282" s="79" t="str">
        <f t="shared" si="3"/>
        <v>#N/A</v>
      </c>
      <c r="Q282" s="123" t="str">
        <f t="shared" si="4"/>
        <v>#N/A</v>
      </c>
      <c r="R282" s="124" t="str">
        <f t="shared" si="5"/>
        <v>#N/A</v>
      </c>
      <c r="S282" s="125" t="str">
        <f t="shared" si="6"/>
        <v>#N/A</v>
      </c>
      <c r="T282" s="125" t="str">
        <f t="shared" si="7"/>
        <v>#N/A</v>
      </c>
      <c r="U282" s="83">
        <f t="shared" si="8"/>
        <v>0</v>
      </c>
      <c r="V282" s="88" t="str">
        <f>ifs($N282="",VLOOKUP($C282&amp;$F282,'MARCH - VISIT DATA'!$A$2:$J600,7,FALSE), $N282="SWAB","OUTSA-RW",$N282="SWQU","OUTSA-SaQu", AND($L282="X",$M282="X",$N282="QUEST"),"OUT-UAQPre",$N282="QUEST","OUT-UAQ", $N282="Walk in","ColUATele")</f>
        <v>#N/A</v>
      </c>
      <c r="W282" s="70" t="str">
        <f t="shared" si="9"/>
        <v>#N/A</v>
      </c>
      <c r="X282" s="64" t="str">
        <f t="shared" si="10"/>
        <v/>
      </c>
      <c r="Y282" s="64" t="str">
        <f t="shared" si="11"/>
        <v/>
      </c>
      <c r="Z282" s="66" t="str">
        <f t="shared" si="12"/>
        <v> </v>
      </c>
      <c r="AA282" s="71"/>
    </row>
    <row r="283" ht="15.75" customHeight="1">
      <c r="A283" s="56" t="str">
        <f t="shared" si="1"/>
        <v/>
      </c>
      <c r="B283" s="56" t="str">
        <f>IFS($C283=FALSE,"",$C283,VLOOKUP($C283,'PATIENT DATA (072721)'!A:C, 2, 0))</f>
        <v/>
      </c>
      <c r="C283" s="57"/>
      <c r="D283" s="127" t="str">
        <f>IF(COUNTIF('PATIENT DATA (072721)'!A:A, C283)=0, "X","✓")</f>
        <v>X</v>
      </c>
      <c r="E283" s="79"/>
      <c r="F283" s="80"/>
      <c r="G283" s="81" t="str">
        <f>ifs($C283="","",$C283, VLOOKUP($C283&amp;$F283, 'MARCH - VISIT DATA'!A:O,3,0))</f>
        <v/>
      </c>
      <c r="H283" s="83"/>
      <c r="I283" s="122" t="str">
        <f>VLOOKUP($C283&amp;$F283,'MARCH - VISIT DATA'!A:J, 9, FALSE)</f>
        <v>#N/A</v>
      </c>
      <c r="J283" s="85" t="str">
        <f>VLOOKUP(C283&amp;F283,'MARCH - VISIT DATA'!A:O,10,FALSE)</f>
        <v>#N/A</v>
      </c>
      <c r="K283" s="86"/>
      <c r="L283" s="86"/>
      <c r="M283" s="86"/>
      <c r="N283" s="86"/>
      <c r="O283" s="121" t="str">
        <f t="shared" si="2"/>
        <v>X</v>
      </c>
      <c r="P283" s="79" t="str">
        <f t="shared" si="3"/>
        <v>#N/A</v>
      </c>
      <c r="Q283" s="123" t="str">
        <f t="shared" si="4"/>
        <v>#N/A</v>
      </c>
      <c r="R283" s="124" t="str">
        <f t="shared" si="5"/>
        <v>#N/A</v>
      </c>
      <c r="S283" s="125" t="str">
        <f t="shared" si="6"/>
        <v>#N/A</v>
      </c>
      <c r="T283" s="125" t="str">
        <f t="shared" si="7"/>
        <v>#N/A</v>
      </c>
      <c r="U283" s="83">
        <f t="shared" si="8"/>
        <v>0</v>
      </c>
      <c r="V283" s="88" t="str">
        <f>ifs($N283="",VLOOKUP($C283&amp;$F283,'MARCH - VISIT DATA'!$A$2:$J600,7,FALSE), $N283="SWAB","OUTSA-RW",$N283="SWQU","OUTSA-SaQu", AND($L283="X",$M283="X",$N283="QUEST"),"OUT-UAQPre",$N283="QUEST","OUT-UAQ", $N283="Walk in","ColUATele")</f>
        <v>#N/A</v>
      </c>
      <c r="W283" s="70" t="str">
        <f t="shared" si="9"/>
        <v>#N/A</v>
      </c>
      <c r="X283" s="64" t="str">
        <f t="shared" si="10"/>
        <v/>
      </c>
      <c r="Y283" s="64" t="str">
        <f t="shared" si="11"/>
        <v/>
      </c>
      <c r="Z283" s="66" t="str">
        <f t="shared" si="12"/>
        <v> </v>
      </c>
      <c r="AA283" s="71"/>
    </row>
    <row r="284" ht="15.75" customHeight="1">
      <c r="A284" s="56" t="str">
        <f t="shared" si="1"/>
        <v/>
      </c>
      <c r="B284" s="56" t="str">
        <f>IFS($C284=FALSE,"",$C284,VLOOKUP($C284,'PATIENT DATA (072721)'!A:C, 2, 0))</f>
        <v/>
      </c>
      <c r="C284" s="57"/>
      <c r="D284" s="127" t="str">
        <f>IF(COUNTIF('PATIENT DATA (072721)'!A:A, C284)=0, "X","✓")</f>
        <v>X</v>
      </c>
      <c r="E284" s="79"/>
      <c r="F284" s="80"/>
      <c r="G284" s="81" t="str">
        <f>ifs($C284="","",$C284, VLOOKUP($C284&amp;$F284, 'MARCH - VISIT DATA'!A:O,3,0))</f>
        <v/>
      </c>
      <c r="H284" s="83"/>
      <c r="I284" s="122" t="str">
        <f>VLOOKUP($C284&amp;$F284,'MARCH - VISIT DATA'!A:J, 9, FALSE)</f>
        <v>#N/A</v>
      </c>
      <c r="J284" s="85" t="str">
        <f>VLOOKUP(C284&amp;F284,'MARCH - VISIT DATA'!A:O,10,FALSE)</f>
        <v>#N/A</v>
      </c>
      <c r="K284" s="86"/>
      <c r="L284" s="86"/>
      <c r="M284" s="86"/>
      <c r="N284" s="86"/>
      <c r="O284" s="121" t="str">
        <f t="shared" si="2"/>
        <v>X</v>
      </c>
      <c r="P284" s="79" t="str">
        <f t="shared" si="3"/>
        <v>#N/A</v>
      </c>
      <c r="Q284" s="123" t="str">
        <f t="shared" si="4"/>
        <v>#N/A</v>
      </c>
      <c r="R284" s="124" t="str">
        <f t="shared" si="5"/>
        <v>#N/A</v>
      </c>
      <c r="S284" s="125" t="str">
        <f t="shared" si="6"/>
        <v>#N/A</v>
      </c>
      <c r="T284" s="125" t="str">
        <f t="shared" si="7"/>
        <v>#N/A</v>
      </c>
      <c r="U284" s="83">
        <f t="shared" si="8"/>
        <v>0</v>
      </c>
      <c r="V284" s="88" t="str">
        <f>ifs($N284="",VLOOKUP($C284&amp;$F284,'MARCH - VISIT DATA'!$A$2:$J600,7,FALSE), $N284="SWAB","OUTSA-RW",$N284="SWQU","OUTSA-SaQu", AND($L284="X",$M284="X",$N284="QUEST"),"OUT-UAQPre",$N284="QUEST","OUT-UAQ", $N284="Walk in","ColUATele")</f>
        <v>#N/A</v>
      </c>
      <c r="W284" s="70" t="str">
        <f t="shared" si="9"/>
        <v>#N/A</v>
      </c>
      <c r="X284" s="64" t="str">
        <f t="shared" si="10"/>
        <v/>
      </c>
      <c r="Y284" s="64" t="str">
        <f t="shared" si="11"/>
        <v/>
      </c>
      <c r="Z284" s="66" t="str">
        <f t="shared" si="12"/>
        <v> </v>
      </c>
      <c r="AA284" s="71"/>
    </row>
    <row r="285" ht="15.75" customHeight="1">
      <c r="A285" s="56" t="str">
        <f t="shared" si="1"/>
        <v/>
      </c>
      <c r="B285" s="56" t="str">
        <f>IFS($C285=FALSE,"",$C285,VLOOKUP($C285,'PATIENT DATA (072721)'!A:C, 2, 0))</f>
        <v/>
      </c>
      <c r="C285" s="57"/>
      <c r="D285" s="127" t="str">
        <f>IF(COUNTIF('PATIENT DATA (072721)'!A:A, C285)=0, "X","✓")</f>
        <v>X</v>
      </c>
      <c r="E285" s="79"/>
      <c r="F285" s="80"/>
      <c r="G285" s="81" t="str">
        <f>ifs($C285="","",$C285, VLOOKUP($C285&amp;$F285, 'MARCH - VISIT DATA'!A:O,3,0))</f>
        <v/>
      </c>
      <c r="H285" s="83"/>
      <c r="I285" s="122" t="str">
        <f>VLOOKUP($C285&amp;$F285,'MARCH - VISIT DATA'!A:J, 9, FALSE)</f>
        <v>#N/A</v>
      </c>
      <c r="J285" s="85" t="str">
        <f>VLOOKUP(C285&amp;F285,'MARCH - VISIT DATA'!A:O,10,FALSE)</f>
        <v>#N/A</v>
      </c>
      <c r="K285" s="86"/>
      <c r="L285" s="86"/>
      <c r="M285" s="86"/>
      <c r="N285" s="86"/>
      <c r="O285" s="121" t="str">
        <f t="shared" si="2"/>
        <v>X</v>
      </c>
      <c r="P285" s="79" t="str">
        <f t="shared" si="3"/>
        <v>#N/A</v>
      </c>
      <c r="Q285" s="123" t="str">
        <f t="shared" si="4"/>
        <v>#N/A</v>
      </c>
      <c r="R285" s="124" t="str">
        <f t="shared" si="5"/>
        <v>#N/A</v>
      </c>
      <c r="S285" s="125" t="str">
        <f t="shared" si="6"/>
        <v>#N/A</v>
      </c>
      <c r="T285" s="125" t="str">
        <f t="shared" si="7"/>
        <v>#N/A</v>
      </c>
      <c r="U285" s="83">
        <f t="shared" si="8"/>
        <v>0</v>
      </c>
      <c r="V285" s="88" t="str">
        <f>ifs($N285="",VLOOKUP($C285&amp;$F285,'MARCH - VISIT DATA'!$A$2:$J600,7,FALSE), $N285="SWAB","OUTSA-RW",$N285="SWQU","OUTSA-SaQu", AND($L285="X",$M285="X",$N285="QUEST"),"OUT-UAQPre",$N285="QUEST","OUT-UAQ", $N285="Walk in","ColUATele")</f>
        <v>#N/A</v>
      </c>
      <c r="W285" s="70" t="str">
        <f t="shared" si="9"/>
        <v>#N/A</v>
      </c>
      <c r="X285" s="64" t="str">
        <f t="shared" si="10"/>
        <v/>
      </c>
      <c r="Y285" s="64" t="str">
        <f t="shared" si="11"/>
        <v/>
      </c>
      <c r="Z285" s="66" t="str">
        <f t="shared" si="12"/>
        <v> </v>
      </c>
      <c r="AA285" s="71"/>
    </row>
    <row r="286" ht="15.75" customHeight="1">
      <c r="A286" s="56" t="str">
        <f t="shared" si="1"/>
        <v/>
      </c>
      <c r="B286" s="56" t="str">
        <f>IFS($C286=FALSE,"",$C286,VLOOKUP($C286,'PATIENT DATA (072721)'!A:C, 2, 0))</f>
        <v/>
      </c>
      <c r="C286" s="57"/>
      <c r="D286" s="127" t="str">
        <f>IF(COUNTIF('PATIENT DATA (072721)'!A:A, C286)=0, "X","✓")</f>
        <v>X</v>
      </c>
      <c r="E286" s="79"/>
      <c r="F286" s="80"/>
      <c r="G286" s="81" t="str">
        <f>ifs($C286="","",$C286, VLOOKUP($C286&amp;$F286, 'MARCH - VISIT DATA'!A:O,3,0))</f>
        <v/>
      </c>
      <c r="H286" s="83"/>
      <c r="I286" s="122" t="str">
        <f>VLOOKUP($C286&amp;$F286,'MARCH - VISIT DATA'!A:J, 9, FALSE)</f>
        <v>#N/A</v>
      </c>
      <c r="J286" s="85" t="str">
        <f>VLOOKUP(C286&amp;F286,'MARCH - VISIT DATA'!A:O,10,FALSE)</f>
        <v>#N/A</v>
      </c>
      <c r="K286" s="86"/>
      <c r="L286" s="86"/>
      <c r="M286" s="86"/>
      <c r="N286" s="86"/>
      <c r="O286" s="121" t="str">
        <f t="shared" si="2"/>
        <v>X</v>
      </c>
      <c r="P286" s="79" t="str">
        <f t="shared" si="3"/>
        <v>#N/A</v>
      </c>
      <c r="Q286" s="123" t="str">
        <f t="shared" si="4"/>
        <v>#N/A</v>
      </c>
      <c r="R286" s="124" t="str">
        <f t="shared" si="5"/>
        <v>#N/A</v>
      </c>
      <c r="S286" s="125" t="str">
        <f t="shared" si="6"/>
        <v>#N/A</v>
      </c>
      <c r="T286" s="125" t="str">
        <f t="shared" si="7"/>
        <v>#N/A</v>
      </c>
      <c r="U286" s="83">
        <f t="shared" si="8"/>
        <v>0</v>
      </c>
      <c r="V286" s="88" t="str">
        <f>ifs($N286="",VLOOKUP($C286&amp;$F286,'MARCH - VISIT DATA'!$A$2:$J600,7,FALSE), $N286="SWAB","OUTSA-RW",$N286="SWQU","OUTSA-SaQu", AND($L286="X",$M286="X",$N286="QUEST"),"OUT-UAQPre",$N286="QUEST","OUT-UAQ", $N286="Walk in","ColUATele")</f>
        <v>#N/A</v>
      </c>
      <c r="W286" s="70" t="str">
        <f t="shared" si="9"/>
        <v>#N/A</v>
      </c>
      <c r="X286" s="64" t="str">
        <f t="shared" si="10"/>
        <v/>
      </c>
      <c r="Y286" s="64" t="str">
        <f t="shared" si="11"/>
        <v/>
      </c>
      <c r="Z286" s="66" t="str">
        <f t="shared" si="12"/>
        <v> </v>
      </c>
      <c r="AA286" s="71"/>
    </row>
    <row r="287" ht="15.75" customHeight="1">
      <c r="A287" s="56" t="str">
        <f t="shared" si="1"/>
        <v/>
      </c>
      <c r="B287" s="56" t="str">
        <f>IFS($C287=FALSE,"",$C287,VLOOKUP($C287,'PATIENT DATA (072721)'!A:C, 2, 0))</f>
        <v/>
      </c>
      <c r="C287" s="57"/>
      <c r="D287" s="127" t="str">
        <f>IF(COUNTIF('PATIENT DATA (072721)'!A:A, C287)=0, "X","✓")</f>
        <v>X</v>
      </c>
      <c r="E287" s="79"/>
      <c r="F287" s="80"/>
      <c r="G287" s="81" t="str">
        <f>ifs($C287="","",$C287, VLOOKUP($C287&amp;$F287, 'MARCH - VISIT DATA'!A:O,3,0))</f>
        <v/>
      </c>
      <c r="H287" s="83"/>
      <c r="I287" s="122" t="str">
        <f>VLOOKUP($C287&amp;$F287,'MARCH - VISIT DATA'!A:J, 9, FALSE)</f>
        <v>#N/A</v>
      </c>
      <c r="J287" s="85" t="str">
        <f>VLOOKUP(C287&amp;F287,'MARCH - VISIT DATA'!A:O,10,FALSE)</f>
        <v>#N/A</v>
      </c>
      <c r="K287" s="86"/>
      <c r="L287" s="86"/>
      <c r="M287" s="86"/>
      <c r="N287" s="86"/>
      <c r="O287" s="121" t="str">
        <f t="shared" si="2"/>
        <v>X</v>
      </c>
      <c r="P287" s="79" t="str">
        <f t="shared" si="3"/>
        <v>#N/A</v>
      </c>
      <c r="Q287" s="123" t="str">
        <f t="shared" si="4"/>
        <v>#N/A</v>
      </c>
      <c r="R287" s="124" t="str">
        <f t="shared" si="5"/>
        <v>#N/A</v>
      </c>
      <c r="S287" s="125" t="str">
        <f t="shared" si="6"/>
        <v>#N/A</v>
      </c>
      <c r="T287" s="125" t="str">
        <f t="shared" si="7"/>
        <v>#N/A</v>
      </c>
      <c r="U287" s="83">
        <f t="shared" si="8"/>
        <v>0</v>
      </c>
      <c r="V287" s="88" t="str">
        <f>ifs($N287="",VLOOKUP($C287&amp;$F287,'MARCH - VISIT DATA'!$A$2:$J600,7,FALSE), $N287="SWAB","OUTSA-RW",$N287="SWQU","OUTSA-SaQu", AND($L287="X",$M287="X",$N287="QUEST"),"OUT-UAQPre",$N287="QUEST","OUT-UAQ", $N287="Walk in","ColUATele")</f>
        <v>#N/A</v>
      </c>
      <c r="W287" s="70" t="str">
        <f t="shared" si="9"/>
        <v>#N/A</v>
      </c>
      <c r="X287" s="64" t="str">
        <f t="shared" si="10"/>
        <v/>
      </c>
      <c r="Y287" s="64" t="str">
        <f t="shared" si="11"/>
        <v/>
      </c>
      <c r="Z287" s="66" t="str">
        <f t="shared" si="12"/>
        <v> </v>
      </c>
      <c r="AA287" s="71"/>
    </row>
    <row r="288" ht="15.75" customHeight="1">
      <c r="A288" s="56" t="str">
        <f t="shared" si="1"/>
        <v/>
      </c>
      <c r="B288" s="56" t="str">
        <f>IFS($C288=FALSE,"",$C288,VLOOKUP($C288,'PATIENT DATA (072721)'!A:C, 2, 0))</f>
        <v/>
      </c>
      <c r="C288" s="57"/>
      <c r="D288" s="127" t="str">
        <f>IF(COUNTIF('PATIENT DATA (072721)'!A:A, C288)=0, "X","✓")</f>
        <v>X</v>
      </c>
      <c r="E288" s="79"/>
      <c r="F288" s="80"/>
      <c r="G288" s="81" t="str">
        <f>ifs($C288="","",$C288, VLOOKUP($C288&amp;$F288, 'MARCH - VISIT DATA'!A:O,3,0))</f>
        <v/>
      </c>
      <c r="H288" s="83"/>
      <c r="I288" s="122" t="str">
        <f>VLOOKUP($C288&amp;$F288,'MARCH - VISIT DATA'!A:J, 9, FALSE)</f>
        <v>#N/A</v>
      </c>
      <c r="J288" s="85" t="str">
        <f>VLOOKUP(C288&amp;F288,'MARCH - VISIT DATA'!A:O,10,FALSE)</f>
        <v>#N/A</v>
      </c>
      <c r="K288" s="86"/>
      <c r="L288" s="86"/>
      <c r="M288" s="86"/>
      <c r="N288" s="86"/>
      <c r="O288" s="121" t="str">
        <f t="shared" si="2"/>
        <v>X</v>
      </c>
      <c r="P288" s="79" t="str">
        <f t="shared" si="3"/>
        <v>#N/A</v>
      </c>
      <c r="Q288" s="123" t="str">
        <f t="shared" si="4"/>
        <v>#N/A</v>
      </c>
      <c r="R288" s="124" t="str">
        <f t="shared" si="5"/>
        <v>#N/A</v>
      </c>
      <c r="S288" s="125" t="str">
        <f t="shared" si="6"/>
        <v>#N/A</v>
      </c>
      <c r="T288" s="125" t="str">
        <f t="shared" si="7"/>
        <v>#N/A</v>
      </c>
      <c r="U288" s="83">
        <f t="shared" si="8"/>
        <v>0</v>
      </c>
      <c r="V288" s="88" t="str">
        <f>ifs($N288="",VLOOKUP($C288&amp;$F288,'MARCH - VISIT DATA'!$A$2:$J600,7,FALSE), $N288="SWAB","OUTSA-RW",$N288="SWQU","OUTSA-SaQu", AND($L288="X",$M288="X",$N288="QUEST"),"OUT-UAQPre",$N288="QUEST","OUT-UAQ", $N288="Walk in","ColUATele")</f>
        <v>#N/A</v>
      </c>
      <c r="W288" s="70" t="str">
        <f t="shared" si="9"/>
        <v>#N/A</v>
      </c>
      <c r="X288" s="64" t="str">
        <f t="shared" si="10"/>
        <v/>
      </c>
      <c r="Y288" s="64" t="str">
        <f t="shared" si="11"/>
        <v/>
      </c>
      <c r="Z288" s="66" t="str">
        <f t="shared" si="12"/>
        <v> </v>
      </c>
      <c r="AA288" s="71"/>
    </row>
    <row r="289" ht="15.75" customHeight="1">
      <c r="A289" s="56" t="str">
        <f t="shared" si="1"/>
        <v/>
      </c>
      <c r="B289" s="56" t="str">
        <f>IFS($C289=FALSE,"",$C289,VLOOKUP($C289,'PATIENT DATA (072721)'!A:C, 2, 0))</f>
        <v/>
      </c>
      <c r="C289" s="57"/>
      <c r="D289" s="127" t="str">
        <f>IF(COUNTIF('PATIENT DATA (072721)'!A:A, C289)=0, "X","✓")</f>
        <v>X</v>
      </c>
      <c r="E289" s="79"/>
      <c r="F289" s="80"/>
      <c r="G289" s="81" t="str">
        <f>ifs($C289="","",$C289, VLOOKUP($C289&amp;$F289, 'MARCH - VISIT DATA'!A:O,3,0))</f>
        <v/>
      </c>
      <c r="H289" s="83"/>
      <c r="I289" s="122" t="str">
        <f>VLOOKUP($C289&amp;$F289,'MARCH - VISIT DATA'!A:J, 9, FALSE)</f>
        <v>#N/A</v>
      </c>
      <c r="J289" s="85" t="str">
        <f>VLOOKUP(C289&amp;F289,'MARCH - VISIT DATA'!A:O,10,FALSE)</f>
        <v>#N/A</v>
      </c>
      <c r="K289" s="86"/>
      <c r="L289" s="86"/>
      <c r="M289" s="86"/>
      <c r="N289" s="86"/>
      <c r="O289" s="121" t="str">
        <f t="shared" si="2"/>
        <v>X</v>
      </c>
      <c r="P289" s="79" t="str">
        <f t="shared" si="3"/>
        <v>#N/A</v>
      </c>
      <c r="Q289" s="123" t="str">
        <f t="shared" si="4"/>
        <v>#N/A</v>
      </c>
      <c r="R289" s="124" t="str">
        <f t="shared" si="5"/>
        <v>#N/A</v>
      </c>
      <c r="S289" s="125" t="str">
        <f t="shared" si="6"/>
        <v>#N/A</v>
      </c>
      <c r="T289" s="125" t="str">
        <f t="shared" si="7"/>
        <v>#N/A</v>
      </c>
      <c r="U289" s="83">
        <f t="shared" si="8"/>
        <v>0</v>
      </c>
      <c r="V289" s="88" t="str">
        <f>ifs($N289="",VLOOKUP($C289&amp;$F289,'MARCH - VISIT DATA'!$A$2:$J600,7,FALSE), $N289="SWAB","OUTSA-RW",$N289="SWQU","OUTSA-SaQu", AND($L289="X",$M289="X",$N289="QUEST"),"OUT-UAQPre",$N289="QUEST","OUT-UAQ", $N289="Walk in","ColUATele")</f>
        <v>#N/A</v>
      </c>
      <c r="W289" s="70" t="str">
        <f t="shared" si="9"/>
        <v>#N/A</v>
      </c>
      <c r="X289" s="64" t="str">
        <f t="shared" si="10"/>
        <v/>
      </c>
      <c r="Y289" s="64" t="str">
        <f t="shared" si="11"/>
        <v/>
      </c>
      <c r="Z289" s="66" t="str">
        <f t="shared" si="12"/>
        <v> </v>
      </c>
      <c r="AA289" s="71"/>
    </row>
    <row r="290" ht="15.75" customHeight="1">
      <c r="A290" s="56" t="str">
        <f t="shared" si="1"/>
        <v/>
      </c>
      <c r="B290" s="56" t="str">
        <f>IFS($C290=FALSE,"",$C290,VLOOKUP($C290,'PATIENT DATA (072721)'!A:C, 2, 0))</f>
        <v/>
      </c>
      <c r="C290" s="57"/>
      <c r="D290" s="127" t="str">
        <f>IF(COUNTIF('PATIENT DATA (072721)'!A:A, C290)=0, "X","✓")</f>
        <v>X</v>
      </c>
      <c r="E290" s="79"/>
      <c r="F290" s="80"/>
      <c r="G290" s="81" t="str">
        <f>ifs($C290="","",$C290, VLOOKUP($C290&amp;$F290, 'MARCH - VISIT DATA'!A:O,3,0))</f>
        <v/>
      </c>
      <c r="H290" s="83"/>
      <c r="I290" s="122" t="str">
        <f>VLOOKUP($C290&amp;$F290,'MARCH - VISIT DATA'!A:J, 9, FALSE)</f>
        <v>#N/A</v>
      </c>
      <c r="J290" s="85" t="str">
        <f>VLOOKUP(C290&amp;F290,'MARCH - VISIT DATA'!A:O,10,FALSE)</f>
        <v>#N/A</v>
      </c>
      <c r="K290" s="86"/>
      <c r="L290" s="86"/>
      <c r="M290" s="86"/>
      <c r="N290" s="86"/>
      <c r="O290" s="121" t="str">
        <f t="shared" si="2"/>
        <v>X</v>
      </c>
      <c r="P290" s="79" t="str">
        <f t="shared" si="3"/>
        <v>#N/A</v>
      </c>
      <c r="Q290" s="123" t="str">
        <f t="shared" si="4"/>
        <v>#N/A</v>
      </c>
      <c r="R290" s="124" t="str">
        <f t="shared" si="5"/>
        <v>#N/A</v>
      </c>
      <c r="S290" s="125" t="str">
        <f t="shared" si="6"/>
        <v>#N/A</v>
      </c>
      <c r="T290" s="125" t="str">
        <f t="shared" si="7"/>
        <v>#N/A</v>
      </c>
      <c r="U290" s="83">
        <f t="shared" si="8"/>
        <v>0</v>
      </c>
      <c r="V290" s="88" t="str">
        <f>ifs($N290="",VLOOKUP($C290&amp;$F290,'MARCH - VISIT DATA'!$A$2:$J600,7,FALSE), $N290="SWAB","OUTSA-RW",$N290="SWQU","OUTSA-SaQu", AND($L290="X",$M290="X",$N290="QUEST"),"OUT-UAQPre",$N290="QUEST","OUT-UAQ", $N290="Walk in","ColUATele")</f>
        <v>#N/A</v>
      </c>
      <c r="W290" s="70" t="str">
        <f t="shared" si="9"/>
        <v>#N/A</v>
      </c>
      <c r="X290" s="64" t="str">
        <f t="shared" si="10"/>
        <v/>
      </c>
      <c r="Y290" s="64" t="str">
        <f t="shared" si="11"/>
        <v/>
      </c>
      <c r="Z290" s="66" t="str">
        <f t="shared" si="12"/>
        <v> </v>
      </c>
      <c r="AA290" s="71"/>
    </row>
    <row r="291" ht="15.75" customHeight="1">
      <c r="A291" s="56" t="str">
        <f t="shared" si="1"/>
        <v/>
      </c>
      <c r="B291" s="56" t="str">
        <f>IFS($C291=FALSE,"",$C291,VLOOKUP($C291,'PATIENT DATA (072721)'!A:C, 2, 0))</f>
        <v/>
      </c>
      <c r="C291" s="57"/>
      <c r="D291" s="127" t="str">
        <f>IF(COUNTIF('PATIENT DATA (072721)'!A:A, C291)=0, "X","✓")</f>
        <v>X</v>
      </c>
      <c r="E291" s="79"/>
      <c r="F291" s="80"/>
      <c r="G291" s="81" t="str">
        <f>ifs($C291="","",$C291, VLOOKUP($C291&amp;$F291, 'MARCH - VISIT DATA'!A:O,3,0))</f>
        <v/>
      </c>
      <c r="H291" s="83"/>
      <c r="I291" s="122" t="str">
        <f>VLOOKUP($C291&amp;$F291,'MARCH - VISIT DATA'!A:J, 9, FALSE)</f>
        <v>#N/A</v>
      </c>
      <c r="J291" s="85" t="str">
        <f>VLOOKUP(C291&amp;F291,'MARCH - VISIT DATA'!A:O,10,FALSE)</f>
        <v>#N/A</v>
      </c>
      <c r="K291" s="86"/>
      <c r="L291" s="86"/>
      <c r="M291" s="86"/>
      <c r="N291" s="86"/>
      <c r="O291" s="121" t="str">
        <f t="shared" si="2"/>
        <v>X</v>
      </c>
      <c r="P291" s="79" t="str">
        <f t="shared" si="3"/>
        <v>#N/A</v>
      </c>
      <c r="Q291" s="123" t="str">
        <f t="shared" si="4"/>
        <v>#N/A</v>
      </c>
      <c r="R291" s="124" t="str">
        <f t="shared" si="5"/>
        <v>#N/A</v>
      </c>
      <c r="S291" s="125" t="str">
        <f t="shared" si="6"/>
        <v>#N/A</v>
      </c>
      <c r="T291" s="125" t="str">
        <f t="shared" si="7"/>
        <v>#N/A</v>
      </c>
      <c r="U291" s="83">
        <f t="shared" si="8"/>
        <v>0</v>
      </c>
      <c r="V291" s="88" t="str">
        <f>ifs($N291="",VLOOKUP($C291&amp;$F291,'MARCH - VISIT DATA'!$A$2:$J600,7,FALSE), $N291="SWAB","OUTSA-RW",$N291="SWQU","OUTSA-SaQu", AND($L291="X",$M291="X",$N291="QUEST"),"OUT-UAQPre",$N291="QUEST","OUT-UAQ", $N291="Walk in","ColUATele")</f>
        <v>#N/A</v>
      </c>
      <c r="W291" s="70" t="str">
        <f t="shared" si="9"/>
        <v>#N/A</v>
      </c>
      <c r="X291" s="64" t="str">
        <f t="shared" si="10"/>
        <v/>
      </c>
      <c r="Y291" s="64" t="str">
        <f t="shared" si="11"/>
        <v/>
      </c>
      <c r="Z291" s="66" t="str">
        <f t="shared" si="12"/>
        <v> </v>
      </c>
      <c r="AA291" s="71"/>
    </row>
    <row r="292" ht="15.75" customHeight="1">
      <c r="A292" s="56" t="str">
        <f t="shared" si="1"/>
        <v/>
      </c>
      <c r="B292" s="56" t="str">
        <f>IFS($C292=FALSE,"",$C292,VLOOKUP($C292,'PATIENT DATA (072721)'!A:C, 2, 0))</f>
        <v/>
      </c>
      <c r="C292" s="57"/>
      <c r="D292" s="127" t="str">
        <f>IF(COUNTIF('PATIENT DATA (072721)'!A:A, C292)=0, "X","✓")</f>
        <v>X</v>
      </c>
      <c r="E292" s="79"/>
      <c r="F292" s="80"/>
      <c r="G292" s="81" t="str">
        <f>ifs($C292="","",$C292, VLOOKUP($C292&amp;$F292, 'MARCH - VISIT DATA'!A:O,3,0))</f>
        <v/>
      </c>
      <c r="H292" s="83"/>
      <c r="I292" s="122" t="str">
        <f>VLOOKUP($C292&amp;$F292,'MARCH - VISIT DATA'!A:J, 9, FALSE)</f>
        <v>#N/A</v>
      </c>
      <c r="J292" s="85" t="str">
        <f>VLOOKUP(C292&amp;F292,'MARCH - VISIT DATA'!A:O,10,FALSE)</f>
        <v>#N/A</v>
      </c>
      <c r="K292" s="86"/>
      <c r="L292" s="86"/>
      <c r="M292" s="86"/>
      <c r="N292" s="86"/>
      <c r="O292" s="121" t="str">
        <f t="shared" si="2"/>
        <v>X</v>
      </c>
      <c r="P292" s="79" t="str">
        <f t="shared" si="3"/>
        <v>#N/A</v>
      </c>
      <c r="Q292" s="123" t="str">
        <f t="shared" si="4"/>
        <v>#N/A</v>
      </c>
      <c r="R292" s="124" t="str">
        <f t="shared" si="5"/>
        <v>#N/A</v>
      </c>
      <c r="S292" s="125" t="str">
        <f t="shared" si="6"/>
        <v>#N/A</v>
      </c>
      <c r="T292" s="125" t="str">
        <f t="shared" si="7"/>
        <v>#N/A</v>
      </c>
      <c r="U292" s="83">
        <f t="shared" si="8"/>
        <v>0</v>
      </c>
      <c r="V292" s="88" t="str">
        <f>ifs($N292="",VLOOKUP($C292&amp;$F292,'MARCH - VISIT DATA'!$A$2:$J600,7,FALSE), $N292="SWAB","OUTSA-RW",$N292="SWQU","OUTSA-SaQu", AND($L292="X",$M292="X",$N292="QUEST"),"OUT-UAQPre",$N292="QUEST","OUT-UAQ", $N292="Walk in","ColUATele")</f>
        <v>#N/A</v>
      </c>
      <c r="W292" s="70" t="str">
        <f t="shared" si="9"/>
        <v>#N/A</v>
      </c>
      <c r="X292" s="64" t="str">
        <f t="shared" si="10"/>
        <v/>
      </c>
      <c r="Y292" s="64" t="str">
        <f t="shared" si="11"/>
        <v/>
      </c>
      <c r="Z292" s="66" t="str">
        <f t="shared" si="12"/>
        <v> </v>
      </c>
      <c r="AA292" s="71"/>
    </row>
    <row r="293" ht="15.75" customHeight="1">
      <c r="A293" s="56" t="str">
        <f t="shared" si="1"/>
        <v/>
      </c>
      <c r="B293" s="56" t="str">
        <f>IFS($C293=FALSE,"",$C293,VLOOKUP($C293,'PATIENT DATA (072721)'!A:C, 2, 0))</f>
        <v/>
      </c>
      <c r="C293" s="57"/>
      <c r="D293" s="127" t="str">
        <f>IF(COUNTIF('PATIENT DATA (072721)'!A:A, C293)=0, "X","✓")</f>
        <v>X</v>
      </c>
      <c r="E293" s="79"/>
      <c r="F293" s="80"/>
      <c r="G293" s="81" t="str">
        <f>ifs($C293="","",$C293, VLOOKUP($C293&amp;$F293, 'MARCH - VISIT DATA'!A:O,3,0))</f>
        <v/>
      </c>
      <c r="H293" s="83"/>
      <c r="I293" s="122" t="str">
        <f>VLOOKUP($C293&amp;$F293,'MARCH - VISIT DATA'!A:J, 9, FALSE)</f>
        <v>#N/A</v>
      </c>
      <c r="J293" s="85" t="str">
        <f>VLOOKUP(C293&amp;F293,'MARCH - VISIT DATA'!A:O,10,FALSE)</f>
        <v>#N/A</v>
      </c>
      <c r="K293" s="86"/>
      <c r="L293" s="86"/>
      <c r="M293" s="86"/>
      <c r="N293" s="86"/>
      <c r="O293" s="121" t="str">
        <f t="shared" si="2"/>
        <v>X</v>
      </c>
      <c r="P293" s="79" t="str">
        <f t="shared" si="3"/>
        <v>#N/A</v>
      </c>
      <c r="Q293" s="123" t="str">
        <f t="shared" si="4"/>
        <v>#N/A</v>
      </c>
      <c r="R293" s="124" t="str">
        <f t="shared" si="5"/>
        <v>#N/A</v>
      </c>
      <c r="S293" s="125" t="str">
        <f t="shared" si="6"/>
        <v>#N/A</v>
      </c>
      <c r="T293" s="125" t="str">
        <f t="shared" si="7"/>
        <v>#N/A</v>
      </c>
      <c r="U293" s="83">
        <f t="shared" si="8"/>
        <v>0</v>
      </c>
      <c r="V293" s="88" t="str">
        <f>ifs($N293="",VLOOKUP($C293&amp;$F293,'MARCH - VISIT DATA'!$A$2:$J600,7,FALSE), $N293="SWAB","OUTSA-RW",$N293="SWQU","OUTSA-SaQu", AND($L293="X",$M293="X",$N293="QUEST"),"OUT-UAQPre",$N293="QUEST","OUT-UAQ", $N293="Walk in","ColUATele")</f>
        <v>#N/A</v>
      </c>
      <c r="W293" s="70" t="str">
        <f t="shared" si="9"/>
        <v>#N/A</v>
      </c>
      <c r="X293" s="64" t="str">
        <f t="shared" si="10"/>
        <v/>
      </c>
      <c r="Y293" s="64" t="str">
        <f t="shared" si="11"/>
        <v/>
      </c>
      <c r="Z293" s="66" t="str">
        <f t="shared" si="12"/>
        <v> </v>
      </c>
      <c r="AA293" s="71"/>
    </row>
    <row r="294" ht="15.75" customHeight="1">
      <c r="A294" s="56" t="str">
        <f t="shared" si="1"/>
        <v/>
      </c>
      <c r="B294" s="56" t="str">
        <f>IFS($C294=FALSE,"",$C294,VLOOKUP($C294,'PATIENT DATA (072721)'!A:C, 2, 0))</f>
        <v/>
      </c>
      <c r="C294" s="57"/>
      <c r="D294" s="127" t="str">
        <f>IF(COUNTIF('PATIENT DATA (072721)'!A:A, C294)=0, "X","✓")</f>
        <v>X</v>
      </c>
      <c r="E294" s="79"/>
      <c r="F294" s="80"/>
      <c r="G294" s="81" t="str">
        <f>ifs($C294="","",$C294, VLOOKUP($C294&amp;$F294, 'MARCH - VISIT DATA'!A:O,3,0))</f>
        <v/>
      </c>
      <c r="H294" s="83"/>
      <c r="I294" s="122" t="str">
        <f>VLOOKUP($C294&amp;$F294,'MARCH - VISIT DATA'!A:J, 9, FALSE)</f>
        <v>#N/A</v>
      </c>
      <c r="J294" s="85" t="str">
        <f>VLOOKUP(C294&amp;F294,'MARCH - VISIT DATA'!A:O,10,FALSE)</f>
        <v>#N/A</v>
      </c>
      <c r="K294" s="86"/>
      <c r="L294" s="86"/>
      <c r="M294" s="86"/>
      <c r="N294" s="86"/>
      <c r="O294" s="121" t="str">
        <f t="shared" si="2"/>
        <v>X</v>
      </c>
      <c r="P294" s="79" t="str">
        <f t="shared" si="3"/>
        <v>#N/A</v>
      </c>
      <c r="Q294" s="123" t="str">
        <f t="shared" si="4"/>
        <v>#N/A</v>
      </c>
      <c r="R294" s="124" t="str">
        <f t="shared" si="5"/>
        <v>#N/A</v>
      </c>
      <c r="S294" s="125" t="str">
        <f t="shared" si="6"/>
        <v>#N/A</v>
      </c>
      <c r="T294" s="125" t="str">
        <f t="shared" si="7"/>
        <v>#N/A</v>
      </c>
      <c r="U294" s="83">
        <f t="shared" si="8"/>
        <v>0</v>
      </c>
      <c r="V294" s="88" t="str">
        <f>ifs($N294="",VLOOKUP($C294&amp;$F294,'MARCH - VISIT DATA'!$A$2:$J600,7,FALSE), $N294="SWAB","OUTSA-RW",$N294="SWQU","OUTSA-SaQu", AND($L294="X",$M294="X",$N294="QUEST"),"OUT-UAQPre",$N294="QUEST","OUT-UAQ", $N294="Walk in","ColUATele")</f>
        <v>#N/A</v>
      </c>
      <c r="W294" s="70" t="str">
        <f t="shared" si="9"/>
        <v>#N/A</v>
      </c>
      <c r="X294" s="64" t="str">
        <f t="shared" si="10"/>
        <v/>
      </c>
      <c r="Y294" s="64" t="str">
        <f t="shared" si="11"/>
        <v/>
      </c>
      <c r="Z294" s="66" t="str">
        <f t="shared" si="12"/>
        <v> </v>
      </c>
      <c r="AA294" s="71"/>
    </row>
    <row r="295" ht="15.75" customHeight="1">
      <c r="A295" s="56" t="str">
        <f t="shared" si="1"/>
        <v/>
      </c>
      <c r="B295" s="56" t="str">
        <f>IFS($C295=FALSE,"",$C295,VLOOKUP($C295,'PATIENT DATA (072721)'!A:C, 2, 0))</f>
        <v/>
      </c>
      <c r="C295" s="57"/>
      <c r="D295" s="127" t="str">
        <f>IF(COUNTIF('PATIENT DATA (072721)'!A:A, C295)=0, "X","✓")</f>
        <v>X</v>
      </c>
      <c r="E295" s="79"/>
      <c r="F295" s="80"/>
      <c r="G295" s="81" t="str">
        <f>ifs($C295="","",$C295, VLOOKUP($C295&amp;$F295, 'MARCH - VISIT DATA'!A:O,3,0))</f>
        <v/>
      </c>
      <c r="H295" s="83"/>
      <c r="I295" s="122" t="str">
        <f>VLOOKUP($C295&amp;$F295,'MARCH - VISIT DATA'!A:J, 9, FALSE)</f>
        <v>#N/A</v>
      </c>
      <c r="J295" s="85" t="str">
        <f>VLOOKUP(C295&amp;F295,'MARCH - VISIT DATA'!A:O,10,FALSE)</f>
        <v>#N/A</v>
      </c>
      <c r="K295" s="86"/>
      <c r="L295" s="86"/>
      <c r="M295" s="86"/>
      <c r="N295" s="86"/>
      <c r="O295" s="121" t="str">
        <f t="shared" si="2"/>
        <v>X</v>
      </c>
      <c r="P295" s="79" t="str">
        <f t="shared" si="3"/>
        <v>#N/A</v>
      </c>
      <c r="Q295" s="123" t="str">
        <f t="shared" si="4"/>
        <v>#N/A</v>
      </c>
      <c r="R295" s="124" t="str">
        <f t="shared" si="5"/>
        <v>#N/A</v>
      </c>
      <c r="S295" s="125" t="str">
        <f t="shared" si="6"/>
        <v>#N/A</v>
      </c>
      <c r="T295" s="125" t="str">
        <f t="shared" si="7"/>
        <v>#N/A</v>
      </c>
      <c r="U295" s="83">
        <f t="shared" si="8"/>
        <v>0</v>
      </c>
      <c r="V295" s="88" t="str">
        <f>ifs($N295="",VLOOKUP($C295&amp;$F295,'MARCH - VISIT DATA'!$A$2:$J600,7,FALSE), $N295="SWAB","OUTSA-RW",$N295="SWQU","OUTSA-SaQu", AND($L295="X",$M295="X",$N295="QUEST"),"OUT-UAQPre",$N295="QUEST","OUT-UAQ", $N295="Walk in","ColUATele")</f>
        <v>#N/A</v>
      </c>
      <c r="W295" s="70" t="str">
        <f t="shared" si="9"/>
        <v>#N/A</v>
      </c>
      <c r="X295" s="64" t="str">
        <f t="shared" si="10"/>
        <v/>
      </c>
      <c r="Y295" s="64" t="str">
        <f t="shared" si="11"/>
        <v/>
      </c>
      <c r="Z295" s="66" t="str">
        <f t="shared" si="12"/>
        <v> </v>
      </c>
      <c r="AA295" s="71"/>
    </row>
    <row r="296" ht="15.75" customHeight="1">
      <c r="A296" s="56" t="str">
        <f t="shared" si="1"/>
        <v/>
      </c>
      <c r="B296" s="56" t="str">
        <f>IFS($C296=FALSE,"",$C296,VLOOKUP($C296,'PATIENT DATA (072721)'!A:C, 2, 0))</f>
        <v/>
      </c>
      <c r="C296" s="57"/>
      <c r="D296" s="127" t="str">
        <f>IF(COUNTIF('PATIENT DATA (072721)'!A:A, C296)=0, "X","✓")</f>
        <v>X</v>
      </c>
      <c r="E296" s="79"/>
      <c r="F296" s="80"/>
      <c r="G296" s="81" t="str">
        <f>ifs($C296="","",$C296, VLOOKUP($C296&amp;$F296, 'MARCH - VISIT DATA'!A:O,3,0))</f>
        <v/>
      </c>
      <c r="H296" s="83"/>
      <c r="I296" s="122" t="str">
        <f>VLOOKUP($C296&amp;$F296,'MARCH - VISIT DATA'!A:J, 9, FALSE)</f>
        <v>#N/A</v>
      </c>
      <c r="J296" s="85" t="str">
        <f>VLOOKUP(C296&amp;F296,'MARCH - VISIT DATA'!A:O,10,FALSE)</f>
        <v>#N/A</v>
      </c>
      <c r="K296" s="86"/>
      <c r="L296" s="86"/>
      <c r="M296" s="86"/>
      <c r="N296" s="86"/>
      <c r="O296" s="121" t="str">
        <f t="shared" si="2"/>
        <v>X</v>
      </c>
      <c r="P296" s="79" t="str">
        <f t="shared" si="3"/>
        <v>#N/A</v>
      </c>
      <c r="Q296" s="123" t="str">
        <f t="shared" si="4"/>
        <v>#N/A</v>
      </c>
      <c r="R296" s="124" t="str">
        <f t="shared" si="5"/>
        <v>#N/A</v>
      </c>
      <c r="S296" s="125" t="str">
        <f t="shared" si="6"/>
        <v>#N/A</v>
      </c>
      <c r="T296" s="125" t="str">
        <f t="shared" si="7"/>
        <v>#N/A</v>
      </c>
      <c r="U296" s="83">
        <f t="shared" si="8"/>
        <v>0</v>
      </c>
      <c r="V296" s="88" t="str">
        <f>ifs($N296="",VLOOKUP($C296&amp;$F296,'MARCH - VISIT DATA'!$A$2:$J600,7,FALSE), $N296="SWAB","OUTSA-RW",$N296="SWQU","OUTSA-SaQu", AND($L296="X",$M296="X",$N296="QUEST"),"OUT-UAQPre",$N296="QUEST","OUT-UAQ", $N296="Walk in","ColUATele")</f>
        <v>#N/A</v>
      </c>
      <c r="W296" s="70" t="str">
        <f t="shared" si="9"/>
        <v>#N/A</v>
      </c>
      <c r="X296" s="64" t="str">
        <f t="shared" si="10"/>
        <v/>
      </c>
      <c r="Y296" s="64" t="str">
        <f t="shared" si="11"/>
        <v/>
      </c>
      <c r="Z296" s="66" t="str">
        <f t="shared" si="12"/>
        <v> </v>
      </c>
      <c r="AA296" s="71"/>
    </row>
    <row r="297" ht="15.75" customHeight="1">
      <c r="A297" s="56" t="str">
        <f t="shared" si="1"/>
        <v/>
      </c>
      <c r="B297" s="56" t="str">
        <f>IFS($C297=FALSE,"",$C297,VLOOKUP($C297,'PATIENT DATA (072721)'!A:C, 2, 0))</f>
        <v/>
      </c>
      <c r="C297" s="57"/>
      <c r="D297" s="127" t="str">
        <f>IF(COUNTIF('PATIENT DATA (072721)'!A:A, C297)=0, "X","✓")</f>
        <v>X</v>
      </c>
      <c r="E297" s="79"/>
      <c r="F297" s="80"/>
      <c r="G297" s="81" t="str">
        <f>ifs($C297="","",$C297, VLOOKUP($C297&amp;$F297, 'MARCH - VISIT DATA'!A:O,3,0))</f>
        <v/>
      </c>
      <c r="H297" s="83"/>
      <c r="I297" s="122" t="str">
        <f>VLOOKUP($C297&amp;$F297,'MARCH - VISIT DATA'!A:J, 9, FALSE)</f>
        <v>#N/A</v>
      </c>
      <c r="J297" s="85" t="str">
        <f>VLOOKUP(C297&amp;F297,'MARCH - VISIT DATA'!A:O,10,FALSE)</f>
        <v>#N/A</v>
      </c>
      <c r="K297" s="86"/>
      <c r="L297" s="86"/>
      <c r="M297" s="86"/>
      <c r="N297" s="86"/>
      <c r="O297" s="121" t="str">
        <f t="shared" si="2"/>
        <v>X</v>
      </c>
      <c r="P297" s="79" t="str">
        <f t="shared" si="3"/>
        <v>#N/A</v>
      </c>
      <c r="Q297" s="123" t="str">
        <f t="shared" si="4"/>
        <v>#N/A</v>
      </c>
      <c r="R297" s="124" t="str">
        <f t="shared" si="5"/>
        <v>#N/A</v>
      </c>
      <c r="S297" s="125" t="str">
        <f t="shared" si="6"/>
        <v>#N/A</v>
      </c>
      <c r="T297" s="125" t="str">
        <f t="shared" si="7"/>
        <v>#N/A</v>
      </c>
      <c r="U297" s="83">
        <f t="shared" si="8"/>
        <v>0</v>
      </c>
      <c r="V297" s="88" t="str">
        <f>ifs($N297="",VLOOKUP($C297&amp;$F297,'MARCH - VISIT DATA'!$A$2:$J600,7,FALSE), $N297="SWAB","OUTSA-RW",$N297="SWQU","OUTSA-SaQu", AND($L297="X",$M297="X",$N297="QUEST"),"OUT-UAQPre",$N297="QUEST","OUT-UAQ", $N297="Walk in","ColUATele")</f>
        <v>#N/A</v>
      </c>
      <c r="W297" s="70" t="str">
        <f t="shared" si="9"/>
        <v>#N/A</v>
      </c>
      <c r="X297" s="64" t="str">
        <f t="shared" si="10"/>
        <v/>
      </c>
      <c r="Y297" s="64" t="str">
        <f t="shared" si="11"/>
        <v/>
      </c>
      <c r="Z297" s="66" t="str">
        <f t="shared" si="12"/>
        <v> </v>
      </c>
      <c r="AA297" s="71"/>
    </row>
    <row r="298" ht="15.75" customHeight="1">
      <c r="A298" s="56" t="str">
        <f t="shared" si="1"/>
        <v/>
      </c>
      <c r="B298" s="56" t="str">
        <f>IFS($C298=FALSE,"",$C298,VLOOKUP($C298,'PATIENT DATA (072721)'!A:C, 2, 0))</f>
        <v/>
      </c>
      <c r="C298" s="57"/>
      <c r="D298" s="127" t="str">
        <f>IF(COUNTIF('PATIENT DATA (072721)'!A:A, C298)=0, "X","✓")</f>
        <v>X</v>
      </c>
      <c r="E298" s="79"/>
      <c r="F298" s="80"/>
      <c r="G298" s="81" t="str">
        <f>ifs($C298="","",$C298, VLOOKUP($C298&amp;$F298, 'MARCH - VISIT DATA'!A:O,3,0))</f>
        <v/>
      </c>
      <c r="H298" s="83"/>
      <c r="I298" s="122" t="str">
        <f>VLOOKUP($C298&amp;$F298,'MARCH - VISIT DATA'!A:J, 9, FALSE)</f>
        <v>#N/A</v>
      </c>
      <c r="J298" s="85" t="str">
        <f>VLOOKUP(C298&amp;F298,'MARCH - VISIT DATA'!A:O,10,FALSE)</f>
        <v>#N/A</v>
      </c>
      <c r="K298" s="86"/>
      <c r="L298" s="86"/>
      <c r="M298" s="86"/>
      <c r="N298" s="86"/>
      <c r="O298" s="121" t="str">
        <f t="shared" si="2"/>
        <v>X</v>
      </c>
      <c r="P298" s="79" t="str">
        <f t="shared" si="3"/>
        <v>#N/A</v>
      </c>
      <c r="Q298" s="123" t="str">
        <f t="shared" si="4"/>
        <v>#N/A</v>
      </c>
      <c r="R298" s="124" t="str">
        <f t="shared" si="5"/>
        <v>#N/A</v>
      </c>
      <c r="S298" s="125" t="str">
        <f t="shared" si="6"/>
        <v>#N/A</v>
      </c>
      <c r="T298" s="125" t="str">
        <f t="shared" si="7"/>
        <v>#N/A</v>
      </c>
      <c r="U298" s="83">
        <f t="shared" si="8"/>
        <v>0</v>
      </c>
      <c r="V298" s="88" t="str">
        <f>ifs($N298="",VLOOKUP($C298&amp;$F298,'MARCH - VISIT DATA'!$A$2:$J600,7,FALSE), $N298="SWAB","OUTSA-RW",$N298="SWQU","OUTSA-SaQu", AND($L298="X",$M298="X",$N298="QUEST"),"OUT-UAQPre",$N298="QUEST","OUT-UAQ", $N298="Walk in","ColUATele")</f>
        <v>#N/A</v>
      </c>
      <c r="W298" s="70" t="str">
        <f t="shared" si="9"/>
        <v>#N/A</v>
      </c>
      <c r="X298" s="64" t="str">
        <f t="shared" si="10"/>
        <v/>
      </c>
      <c r="Y298" s="64" t="str">
        <f t="shared" si="11"/>
        <v/>
      </c>
      <c r="Z298" s="66" t="str">
        <f t="shared" si="12"/>
        <v> </v>
      </c>
      <c r="AA298" s="71"/>
    </row>
    <row r="299" ht="15.75" customHeight="1">
      <c r="A299" s="56" t="str">
        <f t="shared" si="1"/>
        <v/>
      </c>
      <c r="B299" s="56" t="str">
        <f>IFS($C299=FALSE,"",$C299,VLOOKUP($C299,'PATIENT DATA (072721)'!A:C, 2, 0))</f>
        <v/>
      </c>
      <c r="C299" s="57"/>
      <c r="D299" s="127" t="str">
        <f>IF(COUNTIF('PATIENT DATA (072721)'!A:A, C299)=0, "X","✓")</f>
        <v>X</v>
      </c>
      <c r="E299" s="79"/>
      <c r="F299" s="80"/>
      <c r="G299" s="81" t="str">
        <f>ifs($C299="","",$C299, VLOOKUP($C299&amp;$F299, 'MARCH - VISIT DATA'!A:O,3,0))</f>
        <v/>
      </c>
      <c r="H299" s="83"/>
      <c r="I299" s="122" t="str">
        <f>VLOOKUP($C299&amp;$F299,'MARCH - VISIT DATA'!A:J, 9, FALSE)</f>
        <v>#N/A</v>
      </c>
      <c r="J299" s="85" t="str">
        <f>VLOOKUP(C299&amp;F299,'MARCH - VISIT DATA'!A:O,10,FALSE)</f>
        <v>#N/A</v>
      </c>
      <c r="K299" s="86"/>
      <c r="L299" s="86"/>
      <c r="M299" s="86"/>
      <c r="N299" s="86"/>
      <c r="O299" s="121" t="str">
        <f t="shared" si="2"/>
        <v>X</v>
      </c>
      <c r="P299" s="79" t="str">
        <f t="shared" si="3"/>
        <v>#N/A</v>
      </c>
      <c r="Q299" s="123" t="str">
        <f t="shared" si="4"/>
        <v>#N/A</v>
      </c>
      <c r="R299" s="124" t="str">
        <f t="shared" si="5"/>
        <v>#N/A</v>
      </c>
      <c r="S299" s="125" t="str">
        <f t="shared" si="6"/>
        <v>#N/A</v>
      </c>
      <c r="T299" s="125" t="str">
        <f t="shared" si="7"/>
        <v>#N/A</v>
      </c>
      <c r="U299" s="83">
        <f t="shared" si="8"/>
        <v>0</v>
      </c>
      <c r="V299" s="88" t="str">
        <f>ifs($N299="",VLOOKUP($C299&amp;$F299,'MARCH - VISIT DATA'!$A$2:$J600,7,FALSE), $N299="SWAB","OUTSA-RW",$N299="SWQU","OUTSA-SaQu", AND($L299="X",$M299="X",$N299="QUEST"),"OUT-UAQPre",$N299="QUEST","OUT-UAQ", $N299="Walk in","ColUATele")</f>
        <v>#N/A</v>
      </c>
      <c r="W299" s="70" t="str">
        <f t="shared" si="9"/>
        <v>#N/A</v>
      </c>
      <c r="X299" s="64" t="str">
        <f t="shared" si="10"/>
        <v/>
      </c>
      <c r="Y299" s="64" t="str">
        <f t="shared" si="11"/>
        <v/>
      </c>
      <c r="Z299" s="66" t="str">
        <f t="shared" si="12"/>
        <v> </v>
      </c>
      <c r="AA299" s="71"/>
    </row>
    <row r="300" ht="15.75" customHeight="1">
      <c r="A300" s="56" t="str">
        <f t="shared" si="1"/>
        <v/>
      </c>
      <c r="B300" s="56" t="str">
        <f>IFS($C300=FALSE,"",$C300,VLOOKUP($C300,'PATIENT DATA (072721)'!A:C, 2, 0))</f>
        <v/>
      </c>
      <c r="C300" s="57"/>
      <c r="D300" s="127" t="str">
        <f>IF(COUNTIF('PATIENT DATA (072721)'!A:A, C300)=0, "X","✓")</f>
        <v>X</v>
      </c>
      <c r="E300" s="79"/>
      <c r="F300" s="80"/>
      <c r="G300" s="81" t="str">
        <f>ifs($C300="","",$C300, VLOOKUP($C300&amp;$F300, 'MARCH - VISIT DATA'!A:O,3,0))</f>
        <v/>
      </c>
      <c r="H300" s="83"/>
      <c r="I300" s="122" t="str">
        <f>VLOOKUP($C300&amp;$F300,'MARCH - VISIT DATA'!A:J, 9, FALSE)</f>
        <v>#N/A</v>
      </c>
      <c r="J300" s="85" t="str">
        <f>VLOOKUP(C300&amp;F300,'MARCH - VISIT DATA'!A:O,10,FALSE)</f>
        <v>#N/A</v>
      </c>
      <c r="K300" s="86"/>
      <c r="L300" s="86"/>
      <c r="M300" s="86"/>
      <c r="N300" s="86"/>
      <c r="O300" s="121" t="str">
        <f t="shared" si="2"/>
        <v>X</v>
      </c>
      <c r="P300" s="79" t="str">
        <f t="shared" si="3"/>
        <v>#N/A</v>
      </c>
      <c r="Q300" s="123" t="str">
        <f t="shared" si="4"/>
        <v>#N/A</v>
      </c>
      <c r="R300" s="124" t="str">
        <f t="shared" si="5"/>
        <v>#N/A</v>
      </c>
      <c r="S300" s="125" t="str">
        <f t="shared" si="6"/>
        <v>#N/A</v>
      </c>
      <c r="T300" s="125" t="str">
        <f t="shared" si="7"/>
        <v>#N/A</v>
      </c>
      <c r="U300" s="83">
        <f t="shared" si="8"/>
        <v>0</v>
      </c>
      <c r="V300" s="88" t="str">
        <f>ifs($N300="",VLOOKUP($C300&amp;$F300,'MARCH - VISIT DATA'!$A$2:$J600,7,FALSE), $N300="SWAB","OUTSA-RW",$N300="SWQU","OUTSA-SaQu", AND($L300="X",$M300="X",$N300="QUEST"),"OUT-UAQPre",$N300="QUEST","OUT-UAQ", $N300="Walk in","ColUATele")</f>
        <v>#N/A</v>
      </c>
      <c r="W300" s="70" t="str">
        <f t="shared" si="9"/>
        <v>#N/A</v>
      </c>
      <c r="X300" s="64" t="str">
        <f t="shared" si="10"/>
        <v/>
      </c>
      <c r="Y300" s="64" t="str">
        <f t="shared" si="11"/>
        <v/>
      </c>
      <c r="Z300" s="66" t="str">
        <f t="shared" si="12"/>
        <v> </v>
      </c>
      <c r="AA300" s="71"/>
    </row>
    <row r="301" ht="15.75" customHeight="1">
      <c r="A301" s="56" t="str">
        <f t="shared" si="1"/>
        <v/>
      </c>
      <c r="B301" s="56" t="str">
        <f>IFS($C301=FALSE,"",$C301,VLOOKUP($C301,'PATIENT DATA (072721)'!A:C, 2, 0))</f>
        <v/>
      </c>
      <c r="C301" s="57"/>
      <c r="D301" s="127" t="str">
        <f>IF(COUNTIF('PATIENT DATA (072721)'!A:A, C301)=0, "X","✓")</f>
        <v>X</v>
      </c>
      <c r="E301" s="79"/>
      <c r="F301" s="80"/>
      <c r="G301" s="81" t="str">
        <f>ifs($C301="","",$C301, VLOOKUP($C301&amp;$F301, 'MARCH - VISIT DATA'!A:O,3,0))</f>
        <v/>
      </c>
      <c r="H301" s="83"/>
      <c r="I301" s="122" t="str">
        <f>VLOOKUP($C301&amp;$F301,'MARCH - VISIT DATA'!A:J, 9, FALSE)</f>
        <v>#N/A</v>
      </c>
      <c r="J301" s="85" t="str">
        <f>VLOOKUP(C301&amp;F301,'MARCH - VISIT DATA'!A:O,10,FALSE)</f>
        <v>#N/A</v>
      </c>
      <c r="K301" s="86"/>
      <c r="L301" s="86"/>
      <c r="M301" s="86"/>
      <c r="N301" s="86"/>
      <c r="O301" s="121" t="str">
        <f t="shared" si="2"/>
        <v>X</v>
      </c>
      <c r="P301" s="79" t="str">
        <f t="shared" si="3"/>
        <v>#N/A</v>
      </c>
      <c r="Q301" s="123" t="str">
        <f t="shared" si="4"/>
        <v>#N/A</v>
      </c>
      <c r="R301" s="124" t="str">
        <f t="shared" si="5"/>
        <v>#N/A</v>
      </c>
      <c r="S301" s="125" t="str">
        <f t="shared" si="6"/>
        <v>#N/A</v>
      </c>
      <c r="T301" s="125" t="str">
        <f t="shared" si="7"/>
        <v>#N/A</v>
      </c>
      <c r="U301" s="83">
        <f t="shared" si="8"/>
        <v>0</v>
      </c>
      <c r="V301" s="88" t="str">
        <f>ifs($N301="",VLOOKUP($C301&amp;$F301,'MARCH - VISIT DATA'!$A$2:$J600,7,FALSE), $N301="SWAB","OUTSA-RW",$N301="SWQU","OUTSA-SaQu", AND($L301="X",$M301="X",$N301="QUEST"),"OUT-UAQPre",$N301="QUEST","OUT-UAQ", $N301="Walk in","ColUATele")</f>
        <v>#N/A</v>
      </c>
      <c r="W301" s="70" t="str">
        <f t="shared" si="9"/>
        <v>#N/A</v>
      </c>
      <c r="X301" s="64" t="str">
        <f t="shared" si="10"/>
        <v/>
      </c>
      <c r="Y301" s="64" t="str">
        <f t="shared" si="11"/>
        <v/>
      </c>
      <c r="Z301" s="66" t="str">
        <f t="shared" si="12"/>
        <v> </v>
      </c>
      <c r="AA301" s="71"/>
    </row>
    <row r="302" ht="15.75" customHeight="1">
      <c r="A302" s="56" t="str">
        <f t="shared" si="1"/>
        <v/>
      </c>
      <c r="B302" s="56" t="str">
        <f>IFS($C302=FALSE,"",$C302,VLOOKUP($C302,'PATIENT DATA (072721)'!A:C, 2, 0))</f>
        <v/>
      </c>
      <c r="C302" s="57"/>
      <c r="D302" s="127" t="str">
        <f>IF(COUNTIF('PATIENT DATA (072721)'!A:A, C302)=0, "X","✓")</f>
        <v>X</v>
      </c>
      <c r="E302" s="79"/>
      <c r="F302" s="80"/>
      <c r="G302" s="81" t="str">
        <f>ifs($C302="","",$C302, VLOOKUP($C302&amp;$F302, 'MARCH - VISIT DATA'!A:O,3,0))</f>
        <v/>
      </c>
      <c r="H302" s="83"/>
      <c r="I302" s="122" t="str">
        <f>VLOOKUP($C302&amp;$F302,'MARCH - VISIT DATA'!A:J, 9, FALSE)</f>
        <v>#N/A</v>
      </c>
      <c r="J302" s="85" t="str">
        <f>VLOOKUP(C302&amp;F302,'MARCH - VISIT DATA'!A:O,10,FALSE)</f>
        <v>#N/A</v>
      </c>
      <c r="K302" s="86"/>
      <c r="L302" s="86"/>
      <c r="M302" s="86"/>
      <c r="N302" s="86"/>
      <c r="O302" s="121" t="str">
        <f t="shared" si="2"/>
        <v>X</v>
      </c>
      <c r="P302" s="79" t="str">
        <f t="shared" si="3"/>
        <v>#N/A</v>
      </c>
      <c r="Q302" s="123" t="str">
        <f t="shared" si="4"/>
        <v>#N/A</v>
      </c>
      <c r="R302" s="124" t="str">
        <f t="shared" si="5"/>
        <v>#N/A</v>
      </c>
      <c r="S302" s="125" t="str">
        <f t="shared" si="6"/>
        <v>#N/A</v>
      </c>
      <c r="T302" s="125" t="str">
        <f t="shared" si="7"/>
        <v>#N/A</v>
      </c>
      <c r="U302" s="83">
        <f t="shared" si="8"/>
        <v>0</v>
      </c>
      <c r="V302" s="88" t="str">
        <f>ifs($N302="",VLOOKUP($C302&amp;$F302,'MARCH - VISIT DATA'!$A$2:$J600,7,FALSE), $N302="SWAB","OUTSA-RW",$N302="SWQU","OUTSA-SaQu", AND($L302="X",$M302="X",$N302="QUEST"),"OUT-UAQPre",$N302="QUEST","OUT-UAQ", $N302="Walk in","ColUATele")</f>
        <v>#N/A</v>
      </c>
      <c r="W302" s="70" t="str">
        <f t="shared" si="9"/>
        <v>#N/A</v>
      </c>
      <c r="X302" s="64" t="str">
        <f t="shared" si="10"/>
        <v/>
      </c>
      <c r="Y302" s="64" t="str">
        <f t="shared" si="11"/>
        <v/>
      </c>
      <c r="Z302" s="66" t="str">
        <f t="shared" si="12"/>
        <v> </v>
      </c>
      <c r="AA302" s="71"/>
    </row>
    <row r="303" ht="15.75" customHeight="1">
      <c r="A303" s="56" t="str">
        <f t="shared" si="1"/>
        <v/>
      </c>
      <c r="B303" s="56" t="str">
        <f>IFS($C303=FALSE,"",$C303,VLOOKUP($C303,'PATIENT DATA (072721)'!A:C, 2, 0))</f>
        <v/>
      </c>
      <c r="C303" s="57"/>
      <c r="D303" s="127" t="str">
        <f>IF(COUNTIF('PATIENT DATA (072721)'!A:A, C303)=0, "X","✓")</f>
        <v>X</v>
      </c>
      <c r="E303" s="79"/>
      <c r="F303" s="80"/>
      <c r="G303" s="81" t="str">
        <f>ifs($C303="","",$C303, VLOOKUP($C303&amp;$F303, 'MARCH - VISIT DATA'!A:O,3,0))</f>
        <v/>
      </c>
      <c r="H303" s="83"/>
      <c r="I303" s="122" t="str">
        <f>VLOOKUP($C303&amp;$F303,'MARCH - VISIT DATA'!A:J, 9, FALSE)</f>
        <v>#N/A</v>
      </c>
      <c r="J303" s="85" t="str">
        <f>VLOOKUP(C303&amp;F303,'MARCH - VISIT DATA'!A:O,10,FALSE)</f>
        <v>#N/A</v>
      </c>
      <c r="K303" s="86"/>
      <c r="L303" s="86"/>
      <c r="M303" s="86"/>
      <c r="N303" s="86"/>
      <c r="O303" s="121" t="str">
        <f t="shared" si="2"/>
        <v>X</v>
      </c>
      <c r="P303" s="79" t="str">
        <f t="shared" si="3"/>
        <v>#N/A</v>
      </c>
      <c r="Q303" s="123" t="str">
        <f t="shared" si="4"/>
        <v>#N/A</v>
      </c>
      <c r="R303" s="124" t="str">
        <f t="shared" si="5"/>
        <v>#N/A</v>
      </c>
      <c r="S303" s="125" t="str">
        <f t="shared" si="6"/>
        <v>#N/A</v>
      </c>
      <c r="T303" s="125" t="str">
        <f t="shared" si="7"/>
        <v>#N/A</v>
      </c>
      <c r="U303" s="83">
        <f t="shared" si="8"/>
        <v>0</v>
      </c>
      <c r="V303" s="88" t="str">
        <f>ifs($N303="",VLOOKUP($C303&amp;$F303,'MARCH - VISIT DATA'!$A$2:$J600,7,FALSE), $N303="SWAB","OUTSA-RW",$N303="SWQU","OUTSA-SaQu", AND($L303="X",$M303="X",$N303="QUEST"),"OUT-UAQPre",$N303="QUEST","OUT-UAQ", $N303="Walk in","ColUATele")</f>
        <v>#N/A</v>
      </c>
      <c r="W303" s="70" t="str">
        <f t="shared" si="9"/>
        <v>#N/A</v>
      </c>
      <c r="X303" s="64" t="str">
        <f t="shared" si="10"/>
        <v/>
      </c>
      <c r="Y303" s="64" t="str">
        <f t="shared" si="11"/>
        <v/>
      </c>
      <c r="Z303" s="66" t="str">
        <f t="shared" si="12"/>
        <v> </v>
      </c>
      <c r="AA303" s="71"/>
    </row>
    <row r="304" ht="15.75" customHeight="1">
      <c r="A304" s="56" t="str">
        <f t="shared" si="1"/>
        <v/>
      </c>
      <c r="B304" s="56" t="str">
        <f>IFS($C304=FALSE,"",$C304,VLOOKUP($C304,'PATIENT DATA (072721)'!A:C, 2, 0))</f>
        <v/>
      </c>
      <c r="C304" s="57"/>
      <c r="D304" s="127" t="str">
        <f>IF(COUNTIF('PATIENT DATA (072721)'!A:A, C304)=0, "X","✓")</f>
        <v>X</v>
      </c>
      <c r="E304" s="79"/>
      <c r="F304" s="80"/>
      <c r="G304" s="81" t="str">
        <f>ifs($C304="","",$C304, VLOOKUP($C304&amp;$F304, 'MARCH - VISIT DATA'!A:O,3,0))</f>
        <v/>
      </c>
      <c r="H304" s="83"/>
      <c r="I304" s="122" t="str">
        <f>VLOOKUP($C304&amp;$F304,'MARCH - VISIT DATA'!A:J, 9, FALSE)</f>
        <v>#N/A</v>
      </c>
      <c r="J304" s="85" t="str">
        <f>VLOOKUP(C304&amp;F304,'MARCH - VISIT DATA'!A:O,10,FALSE)</f>
        <v>#N/A</v>
      </c>
      <c r="K304" s="86"/>
      <c r="L304" s="86"/>
      <c r="M304" s="86"/>
      <c r="N304" s="86"/>
      <c r="O304" s="121" t="str">
        <f t="shared" si="2"/>
        <v>X</v>
      </c>
      <c r="P304" s="79" t="str">
        <f t="shared" si="3"/>
        <v>#N/A</v>
      </c>
      <c r="Q304" s="123" t="str">
        <f t="shared" si="4"/>
        <v>#N/A</v>
      </c>
      <c r="R304" s="124" t="str">
        <f t="shared" si="5"/>
        <v>#N/A</v>
      </c>
      <c r="S304" s="125" t="str">
        <f t="shared" si="6"/>
        <v>#N/A</v>
      </c>
      <c r="T304" s="125" t="str">
        <f t="shared" si="7"/>
        <v>#N/A</v>
      </c>
      <c r="U304" s="83">
        <f t="shared" si="8"/>
        <v>0</v>
      </c>
      <c r="V304" s="88" t="str">
        <f>ifs($N304="",VLOOKUP($C304&amp;$F304,'MARCH - VISIT DATA'!$A$2:$J600,7,FALSE), $N304="SWAB","OUTSA-RW",$N304="SWQU","OUTSA-SaQu", AND($L304="X",$M304="X",$N304="QUEST"),"OUT-UAQPre",$N304="QUEST","OUT-UAQ", $N304="Walk in","ColUATele")</f>
        <v>#N/A</v>
      </c>
      <c r="W304" s="70" t="str">
        <f t="shared" si="9"/>
        <v>#N/A</v>
      </c>
      <c r="X304" s="64" t="str">
        <f t="shared" si="10"/>
        <v/>
      </c>
      <c r="Y304" s="64" t="str">
        <f t="shared" si="11"/>
        <v/>
      </c>
      <c r="Z304" s="66" t="str">
        <f t="shared" si="12"/>
        <v> </v>
      </c>
      <c r="AA304" s="71"/>
    </row>
    <row r="305" ht="15.75" customHeight="1">
      <c r="A305" s="56" t="str">
        <f t="shared" si="1"/>
        <v/>
      </c>
      <c r="B305" s="56" t="str">
        <f>IFS($C305=FALSE,"",$C305,VLOOKUP($C305,'PATIENT DATA (072721)'!A:C, 2, 0))</f>
        <v/>
      </c>
      <c r="C305" s="57"/>
      <c r="D305" s="127" t="str">
        <f>IF(COUNTIF('PATIENT DATA (072721)'!A:A, C305)=0, "X","✓")</f>
        <v>X</v>
      </c>
      <c r="E305" s="79"/>
      <c r="F305" s="80"/>
      <c r="G305" s="81" t="str">
        <f>ifs($C305="","",$C305, VLOOKUP($C305&amp;$F305, 'MARCH - VISIT DATA'!A:O,3,0))</f>
        <v/>
      </c>
      <c r="H305" s="83"/>
      <c r="I305" s="122" t="str">
        <f>VLOOKUP($C305&amp;$F305,'MARCH - VISIT DATA'!A:J, 9, FALSE)</f>
        <v>#N/A</v>
      </c>
      <c r="J305" s="85" t="str">
        <f>VLOOKUP(C305&amp;F305,'MARCH - VISIT DATA'!A:O,10,FALSE)</f>
        <v>#N/A</v>
      </c>
      <c r="K305" s="86"/>
      <c r="L305" s="86"/>
      <c r="M305" s="86"/>
      <c r="N305" s="86"/>
      <c r="O305" s="121" t="str">
        <f t="shared" si="2"/>
        <v>X</v>
      </c>
      <c r="P305" s="79" t="str">
        <f t="shared" si="3"/>
        <v>#N/A</v>
      </c>
      <c r="Q305" s="123" t="str">
        <f t="shared" si="4"/>
        <v>#N/A</v>
      </c>
      <c r="R305" s="124" t="str">
        <f t="shared" si="5"/>
        <v>#N/A</v>
      </c>
      <c r="S305" s="125" t="str">
        <f t="shared" si="6"/>
        <v>#N/A</v>
      </c>
      <c r="T305" s="125" t="str">
        <f t="shared" si="7"/>
        <v>#N/A</v>
      </c>
      <c r="U305" s="83">
        <f t="shared" si="8"/>
        <v>0</v>
      </c>
      <c r="V305" s="88" t="str">
        <f>ifs($N305="",VLOOKUP($C305&amp;$F305,'MARCH - VISIT DATA'!$A$2:$J600,7,FALSE), $N305="SWAB","OUTSA-RW",$N305="SWQU","OUTSA-SaQu", AND($L305="X",$M305="X",$N305="QUEST"),"OUT-UAQPre",$N305="QUEST","OUT-UAQ", $N305="Walk in","ColUATele")</f>
        <v>#N/A</v>
      </c>
      <c r="W305" s="70" t="str">
        <f t="shared" si="9"/>
        <v>#N/A</v>
      </c>
      <c r="X305" s="64" t="str">
        <f t="shared" si="10"/>
        <v/>
      </c>
      <c r="Y305" s="64" t="str">
        <f t="shared" si="11"/>
        <v/>
      </c>
      <c r="Z305" s="66" t="str">
        <f t="shared" si="12"/>
        <v> </v>
      </c>
      <c r="AA305" s="71"/>
    </row>
    <row r="306" ht="15.75" customHeight="1">
      <c r="A306" s="56" t="str">
        <f t="shared" si="1"/>
        <v/>
      </c>
      <c r="B306" s="56" t="str">
        <f>IFS($C306=FALSE,"",$C306,VLOOKUP($C306,'PATIENT DATA (072721)'!A:C, 2, 0))</f>
        <v/>
      </c>
      <c r="C306" s="57"/>
      <c r="D306" s="127" t="str">
        <f>IF(COUNTIF('PATIENT DATA (072721)'!A:A, C306)=0, "X","✓")</f>
        <v>X</v>
      </c>
      <c r="E306" s="79"/>
      <c r="F306" s="80"/>
      <c r="G306" s="81" t="str">
        <f>ifs($C306="","",$C306, VLOOKUP($C306&amp;$F306, 'MARCH - VISIT DATA'!A:O,3,0))</f>
        <v/>
      </c>
      <c r="H306" s="83"/>
      <c r="I306" s="122" t="str">
        <f>VLOOKUP($C306&amp;$F306,'MARCH - VISIT DATA'!A:J, 9, FALSE)</f>
        <v>#N/A</v>
      </c>
      <c r="J306" s="85" t="str">
        <f>VLOOKUP(C306&amp;F306,'MARCH - VISIT DATA'!A:O,10,FALSE)</f>
        <v>#N/A</v>
      </c>
      <c r="K306" s="86"/>
      <c r="L306" s="86"/>
      <c r="M306" s="86"/>
      <c r="N306" s="86"/>
      <c r="O306" s="121" t="str">
        <f t="shared" si="2"/>
        <v>X</v>
      </c>
      <c r="P306" s="79" t="str">
        <f t="shared" si="3"/>
        <v>#N/A</v>
      </c>
      <c r="Q306" s="123" t="str">
        <f t="shared" si="4"/>
        <v>#N/A</v>
      </c>
      <c r="R306" s="124" t="str">
        <f t="shared" si="5"/>
        <v>#N/A</v>
      </c>
      <c r="S306" s="125" t="str">
        <f t="shared" si="6"/>
        <v>#N/A</v>
      </c>
      <c r="T306" s="125" t="str">
        <f t="shared" si="7"/>
        <v>#N/A</v>
      </c>
      <c r="U306" s="83">
        <f t="shared" si="8"/>
        <v>0</v>
      </c>
      <c r="V306" s="88" t="str">
        <f>ifs($N306="",VLOOKUP($C306&amp;$F306,'MARCH - VISIT DATA'!$A$2:$J600,7,FALSE), $N306="SWAB","OUTSA-RW",$N306="SWQU","OUTSA-SaQu", AND($L306="X",$M306="X",$N306="QUEST"),"OUT-UAQPre",$N306="QUEST","OUT-UAQ", $N306="Walk in","ColUATele")</f>
        <v>#N/A</v>
      </c>
      <c r="W306" s="70" t="str">
        <f t="shared" si="9"/>
        <v>#N/A</v>
      </c>
      <c r="X306" s="64" t="str">
        <f t="shared" si="10"/>
        <v/>
      </c>
      <c r="Y306" s="64" t="str">
        <f t="shared" si="11"/>
        <v/>
      </c>
      <c r="Z306" s="66" t="str">
        <f t="shared" si="12"/>
        <v> </v>
      </c>
      <c r="AA306" s="71"/>
    </row>
    <row r="307" ht="15.75" customHeight="1">
      <c r="A307" s="56" t="str">
        <f t="shared" si="1"/>
        <v/>
      </c>
      <c r="B307" s="56" t="str">
        <f>IFS($C307=FALSE,"",$C307,VLOOKUP($C307,'PATIENT DATA (072721)'!A:C, 2, 0))</f>
        <v/>
      </c>
      <c r="C307" s="57"/>
      <c r="D307" s="127" t="str">
        <f>IF(COUNTIF('PATIENT DATA (072721)'!A:A, C307)=0, "X","✓")</f>
        <v>X</v>
      </c>
      <c r="E307" s="79"/>
      <c r="F307" s="80"/>
      <c r="G307" s="81" t="str">
        <f>ifs($C307="","",$C307, VLOOKUP($C307&amp;$F307, 'MARCH - VISIT DATA'!A:O,3,0))</f>
        <v/>
      </c>
      <c r="H307" s="83"/>
      <c r="I307" s="122" t="str">
        <f>VLOOKUP($C307&amp;$F307,'MARCH - VISIT DATA'!A:J, 9, FALSE)</f>
        <v>#N/A</v>
      </c>
      <c r="J307" s="85" t="str">
        <f>VLOOKUP(C307&amp;F307,'MARCH - VISIT DATA'!A:O,10,FALSE)</f>
        <v>#N/A</v>
      </c>
      <c r="K307" s="86"/>
      <c r="L307" s="86"/>
      <c r="M307" s="86"/>
      <c r="N307" s="86"/>
      <c r="O307" s="121" t="str">
        <f t="shared" si="2"/>
        <v>X</v>
      </c>
      <c r="P307" s="79" t="str">
        <f t="shared" si="3"/>
        <v>#N/A</v>
      </c>
      <c r="Q307" s="123" t="str">
        <f t="shared" si="4"/>
        <v>#N/A</v>
      </c>
      <c r="R307" s="124" t="str">
        <f t="shared" si="5"/>
        <v>#N/A</v>
      </c>
      <c r="S307" s="125" t="str">
        <f t="shared" si="6"/>
        <v>#N/A</v>
      </c>
      <c r="T307" s="125" t="str">
        <f t="shared" si="7"/>
        <v>#N/A</v>
      </c>
      <c r="U307" s="83">
        <f t="shared" si="8"/>
        <v>0</v>
      </c>
      <c r="V307" s="88" t="str">
        <f>ifs($N307="",VLOOKUP($C307&amp;$F307,'MARCH - VISIT DATA'!$A$2:$J600,7,FALSE), $N307="SWAB","OUTSA-RW",$N307="SWQU","OUTSA-SaQu", AND($L307="X",$M307="X",$N307="QUEST"),"OUT-UAQPre",$N307="QUEST","OUT-UAQ", $N307="Walk in","ColUATele")</f>
        <v>#N/A</v>
      </c>
      <c r="W307" s="70" t="str">
        <f t="shared" si="9"/>
        <v>#N/A</v>
      </c>
      <c r="X307" s="64" t="str">
        <f t="shared" si="10"/>
        <v/>
      </c>
      <c r="Y307" s="64" t="str">
        <f t="shared" si="11"/>
        <v/>
      </c>
      <c r="Z307" s="66" t="str">
        <f t="shared" si="12"/>
        <v> </v>
      </c>
      <c r="AA307" s="71"/>
    </row>
    <row r="308" ht="15.75" customHeight="1">
      <c r="A308" s="56" t="str">
        <f t="shared" si="1"/>
        <v/>
      </c>
      <c r="B308" s="56" t="str">
        <f>IFS($C308=FALSE,"",$C308,VLOOKUP($C308,'PATIENT DATA (072721)'!A:C, 2, 0))</f>
        <v/>
      </c>
      <c r="C308" s="57"/>
      <c r="D308" s="127" t="str">
        <f>IF(COUNTIF('PATIENT DATA (072721)'!A:A, C308)=0, "X","✓")</f>
        <v>X</v>
      </c>
      <c r="E308" s="79"/>
      <c r="F308" s="80"/>
      <c r="G308" s="81" t="str">
        <f>ifs($C308="","",$C308, VLOOKUP($C308&amp;$F308, 'MARCH - VISIT DATA'!A:O,3,0))</f>
        <v/>
      </c>
      <c r="H308" s="83"/>
      <c r="I308" s="122" t="str">
        <f>VLOOKUP($C308&amp;$F308,'MARCH - VISIT DATA'!A:J, 9, FALSE)</f>
        <v>#N/A</v>
      </c>
      <c r="J308" s="85" t="str">
        <f>VLOOKUP(C308&amp;F308,'MARCH - VISIT DATA'!A:O,10,FALSE)</f>
        <v>#N/A</v>
      </c>
      <c r="K308" s="86"/>
      <c r="L308" s="86"/>
      <c r="M308" s="86"/>
      <c r="N308" s="86"/>
      <c r="O308" s="121" t="str">
        <f t="shared" si="2"/>
        <v>X</v>
      </c>
      <c r="P308" s="79" t="str">
        <f t="shared" si="3"/>
        <v>#N/A</v>
      </c>
      <c r="Q308" s="123" t="str">
        <f t="shared" si="4"/>
        <v>#N/A</v>
      </c>
      <c r="R308" s="124" t="str">
        <f t="shared" si="5"/>
        <v>#N/A</v>
      </c>
      <c r="S308" s="125" t="str">
        <f t="shared" si="6"/>
        <v>#N/A</v>
      </c>
      <c r="T308" s="125" t="str">
        <f t="shared" si="7"/>
        <v>#N/A</v>
      </c>
      <c r="U308" s="83">
        <f t="shared" si="8"/>
        <v>0</v>
      </c>
      <c r="V308" s="88" t="str">
        <f>ifs($N308="",VLOOKUP($C308&amp;$F308,'MARCH - VISIT DATA'!$A$2:$J600,7,FALSE), $N308="SWAB","OUTSA-RW",$N308="SWQU","OUTSA-SaQu", AND($L308="X",$M308="X",$N308="QUEST"),"OUT-UAQPre",$N308="QUEST","OUT-UAQ", $N308="Walk in","ColUATele")</f>
        <v>#N/A</v>
      </c>
      <c r="W308" s="70" t="str">
        <f t="shared" si="9"/>
        <v>#N/A</v>
      </c>
      <c r="X308" s="64" t="str">
        <f t="shared" si="10"/>
        <v/>
      </c>
      <c r="Y308" s="64" t="str">
        <f t="shared" si="11"/>
        <v/>
      </c>
      <c r="Z308" s="66" t="str">
        <f t="shared" si="12"/>
        <v> </v>
      </c>
      <c r="AA308" s="71"/>
    </row>
    <row r="309" ht="15.75" customHeight="1">
      <c r="A309" s="56" t="str">
        <f t="shared" si="1"/>
        <v/>
      </c>
      <c r="B309" s="56" t="str">
        <f>IFS($C309=FALSE,"",$C309,VLOOKUP($C309,'PATIENT DATA (072721)'!A:C, 2, 0))</f>
        <v/>
      </c>
      <c r="C309" s="57"/>
      <c r="D309" s="127" t="str">
        <f>IF(COUNTIF('PATIENT DATA (072721)'!A:A, C309)=0, "X","✓")</f>
        <v>X</v>
      </c>
      <c r="E309" s="79"/>
      <c r="F309" s="80"/>
      <c r="G309" s="81" t="str">
        <f>ifs($C309="","",$C309, VLOOKUP($C309&amp;$F309, 'MARCH - VISIT DATA'!A:O,3,0))</f>
        <v/>
      </c>
      <c r="H309" s="83"/>
      <c r="I309" s="122" t="str">
        <f>VLOOKUP($C309&amp;$F309,'MARCH - VISIT DATA'!A:J, 9, FALSE)</f>
        <v>#N/A</v>
      </c>
      <c r="J309" s="85" t="str">
        <f>VLOOKUP(C309&amp;F309,'MARCH - VISIT DATA'!A:O,10,FALSE)</f>
        <v>#N/A</v>
      </c>
      <c r="K309" s="86"/>
      <c r="L309" s="86"/>
      <c r="M309" s="86"/>
      <c r="N309" s="86"/>
      <c r="O309" s="121" t="str">
        <f t="shared" si="2"/>
        <v>X</v>
      </c>
      <c r="P309" s="79" t="str">
        <f t="shared" si="3"/>
        <v>#N/A</v>
      </c>
      <c r="Q309" s="123" t="str">
        <f t="shared" si="4"/>
        <v>#N/A</v>
      </c>
      <c r="R309" s="124" t="str">
        <f t="shared" si="5"/>
        <v>#N/A</v>
      </c>
      <c r="S309" s="125" t="str">
        <f t="shared" si="6"/>
        <v>#N/A</v>
      </c>
      <c r="T309" s="125" t="str">
        <f t="shared" si="7"/>
        <v>#N/A</v>
      </c>
      <c r="U309" s="83">
        <f t="shared" si="8"/>
        <v>0</v>
      </c>
      <c r="V309" s="88" t="str">
        <f>ifs($N309="",VLOOKUP($C309&amp;$F309,'MARCH - VISIT DATA'!$A$2:$J600,7,FALSE), $N309="SWAB","OUTSA-RW",$N309="SWQU","OUTSA-SaQu", AND($L309="X",$M309="X",$N309="QUEST"),"OUT-UAQPre",$N309="QUEST","OUT-UAQ", $N309="Walk in","ColUATele")</f>
        <v>#N/A</v>
      </c>
      <c r="W309" s="70" t="str">
        <f t="shared" si="9"/>
        <v>#N/A</v>
      </c>
      <c r="X309" s="64" t="str">
        <f t="shared" si="10"/>
        <v/>
      </c>
      <c r="Y309" s="64" t="str">
        <f t="shared" si="11"/>
        <v/>
      </c>
      <c r="Z309" s="66" t="str">
        <f t="shared" si="12"/>
        <v> </v>
      </c>
      <c r="AA309" s="71"/>
    </row>
    <row r="310" ht="15.75" customHeight="1">
      <c r="A310" s="56" t="str">
        <f t="shared" si="1"/>
        <v/>
      </c>
      <c r="B310" s="56" t="str">
        <f>IFS($C310=FALSE,"",$C310,VLOOKUP($C310,'PATIENT DATA (072721)'!A:C, 2, 0))</f>
        <v/>
      </c>
      <c r="C310" s="57"/>
      <c r="D310" s="127" t="str">
        <f>IF(COUNTIF('PATIENT DATA (072721)'!A:A, C310)=0, "X","✓")</f>
        <v>X</v>
      </c>
      <c r="E310" s="79"/>
      <c r="F310" s="80"/>
      <c r="G310" s="81" t="str">
        <f>ifs($C310="","",$C310, VLOOKUP($C310&amp;$F310, 'MARCH - VISIT DATA'!A:O,3,0))</f>
        <v/>
      </c>
      <c r="H310" s="83"/>
      <c r="I310" s="122" t="str">
        <f>VLOOKUP($C310&amp;$F310,'MARCH - VISIT DATA'!A:J, 9, FALSE)</f>
        <v>#N/A</v>
      </c>
      <c r="J310" s="85" t="str">
        <f>VLOOKUP(C310&amp;F310,'MARCH - VISIT DATA'!A:O,10,FALSE)</f>
        <v>#N/A</v>
      </c>
      <c r="K310" s="86"/>
      <c r="L310" s="86"/>
      <c r="M310" s="86"/>
      <c r="N310" s="86"/>
      <c r="O310" s="121" t="str">
        <f t="shared" si="2"/>
        <v>X</v>
      </c>
      <c r="P310" s="79" t="str">
        <f t="shared" si="3"/>
        <v>#N/A</v>
      </c>
      <c r="Q310" s="123" t="str">
        <f t="shared" si="4"/>
        <v>#N/A</v>
      </c>
      <c r="R310" s="124" t="str">
        <f t="shared" si="5"/>
        <v>#N/A</v>
      </c>
      <c r="S310" s="125" t="str">
        <f t="shared" si="6"/>
        <v>#N/A</v>
      </c>
      <c r="T310" s="125" t="str">
        <f t="shared" si="7"/>
        <v>#N/A</v>
      </c>
      <c r="U310" s="83">
        <f t="shared" si="8"/>
        <v>0</v>
      </c>
      <c r="V310" s="88" t="str">
        <f>ifs($N310="",VLOOKUP($C310&amp;$F310,'MARCH - VISIT DATA'!$A$2:$J600,7,FALSE), $N310="SWAB","OUTSA-RW",$N310="SWQU","OUTSA-SaQu", AND($L310="X",$M310="X",$N310="QUEST"),"OUT-UAQPre",$N310="QUEST","OUT-UAQ", $N310="Walk in","ColUATele")</f>
        <v>#N/A</v>
      </c>
      <c r="W310" s="70" t="str">
        <f t="shared" si="9"/>
        <v>#N/A</v>
      </c>
      <c r="X310" s="64" t="str">
        <f t="shared" si="10"/>
        <v/>
      </c>
      <c r="Y310" s="64" t="str">
        <f t="shared" si="11"/>
        <v/>
      </c>
      <c r="Z310" s="66" t="str">
        <f t="shared" si="12"/>
        <v> </v>
      </c>
      <c r="AA310" s="71"/>
    </row>
    <row r="311" ht="15.75" customHeight="1">
      <c r="A311" s="56" t="str">
        <f t="shared" si="1"/>
        <v/>
      </c>
      <c r="B311" s="56" t="str">
        <f>IFS($C311=FALSE,"",$C311,VLOOKUP($C311,'PATIENT DATA (072721)'!A:C, 2, 0))</f>
        <v/>
      </c>
      <c r="C311" s="57"/>
      <c r="D311" s="127" t="str">
        <f>IF(COUNTIF('PATIENT DATA (072721)'!A:A, C311)=0, "X","✓")</f>
        <v>X</v>
      </c>
      <c r="E311" s="79"/>
      <c r="F311" s="80"/>
      <c r="G311" s="81" t="str">
        <f>ifs($C311="","",$C311, VLOOKUP($C311&amp;$F311, 'MARCH - VISIT DATA'!A:O,3,0))</f>
        <v/>
      </c>
      <c r="H311" s="83"/>
      <c r="I311" s="122" t="str">
        <f>VLOOKUP($C311&amp;$F311,'MARCH - VISIT DATA'!A:J, 9, FALSE)</f>
        <v>#N/A</v>
      </c>
      <c r="J311" s="85" t="str">
        <f>VLOOKUP(C311&amp;F311,'MARCH - VISIT DATA'!A:O,10,FALSE)</f>
        <v>#N/A</v>
      </c>
      <c r="K311" s="86"/>
      <c r="L311" s="86"/>
      <c r="M311" s="86"/>
      <c r="N311" s="86"/>
      <c r="O311" s="121" t="str">
        <f t="shared" si="2"/>
        <v>X</v>
      </c>
      <c r="P311" s="79" t="str">
        <f t="shared" si="3"/>
        <v>#N/A</v>
      </c>
      <c r="Q311" s="123" t="str">
        <f t="shared" si="4"/>
        <v>#N/A</v>
      </c>
      <c r="R311" s="124" t="str">
        <f t="shared" si="5"/>
        <v>#N/A</v>
      </c>
      <c r="S311" s="125" t="str">
        <f t="shared" si="6"/>
        <v>#N/A</v>
      </c>
      <c r="T311" s="125" t="str">
        <f t="shared" si="7"/>
        <v>#N/A</v>
      </c>
      <c r="U311" s="83">
        <f t="shared" si="8"/>
        <v>0</v>
      </c>
      <c r="V311" s="88" t="str">
        <f>ifs($N311="",VLOOKUP($C311&amp;$F311,'MARCH - VISIT DATA'!$A$2:$J600,7,FALSE), $N311="SWAB","OUTSA-RW",$N311="SWQU","OUTSA-SaQu", AND($L311="X",$M311="X",$N311="QUEST"),"OUT-UAQPre",$N311="QUEST","OUT-UAQ", $N311="Walk in","ColUATele")</f>
        <v>#N/A</v>
      </c>
      <c r="W311" s="70" t="str">
        <f t="shared" si="9"/>
        <v>#N/A</v>
      </c>
      <c r="X311" s="64" t="str">
        <f t="shared" si="10"/>
        <v/>
      </c>
      <c r="Y311" s="64" t="str">
        <f t="shared" si="11"/>
        <v/>
      </c>
      <c r="Z311" s="66" t="str">
        <f t="shared" si="12"/>
        <v> </v>
      </c>
      <c r="AA311" s="71"/>
    </row>
    <row r="312" ht="15.75" customHeight="1">
      <c r="A312" s="56" t="str">
        <f t="shared" si="1"/>
        <v/>
      </c>
      <c r="B312" s="56" t="str">
        <f>IFS($C312=FALSE,"",$C312,VLOOKUP($C312,'PATIENT DATA (072721)'!A:C, 2, 0))</f>
        <v/>
      </c>
      <c r="C312" s="57"/>
      <c r="D312" s="127" t="str">
        <f>IF(COUNTIF('PATIENT DATA (072721)'!A:A, C312)=0, "X","✓")</f>
        <v>X</v>
      </c>
      <c r="E312" s="79"/>
      <c r="F312" s="80"/>
      <c r="G312" s="81" t="str">
        <f>ifs($C312="","",$C312, VLOOKUP($C312&amp;$F312, 'MARCH - VISIT DATA'!A:O,3,0))</f>
        <v/>
      </c>
      <c r="H312" s="83"/>
      <c r="I312" s="122" t="str">
        <f>VLOOKUP($C312&amp;$F312,'MARCH - VISIT DATA'!A:J, 9, FALSE)</f>
        <v>#N/A</v>
      </c>
      <c r="J312" s="85" t="str">
        <f>VLOOKUP(C312&amp;F312,'MARCH - VISIT DATA'!A:O,10,FALSE)</f>
        <v>#N/A</v>
      </c>
      <c r="K312" s="86"/>
      <c r="L312" s="86"/>
      <c r="M312" s="86"/>
      <c r="N312" s="86"/>
      <c r="O312" s="121" t="str">
        <f t="shared" si="2"/>
        <v>X</v>
      </c>
      <c r="P312" s="79" t="str">
        <f t="shared" si="3"/>
        <v>#N/A</v>
      </c>
      <c r="Q312" s="123" t="str">
        <f t="shared" si="4"/>
        <v>#N/A</v>
      </c>
      <c r="R312" s="124" t="str">
        <f t="shared" si="5"/>
        <v>#N/A</v>
      </c>
      <c r="S312" s="125" t="str">
        <f t="shared" si="6"/>
        <v>#N/A</v>
      </c>
      <c r="T312" s="125" t="str">
        <f t="shared" si="7"/>
        <v>#N/A</v>
      </c>
      <c r="U312" s="83">
        <f t="shared" si="8"/>
        <v>0</v>
      </c>
      <c r="V312" s="88" t="str">
        <f>ifs($N312="",VLOOKUP($C312&amp;$F312,'MARCH - VISIT DATA'!$A$2:$J600,7,FALSE), $N312="SWAB","OUTSA-RW",$N312="SWQU","OUTSA-SaQu", AND($L312="X",$M312="X",$N312="QUEST"),"OUT-UAQPre",$N312="QUEST","OUT-UAQ", $N312="Walk in","ColUATele")</f>
        <v>#N/A</v>
      </c>
      <c r="W312" s="70" t="str">
        <f t="shared" si="9"/>
        <v>#N/A</v>
      </c>
      <c r="X312" s="64" t="str">
        <f t="shared" si="10"/>
        <v/>
      </c>
      <c r="Y312" s="64" t="str">
        <f t="shared" si="11"/>
        <v/>
      </c>
      <c r="Z312" s="66" t="str">
        <f t="shared" si="12"/>
        <v> </v>
      </c>
      <c r="AA312" s="71"/>
    </row>
    <row r="313" ht="15.75" customHeight="1">
      <c r="A313" s="56" t="str">
        <f t="shared" si="1"/>
        <v/>
      </c>
      <c r="B313" s="56" t="str">
        <f>IFS($C313=FALSE,"",$C313,VLOOKUP($C313,'PATIENT DATA (072721)'!A:C, 2, 0))</f>
        <v/>
      </c>
      <c r="C313" s="57"/>
      <c r="D313" s="127" t="str">
        <f>IF(COUNTIF('PATIENT DATA (072721)'!A:A, C313)=0, "X","✓")</f>
        <v>X</v>
      </c>
      <c r="E313" s="79"/>
      <c r="F313" s="80"/>
      <c r="G313" s="81" t="str">
        <f>ifs($C313="","",$C313, VLOOKUP($C313&amp;$F313, 'MARCH - VISIT DATA'!A:O,3,0))</f>
        <v/>
      </c>
      <c r="H313" s="83"/>
      <c r="I313" s="122" t="str">
        <f>VLOOKUP($C313&amp;$F313,'MARCH - VISIT DATA'!A:J, 9, FALSE)</f>
        <v>#N/A</v>
      </c>
      <c r="J313" s="85" t="str">
        <f>VLOOKUP(C313&amp;F313,'MARCH - VISIT DATA'!A:O,10,FALSE)</f>
        <v>#N/A</v>
      </c>
      <c r="K313" s="86"/>
      <c r="L313" s="86"/>
      <c r="M313" s="86"/>
      <c r="N313" s="86"/>
      <c r="O313" s="121" t="str">
        <f t="shared" si="2"/>
        <v>X</v>
      </c>
      <c r="P313" s="79" t="str">
        <f t="shared" si="3"/>
        <v>#N/A</v>
      </c>
      <c r="Q313" s="123" t="str">
        <f t="shared" si="4"/>
        <v>#N/A</v>
      </c>
      <c r="R313" s="124" t="str">
        <f t="shared" si="5"/>
        <v>#N/A</v>
      </c>
      <c r="S313" s="125" t="str">
        <f t="shared" si="6"/>
        <v>#N/A</v>
      </c>
      <c r="T313" s="125" t="str">
        <f t="shared" si="7"/>
        <v>#N/A</v>
      </c>
      <c r="U313" s="83">
        <f t="shared" si="8"/>
        <v>0</v>
      </c>
      <c r="V313" s="88" t="str">
        <f>ifs($N313="",VLOOKUP($C313&amp;$F313,'MARCH - VISIT DATA'!$A$2:$J600,7,FALSE), $N313="SWAB","OUTSA-RW",$N313="SWQU","OUTSA-SaQu", AND($L313="X",$M313="X",$N313="QUEST"),"OUT-UAQPre",$N313="QUEST","OUT-UAQ", $N313="Walk in","ColUATele")</f>
        <v>#N/A</v>
      </c>
      <c r="W313" s="70" t="str">
        <f t="shared" si="9"/>
        <v>#N/A</v>
      </c>
      <c r="X313" s="64" t="str">
        <f t="shared" si="10"/>
        <v/>
      </c>
      <c r="Y313" s="64" t="str">
        <f t="shared" si="11"/>
        <v/>
      </c>
      <c r="Z313" s="66" t="str">
        <f t="shared" si="12"/>
        <v> </v>
      </c>
      <c r="AA313" s="71"/>
    </row>
    <row r="314" ht="15.75" customHeight="1">
      <c r="A314" s="56" t="str">
        <f t="shared" si="1"/>
        <v/>
      </c>
      <c r="B314" s="56" t="str">
        <f>IFS($C314=FALSE,"",$C314,VLOOKUP($C314,'PATIENT DATA (072721)'!A:C, 2, 0))</f>
        <v/>
      </c>
      <c r="C314" s="57"/>
      <c r="D314" s="127" t="str">
        <f>IF(COUNTIF('PATIENT DATA (072721)'!A:A, C314)=0, "X","✓")</f>
        <v>X</v>
      </c>
      <c r="E314" s="79"/>
      <c r="F314" s="80"/>
      <c r="G314" s="81" t="str">
        <f>ifs($C314="","",$C314, VLOOKUP($C314&amp;$F314, 'MARCH - VISIT DATA'!A:O,3,0))</f>
        <v/>
      </c>
      <c r="H314" s="83"/>
      <c r="I314" s="122" t="str">
        <f>VLOOKUP($C314&amp;$F314,'MARCH - VISIT DATA'!A:J, 9, FALSE)</f>
        <v>#N/A</v>
      </c>
      <c r="J314" s="85" t="str">
        <f>VLOOKUP(C314&amp;F314,'MARCH - VISIT DATA'!A:O,10,FALSE)</f>
        <v>#N/A</v>
      </c>
      <c r="K314" s="86"/>
      <c r="L314" s="86"/>
      <c r="M314" s="86"/>
      <c r="N314" s="86"/>
      <c r="O314" s="121" t="str">
        <f t="shared" si="2"/>
        <v>X</v>
      </c>
      <c r="P314" s="79" t="str">
        <f t="shared" si="3"/>
        <v>#N/A</v>
      </c>
      <c r="Q314" s="123" t="str">
        <f t="shared" si="4"/>
        <v>#N/A</v>
      </c>
      <c r="R314" s="124" t="str">
        <f t="shared" si="5"/>
        <v>#N/A</v>
      </c>
      <c r="S314" s="125" t="str">
        <f t="shared" si="6"/>
        <v>#N/A</v>
      </c>
      <c r="T314" s="125" t="str">
        <f t="shared" si="7"/>
        <v>#N/A</v>
      </c>
      <c r="U314" s="83">
        <f t="shared" si="8"/>
        <v>0</v>
      </c>
      <c r="V314" s="88" t="str">
        <f>ifs($N314="",VLOOKUP($C314&amp;$F314,'MARCH - VISIT DATA'!$A$2:$J600,7,FALSE), $N314="SWAB","OUTSA-RW",$N314="SWQU","OUTSA-SaQu", AND($L314="X",$M314="X",$N314="QUEST"),"OUT-UAQPre",$N314="QUEST","OUT-UAQ", $N314="Walk in","ColUATele")</f>
        <v>#N/A</v>
      </c>
      <c r="W314" s="70" t="str">
        <f t="shared" si="9"/>
        <v>#N/A</v>
      </c>
      <c r="X314" s="64" t="str">
        <f t="shared" si="10"/>
        <v/>
      </c>
      <c r="Y314" s="64" t="str">
        <f t="shared" si="11"/>
        <v/>
      </c>
      <c r="Z314" s="66" t="str">
        <f t="shared" si="12"/>
        <v> </v>
      </c>
      <c r="AA314" s="71"/>
    </row>
    <row r="315" ht="15.75" customHeight="1">
      <c r="A315" s="56" t="str">
        <f t="shared" si="1"/>
        <v/>
      </c>
      <c r="B315" s="56" t="str">
        <f>IFS($C315=FALSE,"",$C315,VLOOKUP($C315,'PATIENT DATA (072721)'!A:C, 2, 0))</f>
        <v/>
      </c>
      <c r="C315" s="57"/>
      <c r="D315" s="127" t="str">
        <f>IF(COUNTIF('PATIENT DATA (072721)'!A:A, C315)=0, "X","✓")</f>
        <v>X</v>
      </c>
      <c r="E315" s="79"/>
      <c r="F315" s="80"/>
      <c r="G315" s="81" t="str">
        <f>ifs($C315="","",$C315, VLOOKUP($C315&amp;$F315, 'MARCH - VISIT DATA'!A:O,3,0))</f>
        <v/>
      </c>
      <c r="H315" s="83"/>
      <c r="I315" s="122" t="str">
        <f>VLOOKUP($C315&amp;$F315,'MARCH - VISIT DATA'!A:J, 9, FALSE)</f>
        <v>#N/A</v>
      </c>
      <c r="J315" s="85" t="str">
        <f>VLOOKUP(C315&amp;F315,'MARCH - VISIT DATA'!A:O,10,FALSE)</f>
        <v>#N/A</v>
      </c>
      <c r="K315" s="86"/>
      <c r="L315" s="86"/>
      <c r="M315" s="86"/>
      <c r="N315" s="86"/>
      <c r="O315" s="121" t="str">
        <f t="shared" si="2"/>
        <v>X</v>
      </c>
      <c r="P315" s="79" t="str">
        <f t="shared" si="3"/>
        <v>#N/A</v>
      </c>
      <c r="Q315" s="123" t="str">
        <f t="shared" si="4"/>
        <v>#N/A</v>
      </c>
      <c r="R315" s="124" t="str">
        <f t="shared" si="5"/>
        <v>#N/A</v>
      </c>
      <c r="S315" s="125" t="str">
        <f t="shared" si="6"/>
        <v>#N/A</v>
      </c>
      <c r="T315" s="125" t="str">
        <f t="shared" si="7"/>
        <v>#N/A</v>
      </c>
      <c r="U315" s="83">
        <f t="shared" si="8"/>
        <v>0</v>
      </c>
      <c r="V315" s="88" t="str">
        <f>ifs($N315="",VLOOKUP($C315&amp;$F315,'MARCH - VISIT DATA'!$A$2:$J600,7,FALSE), $N315="SWAB","OUTSA-RW",$N315="SWQU","OUTSA-SaQu", AND($L315="X",$M315="X",$N315="QUEST"),"OUT-UAQPre",$N315="QUEST","OUT-UAQ", $N315="Walk in","ColUATele")</f>
        <v>#N/A</v>
      </c>
      <c r="W315" s="70" t="str">
        <f t="shared" si="9"/>
        <v>#N/A</v>
      </c>
      <c r="X315" s="64" t="str">
        <f t="shared" si="10"/>
        <v/>
      </c>
      <c r="Y315" s="64" t="str">
        <f t="shared" si="11"/>
        <v/>
      </c>
      <c r="Z315" s="66" t="str">
        <f t="shared" si="12"/>
        <v> </v>
      </c>
      <c r="AA315" s="71"/>
    </row>
    <row r="316" ht="15.75" customHeight="1">
      <c r="A316" s="56" t="str">
        <f t="shared" si="1"/>
        <v/>
      </c>
      <c r="B316" s="56" t="str">
        <f>IFS($C316=FALSE,"",$C316,VLOOKUP($C316,'PATIENT DATA (072721)'!A:C, 2, 0))</f>
        <v/>
      </c>
      <c r="C316" s="57"/>
      <c r="D316" s="127" t="str">
        <f>IF(COUNTIF('PATIENT DATA (072721)'!A:A, C316)=0, "X","✓")</f>
        <v>X</v>
      </c>
      <c r="E316" s="79"/>
      <c r="F316" s="80"/>
      <c r="G316" s="81" t="str">
        <f>ifs($C316="","",$C316, VLOOKUP($C316&amp;$F316, 'MARCH - VISIT DATA'!A:O,3,0))</f>
        <v/>
      </c>
      <c r="H316" s="83"/>
      <c r="I316" s="122" t="str">
        <f>VLOOKUP($C316&amp;$F316,'MARCH - VISIT DATA'!A:J, 9, FALSE)</f>
        <v>#N/A</v>
      </c>
      <c r="J316" s="85" t="str">
        <f>VLOOKUP(C316&amp;F316,'MARCH - VISIT DATA'!A:O,10,FALSE)</f>
        <v>#N/A</v>
      </c>
      <c r="K316" s="86"/>
      <c r="L316" s="86"/>
      <c r="M316" s="86"/>
      <c r="N316" s="86"/>
      <c r="O316" s="121" t="str">
        <f t="shared" si="2"/>
        <v>X</v>
      </c>
      <c r="P316" s="79" t="str">
        <f t="shared" si="3"/>
        <v>#N/A</v>
      </c>
      <c r="Q316" s="123" t="str">
        <f t="shared" si="4"/>
        <v>#N/A</v>
      </c>
      <c r="R316" s="124" t="str">
        <f t="shared" si="5"/>
        <v>#N/A</v>
      </c>
      <c r="S316" s="125" t="str">
        <f t="shared" si="6"/>
        <v>#N/A</v>
      </c>
      <c r="T316" s="125" t="str">
        <f t="shared" si="7"/>
        <v>#N/A</v>
      </c>
      <c r="U316" s="83">
        <f t="shared" si="8"/>
        <v>0</v>
      </c>
      <c r="V316" s="88" t="str">
        <f>ifs($N316="",VLOOKUP($C316&amp;$F316,'MARCH - VISIT DATA'!$A$2:$J600,7,FALSE), $N316="SWAB","OUTSA-RW",$N316="SWQU","OUTSA-SaQu", AND($L316="X",$M316="X",$N316="QUEST"),"OUT-UAQPre",$N316="QUEST","OUT-UAQ", $N316="Walk in","ColUATele")</f>
        <v>#N/A</v>
      </c>
      <c r="W316" s="70" t="str">
        <f t="shared" si="9"/>
        <v>#N/A</v>
      </c>
      <c r="X316" s="64" t="str">
        <f t="shared" si="10"/>
        <v/>
      </c>
      <c r="Y316" s="64" t="str">
        <f t="shared" si="11"/>
        <v/>
      </c>
      <c r="Z316" s="66" t="str">
        <f t="shared" si="12"/>
        <v> </v>
      </c>
      <c r="AA316" s="71"/>
    </row>
    <row r="317" ht="15.75" customHeight="1">
      <c r="A317" s="56" t="str">
        <f t="shared" si="1"/>
        <v/>
      </c>
      <c r="B317" s="56" t="str">
        <f>IFS($C317=FALSE,"",$C317,VLOOKUP($C317,'PATIENT DATA (072721)'!A:C, 2, 0))</f>
        <v/>
      </c>
      <c r="C317" s="57"/>
      <c r="D317" s="127" t="str">
        <f>IF(COUNTIF('PATIENT DATA (072721)'!A:A, C317)=0, "X","✓")</f>
        <v>X</v>
      </c>
      <c r="E317" s="79"/>
      <c r="F317" s="80"/>
      <c r="G317" s="81" t="str">
        <f>ifs($C317="","",$C317, VLOOKUP($C317&amp;$F317, 'MARCH - VISIT DATA'!A:O,3,0))</f>
        <v/>
      </c>
      <c r="H317" s="83"/>
      <c r="I317" s="122" t="str">
        <f>VLOOKUP($C317&amp;$F317,'MARCH - VISIT DATA'!A:J, 9, FALSE)</f>
        <v>#N/A</v>
      </c>
      <c r="J317" s="85" t="str">
        <f>VLOOKUP(C317&amp;F317,'MARCH - VISIT DATA'!A:O,10,FALSE)</f>
        <v>#N/A</v>
      </c>
      <c r="K317" s="86"/>
      <c r="L317" s="86"/>
      <c r="M317" s="86"/>
      <c r="N317" s="86"/>
      <c r="O317" s="121" t="str">
        <f t="shared" si="2"/>
        <v>X</v>
      </c>
      <c r="P317" s="79" t="str">
        <f t="shared" si="3"/>
        <v>#N/A</v>
      </c>
      <c r="Q317" s="123" t="str">
        <f t="shared" si="4"/>
        <v>#N/A</v>
      </c>
      <c r="R317" s="124" t="str">
        <f t="shared" si="5"/>
        <v>#N/A</v>
      </c>
      <c r="S317" s="125" t="str">
        <f t="shared" si="6"/>
        <v>#N/A</v>
      </c>
      <c r="T317" s="125" t="str">
        <f t="shared" si="7"/>
        <v>#N/A</v>
      </c>
      <c r="U317" s="83">
        <f t="shared" si="8"/>
        <v>0</v>
      </c>
      <c r="V317" s="88" t="str">
        <f>ifs($N317="",VLOOKUP($C317&amp;$F317,'MARCH - VISIT DATA'!$A$2:$J600,7,FALSE), $N317="SWAB","OUTSA-RW",$N317="SWQU","OUTSA-SaQu", AND($L317="X",$M317="X",$N317="QUEST"),"OUT-UAQPre",$N317="QUEST","OUT-UAQ", $N317="Walk in","ColUATele")</f>
        <v>#N/A</v>
      </c>
      <c r="W317" s="70" t="str">
        <f t="shared" si="9"/>
        <v>#N/A</v>
      </c>
      <c r="X317" s="64" t="str">
        <f t="shared" si="10"/>
        <v/>
      </c>
      <c r="Y317" s="64" t="str">
        <f t="shared" si="11"/>
        <v/>
      </c>
      <c r="Z317" s="66" t="str">
        <f t="shared" si="12"/>
        <v> </v>
      </c>
      <c r="AA317" s="71"/>
    </row>
    <row r="318" ht="15.75" customHeight="1">
      <c r="A318" s="56" t="str">
        <f t="shared" si="1"/>
        <v/>
      </c>
      <c r="B318" s="56" t="str">
        <f>IFS($C318=FALSE,"",$C318,VLOOKUP($C318,'PATIENT DATA (072721)'!A:C, 2, 0))</f>
        <v/>
      </c>
      <c r="C318" s="57"/>
      <c r="D318" s="127" t="str">
        <f>IF(COUNTIF('PATIENT DATA (072721)'!A:A, C318)=0, "X","✓")</f>
        <v>X</v>
      </c>
      <c r="E318" s="79"/>
      <c r="F318" s="80"/>
      <c r="G318" s="81" t="str">
        <f>ifs($C318="","",$C318, VLOOKUP($C318&amp;$F318, 'MARCH - VISIT DATA'!A:O,3,0))</f>
        <v/>
      </c>
      <c r="H318" s="83"/>
      <c r="I318" s="122" t="str">
        <f>VLOOKUP($C318&amp;$F318,'MARCH - VISIT DATA'!A:J, 9, FALSE)</f>
        <v>#N/A</v>
      </c>
      <c r="J318" s="85" t="str">
        <f>VLOOKUP(C318&amp;F318,'MARCH - VISIT DATA'!A:O,10,FALSE)</f>
        <v>#N/A</v>
      </c>
      <c r="K318" s="86"/>
      <c r="L318" s="86"/>
      <c r="M318" s="86"/>
      <c r="N318" s="86"/>
      <c r="O318" s="121" t="str">
        <f t="shared" si="2"/>
        <v>X</v>
      </c>
      <c r="P318" s="79" t="str">
        <f t="shared" si="3"/>
        <v>#N/A</v>
      </c>
      <c r="Q318" s="123" t="str">
        <f t="shared" si="4"/>
        <v>#N/A</v>
      </c>
      <c r="R318" s="124" t="str">
        <f t="shared" si="5"/>
        <v>#N/A</v>
      </c>
      <c r="S318" s="125" t="str">
        <f t="shared" si="6"/>
        <v>#N/A</v>
      </c>
      <c r="T318" s="125" t="str">
        <f t="shared" si="7"/>
        <v>#N/A</v>
      </c>
      <c r="U318" s="83">
        <f t="shared" si="8"/>
        <v>0</v>
      </c>
      <c r="V318" s="88" t="str">
        <f>ifs($N318="",VLOOKUP($C318&amp;$F318,'MARCH - VISIT DATA'!$A$2:$J600,7,FALSE), $N318="SWAB","OUTSA-RW",$N318="SWQU","OUTSA-SaQu", AND($L318="X",$M318="X",$N318="QUEST"),"OUT-UAQPre",$N318="QUEST","OUT-UAQ", $N318="Walk in","ColUATele")</f>
        <v>#N/A</v>
      </c>
      <c r="W318" s="70" t="str">
        <f t="shared" si="9"/>
        <v>#N/A</v>
      </c>
      <c r="X318" s="64" t="str">
        <f t="shared" si="10"/>
        <v/>
      </c>
      <c r="Y318" s="64" t="str">
        <f t="shared" si="11"/>
        <v/>
      </c>
      <c r="Z318" s="66" t="str">
        <f t="shared" si="12"/>
        <v> </v>
      </c>
      <c r="AA318" s="71"/>
    </row>
    <row r="319" ht="15.75" customHeight="1">
      <c r="A319" s="56" t="str">
        <f t="shared" si="1"/>
        <v/>
      </c>
      <c r="B319" s="56" t="str">
        <f>IFS($C319=FALSE,"",$C319,VLOOKUP($C319,'PATIENT DATA (072721)'!A:C, 2, 0))</f>
        <v/>
      </c>
      <c r="C319" s="57"/>
      <c r="D319" s="127" t="str">
        <f>IF(COUNTIF('PATIENT DATA (072721)'!A:A, C319)=0, "X","✓")</f>
        <v>X</v>
      </c>
      <c r="E319" s="79"/>
      <c r="F319" s="80"/>
      <c r="G319" s="81" t="str">
        <f>ifs($C319="","",$C319, VLOOKUP($C319&amp;$F319, 'MARCH - VISIT DATA'!A:O,3,0))</f>
        <v/>
      </c>
      <c r="H319" s="83"/>
      <c r="I319" s="122" t="str">
        <f>VLOOKUP($C319&amp;$F319,'MARCH - VISIT DATA'!A:J, 9, FALSE)</f>
        <v>#N/A</v>
      </c>
      <c r="J319" s="85" t="str">
        <f>VLOOKUP(C319&amp;F319,'MARCH - VISIT DATA'!A:O,10,FALSE)</f>
        <v>#N/A</v>
      </c>
      <c r="K319" s="86"/>
      <c r="L319" s="86"/>
      <c r="M319" s="86"/>
      <c r="N319" s="86"/>
      <c r="O319" s="121" t="str">
        <f t="shared" si="2"/>
        <v>X</v>
      </c>
      <c r="P319" s="79" t="str">
        <f t="shared" si="3"/>
        <v>#N/A</v>
      </c>
      <c r="Q319" s="123" t="str">
        <f t="shared" si="4"/>
        <v>#N/A</v>
      </c>
      <c r="R319" s="124" t="str">
        <f t="shared" si="5"/>
        <v>#N/A</v>
      </c>
      <c r="S319" s="125" t="str">
        <f t="shared" si="6"/>
        <v>#N/A</v>
      </c>
      <c r="T319" s="125" t="str">
        <f t="shared" si="7"/>
        <v>#N/A</v>
      </c>
      <c r="U319" s="83">
        <f t="shared" si="8"/>
        <v>0</v>
      </c>
      <c r="V319" s="88" t="str">
        <f>ifs($N319="",VLOOKUP($C319&amp;$F319,'MARCH - VISIT DATA'!$A$2:$J600,7,FALSE), $N319="SWAB","OUTSA-RW",$N319="SWQU","OUTSA-SaQu", AND($L319="X",$M319="X",$N319="QUEST"),"OUT-UAQPre",$N319="QUEST","OUT-UAQ", $N319="Walk in","ColUATele")</f>
        <v>#N/A</v>
      </c>
      <c r="W319" s="70" t="str">
        <f t="shared" si="9"/>
        <v>#N/A</v>
      </c>
      <c r="X319" s="64" t="str">
        <f t="shared" si="10"/>
        <v/>
      </c>
      <c r="Y319" s="64" t="str">
        <f t="shared" si="11"/>
        <v/>
      </c>
      <c r="Z319" s="66" t="str">
        <f t="shared" si="12"/>
        <v> </v>
      </c>
      <c r="AA319" s="71"/>
    </row>
    <row r="320" ht="15.75" customHeight="1">
      <c r="A320" s="56" t="str">
        <f t="shared" si="1"/>
        <v/>
      </c>
      <c r="B320" s="56" t="str">
        <f>IFS($C320=FALSE,"",$C320,VLOOKUP($C320,'PATIENT DATA (072721)'!A:C, 2, 0))</f>
        <v/>
      </c>
      <c r="C320" s="57"/>
      <c r="D320" s="127" t="str">
        <f>IF(COUNTIF('PATIENT DATA (072721)'!A:A, C320)=0, "X","✓")</f>
        <v>X</v>
      </c>
      <c r="E320" s="79"/>
      <c r="F320" s="80"/>
      <c r="G320" s="81" t="str">
        <f>ifs($C320="","",$C320, VLOOKUP($C320&amp;$F320, 'MARCH - VISIT DATA'!A:O,3,0))</f>
        <v/>
      </c>
      <c r="H320" s="83"/>
      <c r="I320" s="122" t="str">
        <f>VLOOKUP($C320&amp;$F320,'MARCH - VISIT DATA'!A:J, 9, FALSE)</f>
        <v>#N/A</v>
      </c>
      <c r="J320" s="85" t="str">
        <f>VLOOKUP(C320&amp;F320,'MARCH - VISIT DATA'!A:O,10,FALSE)</f>
        <v>#N/A</v>
      </c>
      <c r="K320" s="86"/>
      <c r="L320" s="86"/>
      <c r="M320" s="86"/>
      <c r="N320" s="86"/>
      <c r="O320" s="121" t="str">
        <f t="shared" si="2"/>
        <v>X</v>
      </c>
      <c r="P320" s="79" t="str">
        <f t="shared" si="3"/>
        <v>#N/A</v>
      </c>
      <c r="Q320" s="123" t="str">
        <f t="shared" si="4"/>
        <v>#N/A</v>
      </c>
      <c r="R320" s="124" t="str">
        <f t="shared" si="5"/>
        <v>#N/A</v>
      </c>
      <c r="S320" s="125" t="str">
        <f t="shared" si="6"/>
        <v>#N/A</v>
      </c>
      <c r="T320" s="125" t="str">
        <f t="shared" si="7"/>
        <v>#N/A</v>
      </c>
      <c r="U320" s="83">
        <f t="shared" si="8"/>
        <v>0</v>
      </c>
      <c r="V320" s="88" t="str">
        <f>ifs($N320="",VLOOKUP($C320&amp;$F320,'MARCH - VISIT DATA'!$A$2:$J600,7,FALSE), $N320="SWAB","OUTSA-RW",$N320="SWQU","OUTSA-SaQu", AND($L320="X",$M320="X",$N320="QUEST"),"OUT-UAQPre",$N320="QUEST","OUT-UAQ", $N320="Walk in","ColUATele")</f>
        <v>#N/A</v>
      </c>
      <c r="W320" s="70" t="str">
        <f t="shared" si="9"/>
        <v>#N/A</v>
      </c>
      <c r="X320" s="64" t="str">
        <f t="shared" si="10"/>
        <v/>
      </c>
      <c r="Y320" s="64" t="str">
        <f t="shared" si="11"/>
        <v/>
      </c>
      <c r="Z320" s="66" t="str">
        <f t="shared" si="12"/>
        <v> </v>
      </c>
      <c r="AA320" s="71"/>
    </row>
    <row r="321" ht="15.75" customHeight="1">
      <c r="A321" s="56" t="str">
        <f t="shared" si="1"/>
        <v/>
      </c>
      <c r="B321" s="56" t="str">
        <f>IFS($C321=FALSE,"",$C321,VLOOKUP($C321,'PATIENT DATA (072721)'!A:C, 2, 0))</f>
        <v/>
      </c>
      <c r="C321" s="57"/>
      <c r="D321" s="127" t="str">
        <f>IF(COUNTIF('PATIENT DATA (072721)'!A:A, C321)=0, "X","✓")</f>
        <v>X</v>
      </c>
      <c r="E321" s="79"/>
      <c r="F321" s="80"/>
      <c r="G321" s="81" t="str">
        <f>ifs($C321="","",$C321, VLOOKUP($C321&amp;$F321, 'MARCH - VISIT DATA'!A:O,3,0))</f>
        <v/>
      </c>
      <c r="H321" s="83"/>
      <c r="I321" s="122" t="str">
        <f>VLOOKUP($C321&amp;$F321,'MARCH - VISIT DATA'!A:J, 9, FALSE)</f>
        <v>#N/A</v>
      </c>
      <c r="J321" s="85" t="str">
        <f>VLOOKUP(C321&amp;F321,'MARCH - VISIT DATA'!A:O,10,FALSE)</f>
        <v>#N/A</v>
      </c>
      <c r="K321" s="86"/>
      <c r="L321" s="86"/>
      <c r="M321" s="86"/>
      <c r="N321" s="86"/>
      <c r="O321" s="121" t="str">
        <f t="shared" si="2"/>
        <v>X</v>
      </c>
      <c r="P321" s="79" t="str">
        <f t="shared" si="3"/>
        <v>#N/A</v>
      </c>
      <c r="Q321" s="123" t="str">
        <f t="shared" si="4"/>
        <v>#N/A</v>
      </c>
      <c r="R321" s="124" t="str">
        <f t="shared" si="5"/>
        <v>#N/A</v>
      </c>
      <c r="S321" s="125" t="str">
        <f t="shared" si="6"/>
        <v>#N/A</v>
      </c>
      <c r="T321" s="125" t="str">
        <f t="shared" si="7"/>
        <v>#N/A</v>
      </c>
      <c r="U321" s="83">
        <f t="shared" si="8"/>
        <v>0</v>
      </c>
      <c r="V321" s="88" t="str">
        <f>ifs($N321="",VLOOKUP($C321&amp;$F321,'MARCH - VISIT DATA'!$A$2:$J600,7,FALSE), $N321="SWAB","OUTSA-RW",$N321="SWQU","OUTSA-SaQu", AND($L321="X",$M321="X",$N321="QUEST"),"OUT-UAQPre",$N321="QUEST","OUT-UAQ", $N321="Walk in","ColUATele")</f>
        <v>#N/A</v>
      </c>
      <c r="W321" s="70" t="str">
        <f t="shared" si="9"/>
        <v>#N/A</v>
      </c>
      <c r="X321" s="64" t="str">
        <f t="shared" si="10"/>
        <v/>
      </c>
      <c r="Y321" s="64" t="str">
        <f t="shared" si="11"/>
        <v/>
      </c>
      <c r="Z321" s="66" t="str">
        <f t="shared" si="12"/>
        <v> </v>
      </c>
      <c r="AA321" s="71"/>
    </row>
    <row r="322" ht="15.75" customHeight="1">
      <c r="A322" s="56" t="str">
        <f t="shared" si="1"/>
        <v/>
      </c>
      <c r="B322" s="56" t="str">
        <f>IFS($C322=FALSE,"",$C322,VLOOKUP($C322,'PATIENT DATA (072721)'!A:C, 2, 0))</f>
        <v/>
      </c>
      <c r="C322" s="57"/>
      <c r="D322" s="127" t="str">
        <f>IF(COUNTIF('PATIENT DATA (072721)'!A:A, C322)=0, "X","✓")</f>
        <v>X</v>
      </c>
      <c r="E322" s="79"/>
      <c r="F322" s="80"/>
      <c r="G322" s="81" t="str">
        <f>ifs($C322="","",$C322, VLOOKUP($C322&amp;$F322, 'MARCH - VISIT DATA'!A:O,3,0))</f>
        <v/>
      </c>
      <c r="H322" s="83"/>
      <c r="I322" s="122" t="str">
        <f>VLOOKUP($C322&amp;$F322,'MARCH - VISIT DATA'!A:J, 9, FALSE)</f>
        <v>#N/A</v>
      </c>
      <c r="J322" s="85" t="str">
        <f>VLOOKUP(C322&amp;F322,'MARCH - VISIT DATA'!A:O,10,FALSE)</f>
        <v>#N/A</v>
      </c>
      <c r="K322" s="86"/>
      <c r="L322" s="86"/>
      <c r="M322" s="86"/>
      <c r="N322" s="86"/>
      <c r="O322" s="121" t="str">
        <f t="shared" si="2"/>
        <v>X</v>
      </c>
      <c r="P322" s="79" t="str">
        <f t="shared" si="3"/>
        <v>#N/A</v>
      </c>
      <c r="Q322" s="123" t="str">
        <f t="shared" si="4"/>
        <v>#N/A</v>
      </c>
      <c r="R322" s="124" t="str">
        <f t="shared" si="5"/>
        <v>#N/A</v>
      </c>
      <c r="S322" s="125" t="str">
        <f t="shared" si="6"/>
        <v>#N/A</v>
      </c>
      <c r="T322" s="125" t="str">
        <f t="shared" si="7"/>
        <v>#N/A</v>
      </c>
      <c r="U322" s="83">
        <f t="shared" si="8"/>
        <v>0</v>
      </c>
      <c r="V322" s="88" t="str">
        <f>ifs($N322="",VLOOKUP($C322&amp;$F322,'MARCH - VISIT DATA'!$A$2:$J600,7,FALSE), $N322="SWAB","OUTSA-RW",$N322="SWQU","OUTSA-SaQu", AND($L322="X",$M322="X",$N322="QUEST"),"OUT-UAQPre",$N322="QUEST","OUT-UAQ", $N322="Walk in","ColUATele")</f>
        <v>#N/A</v>
      </c>
      <c r="W322" s="70" t="str">
        <f t="shared" si="9"/>
        <v>#N/A</v>
      </c>
      <c r="X322" s="64" t="str">
        <f t="shared" si="10"/>
        <v/>
      </c>
      <c r="Y322" s="64" t="str">
        <f t="shared" si="11"/>
        <v/>
      </c>
      <c r="Z322" s="66" t="str">
        <f t="shared" si="12"/>
        <v> </v>
      </c>
      <c r="AA322" s="71"/>
    </row>
    <row r="323" ht="15.75" customHeight="1">
      <c r="A323" s="56" t="str">
        <f t="shared" si="1"/>
        <v/>
      </c>
      <c r="B323" s="56" t="str">
        <f>IFS($C323=FALSE,"",$C323,VLOOKUP($C323,'PATIENT DATA (072721)'!A:C, 2, 0))</f>
        <v/>
      </c>
      <c r="C323" s="57"/>
      <c r="D323" s="127" t="str">
        <f>IF(COUNTIF('PATIENT DATA (072721)'!A:A, C323)=0, "X","✓")</f>
        <v>X</v>
      </c>
      <c r="E323" s="79"/>
      <c r="F323" s="80"/>
      <c r="G323" s="81" t="str">
        <f>ifs($C323="","",$C323, VLOOKUP($C323&amp;$F323, 'MARCH - VISIT DATA'!A:O,3,0))</f>
        <v/>
      </c>
      <c r="H323" s="83"/>
      <c r="I323" s="122" t="str">
        <f>VLOOKUP($C323&amp;$F323,'MARCH - VISIT DATA'!A:J, 9, FALSE)</f>
        <v>#N/A</v>
      </c>
      <c r="J323" s="85" t="str">
        <f>VLOOKUP(C323&amp;F323,'MARCH - VISIT DATA'!A:O,10,FALSE)</f>
        <v>#N/A</v>
      </c>
      <c r="K323" s="86"/>
      <c r="L323" s="86"/>
      <c r="M323" s="86"/>
      <c r="N323" s="86"/>
      <c r="O323" s="121" t="str">
        <f t="shared" si="2"/>
        <v>X</v>
      </c>
      <c r="P323" s="79" t="str">
        <f t="shared" si="3"/>
        <v>#N/A</v>
      </c>
      <c r="Q323" s="123" t="str">
        <f t="shared" si="4"/>
        <v>#N/A</v>
      </c>
      <c r="R323" s="124" t="str">
        <f t="shared" si="5"/>
        <v>#N/A</v>
      </c>
      <c r="S323" s="125" t="str">
        <f t="shared" si="6"/>
        <v>#N/A</v>
      </c>
      <c r="T323" s="125" t="str">
        <f t="shared" si="7"/>
        <v>#N/A</v>
      </c>
      <c r="U323" s="83">
        <f t="shared" si="8"/>
        <v>0</v>
      </c>
      <c r="V323" s="88" t="str">
        <f>ifs($N323="",VLOOKUP($C323&amp;$F323,'MARCH - VISIT DATA'!$A$2:$J600,7,FALSE), $N323="SWAB","OUTSA-RW",$N323="SWQU","OUTSA-SaQu", AND($L323="X",$M323="X",$N323="QUEST"),"OUT-UAQPre",$N323="QUEST","OUT-UAQ", $N323="Walk in","ColUATele")</f>
        <v>#N/A</v>
      </c>
      <c r="W323" s="70" t="str">
        <f t="shared" si="9"/>
        <v>#N/A</v>
      </c>
      <c r="X323" s="64" t="str">
        <f t="shared" si="10"/>
        <v/>
      </c>
      <c r="Y323" s="64" t="str">
        <f t="shared" si="11"/>
        <v/>
      </c>
      <c r="Z323" s="66" t="str">
        <f t="shared" si="12"/>
        <v> </v>
      </c>
      <c r="AA323" s="71"/>
    </row>
    <row r="324" ht="15.75" customHeight="1">
      <c r="A324" s="56" t="str">
        <f t="shared" si="1"/>
        <v/>
      </c>
      <c r="B324" s="56" t="str">
        <f>IFS($C324=FALSE,"",$C324,VLOOKUP($C324,'PATIENT DATA (072721)'!A:C, 2, 0))</f>
        <v/>
      </c>
      <c r="C324" s="57"/>
      <c r="D324" s="127" t="str">
        <f>IF(COUNTIF('PATIENT DATA (072721)'!A:A, C324)=0, "X","✓")</f>
        <v>X</v>
      </c>
      <c r="E324" s="79"/>
      <c r="F324" s="80"/>
      <c r="G324" s="81" t="str">
        <f>ifs($C324="","",$C324, VLOOKUP($C324&amp;$F324, 'MARCH - VISIT DATA'!A:O,3,0))</f>
        <v/>
      </c>
      <c r="H324" s="83"/>
      <c r="I324" s="122" t="str">
        <f>VLOOKUP($C324&amp;$F324,'MARCH - VISIT DATA'!A:J, 9, FALSE)</f>
        <v>#N/A</v>
      </c>
      <c r="J324" s="85" t="str">
        <f>VLOOKUP(C324&amp;F324,'MARCH - VISIT DATA'!A:O,10,FALSE)</f>
        <v>#N/A</v>
      </c>
      <c r="K324" s="86"/>
      <c r="L324" s="86"/>
      <c r="M324" s="86"/>
      <c r="N324" s="86"/>
      <c r="O324" s="121" t="str">
        <f t="shared" si="2"/>
        <v>X</v>
      </c>
      <c r="P324" s="79" t="str">
        <f t="shared" si="3"/>
        <v>#N/A</v>
      </c>
      <c r="Q324" s="123" t="str">
        <f t="shared" si="4"/>
        <v>#N/A</v>
      </c>
      <c r="R324" s="124" t="str">
        <f t="shared" si="5"/>
        <v>#N/A</v>
      </c>
      <c r="S324" s="125" t="str">
        <f t="shared" si="6"/>
        <v>#N/A</v>
      </c>
      <c r="T324" s="125" t="str">
        <f t="shared" si="7"/>
        <v>#N/A</v>
      </c>
      <c r="U324" s="83">
        <f t="shared" si="8"/>
        <v>0</v>
      </c>
      <c r="V324" s="88" t="str">
        <f>ifs($N324="",VLOOKUP($C324&amp;$F324,'MARCH - VISIT DATA'!$A$2:$J600,7,FALSE), $N324="SWAB","OUTSA-RW",$N324="SWQU","OUTSA-SaQu", AND($L324="X",$M324="X",$N324="QUEST"),"OUT-UAQPre",$N324="QUEST","OUT-UAQ", $N324="Walk in","ColUATele")</f>
        <v>#N/A</v>
      </c>
      <c r="W324" s="70" t="str">
        <f t="shared" si="9"/>
        <v>#N/A</v>
      </c>
      <c r="X324" s="64" t="str">
        <f t="shared" si="10"/>
        <v/>
      </c>
      <c r="Y324" s="64" t="str">
        <f t="shared" si="11"/>
        <v/>
      </c>
      <c r="Z324" s="66" t="str">
        <f t="shared" si="12"/>
        <v> </v>
      </c>
      <c r="AA324" s="71"/>
    </row>
    <row r="325" ht="15.75" customHeight="1">
      <c r="A325" s="56" t="str">
        <f t="shared" si="1"/>
        <v/>
      </c>
      <c r="B325" s="56" t="str">
        <f>IFS($C325=FALSE,"",$C325,VLOOKUP($C325,'PATIENT DATA (072721)'!A:C, 2, 0))</f>
        <v/>
      </c>
      <c r="C325" s="57"/>
      <c r="D325" s="127" t="str">
        <f>IF(COUNTIF('PATIENT DATA (072721)'!A:A, C325)=0, "X","✓")</f>
        <v>X</v>
      </c>
      <c r="E325" s="79"/>
      <c r="F325" s="80"/>
      <c r="G325" s="81" t="str">
        <f>ifs($C325="","",$C325, VLOOKUP($C325&amp;$F325, 'MARCH - VISIT DATA'!A:O,3,0))</f>
        <v/>
      </c>
      <c r="H325" s="83"/>
      <c r="I325" s="122" t="str">
        <f>VLOOKUP($C325&amp;$F325,'MARCH - VISIT DATA'!A:J, 9, FALSE)</f>
        <v>#N/A</v>
      </c>
      <c r="J325" s="85" t="str">
        <f>VLOOKUP(C325&amp;F325,'MARCH - VISIT DATA'!A:O,10,FALSE)</f>
        <v>#N/A</v>
      </c>
      <c r="K325" s="86"/>
      <c r="L325" s="86"/>
      <c r="M325" s="86"/>
      <c r="N325" s="86"/>
      <c r="O325" s="121" t="str">
        <f t="shared" si="2"/>
        <v>X</v>
      </c>
      <c r="P325" s="79" t="str">
        <f t="shared" si="3"/>
        <v>#N/A</v>
      </c>
      <c r="Q325" s="123" t="str">
        <f t="shared" si="4"/>
        <v>#N/A</v>
      </c>
      <c r="R325" s="124" t="str">
        <f t="shared" si="5"/>
        <v>#N/A</v>
      </c>
      <c r="S325" s="125" t="str">
        <f t="shared" si="6"/>
        <v>#N/A</v>
      </c>
      <c r="T325" s="125" t="str">
        <f t="shared" si="7"/>
        <v>#N/A</v>
      </c>
      <c r="U325" s="83">
        <f t="shared" si="8"/>
        <v>0</v>
      </c>
      <c r="V325" s="88" t="str">
        <f>ifs($N325="",VLOOKUP($C325&amp;$F325,'MARCH - VISIT DATA'!$A$2:$J600,7,FALSE), $N325="SWAB","OUTSA-RW",$N325="SWQU","OUTSA-SaQu", AND($L325="X",$M325="X",$N325="QUEST"),"OUT-UAQPre",$N325="QUEST","OUT-UAQ", $N325="Walk in","ColUATele")</f>
        <v>#N/A</v>
      </c>
      <c r="W325" s="70" t="str">
        <f t="shared" si="9"/>
        <v>#N/A</v>
      </c>
      <c r="X325" s="64" t="str">
        <f t="shared" si="10"/>
        <v/>
      </c>
      <c r="Y325" s="64" t="str">
        <f t="shared" si="11"/>
        <v/>
      </c>
      <c r="Z325" s="66" t="str">
        <f t="shared" si="12"/>
        <v> </v>
      </c>
      <c r="AA325" s="71"/>
    </row>
    <row r="326" ht="15.75" customHeight="1">
      <c r="A326" s="56" t="str">
        <f t="shared" si="1"/>
        <v/>
      </c>
      <c r="B326" s="56" t="str">
        <f>IFS($C326=FALSE,"",$C326,VLOOKUP($C326,'PATIENT DATA (072721)'!A:C, 2, 0))</f>
        <v/>
      </c>
      <c r="C326" s="57"/>
      <c r="D326" s="127" t="str">
        <f>IF(COUNTIF('PATIENT DATA (072721)'!A:A, C326)=0, "X","✓")</f>
        <v>X</v>
      </c>
      <c r="E326" s="79"/>
      <c r="F326" s="80"/>
      <c r="G326" s="81" t="str">
        <f>ifs($C326="","",$C326, VLOOKUP($C326&amp;$F326, 'MARCH - VISIT DATA'!A:O,3,0))</f>
        <v/>
      </c>
      <c r="H326" s="83"/>
      <c r="I326" s="122" t="str">
        <f>VLOOKUP($C326&amp;$F326,'MARCH - VISIT DATA'!A:J, 9, FALSE)</f>
        <v>#N/A</v>
      </c>
      <c r="J326" s="85" t="str">
        <f>VLOOKUP(C326&amp;F326,'MARCH - VISIT DATA'!A:O,10,FALSE)</f>
        <v>#N/A</v>
      </c>
      <c r="K326" s="86"/>
      <c r="L326" s="86"/>
      <c r="M326" s="86"/>
      <c r="N326" s="86"/>
      <c r="O326" s="121" t="str">
        <f t="shared" si="2"/>
        <v>X</v>
      </c>
      <c r="P326" s="79" t="str">
        <f t="shared" si="3"/>
        <v>#N/A</v>
      </c>
      <c r="Q326" s="123" t="str">
        <f t="shared" si="4"/>
        <v>#N/A</v>
      </c>
      <c r="R326" s="124" t="str">
        <f t="shared" si="5"/>
        <v>#N/A</v>
      </c>
      <c r="S326" s="125" t="str">
        <f t="shared" si="6"/>
        <v>#N/A</v>
      </c>
      <c r="T326" s="125" t="str">
        <f t="shared" si="7"/>
        <v>#N/A</v>
      </c>
      <c r="U326" s="83">
        <f t="shared" si="8"/>
        <v>0</v>
      </c>
      <c r="V326" s="88" t="str">
        <f>ifs($N326="",VLOOKUP($C326&amp;$F326,'MARCH - VISIT DATA'!$A$2:$J600,7,FALSE), $N326="SWAB","OUTSA-RW",$N326="SWQU","OUTSA-SaQu", AND($L326="X",$M326="X",$N326="QUEST"),"OUT-UAQPre",$N326="QUEST","OUT-UAQ", $N326="Walk in","ColUATele")</f>
        <v>#N/A</v>
      </c>
      <c r="W326" s="70" t="str">
        <f t="shared" si="9"/>
        <v>#N/A</v>
      </c>
      <c r="X326" s="64" t="str">
        <f t="shared" si="10"/>
        <v/>
      </c>
      <c r="Y326" s="64" t="str">
        <f t="shared" si="11"/>
        <v/>
      </c>
      <c r="Z326" s="66" t="str">
        <f t="shared" si="12"/>
        <v> </v>
      </c>
      <c r="AA326" s="71"/>
    </row>
    <row r="327" ht="15.75" customHeight="1">
      <c r="A327" s="56" t="str">
        <f t="shared" si="1"/>
        <v/>
      </c>
      <c r="B327" s="56" t="str">
        <f>IFS($C327=FALSE,"",$C327,VLOOKUP($C327,'PATIENT DATA (072721)'!A:C, 2, 0))</f>
        <v/>
      </c>
      <c r="C327" s="57"/>
      <c r="D327" s="127" t="str">
        <f>IF(COUNTIF('PATIENT DATA (072721)'!A:A, C327)=0, "X","✓")</f>
        <v>X</v>
      </c>
      <c r="E327" s="79"/>
      <c r="F327" s="80"/>
      <c r="G327" s="81" t="str">
        <f>ifs($C327="","",$C327, VLOOKUP($C327&amp;$F327, 'MARCH - VISIT DATA'!A:O,3,0))</f>
        <v/>
      </c>
      <c r="H327" s="83"/>
      <c r="I327" s="122" t="str">
        <f>VLOOKUP($C327&amp;$F327,'MARCH - VISIT DATA'!A:J, 9, FALSE)</f>
        <v>#N/A</v>
      </c>
      <c r="J327" s="85" t="str">
        <f>VLOOKUP(C327&amp;F327,'MARCH - VISIT DATA'!A:O,10,FALSE)</f>
        <v>#N/A</v>
      </c>
      <c r="K327" s="86"/>
      <c r="L327" s="86"/>
      <c r="M327" s="86"/>
      <c r="N327" s="86"/>
      <c r="O327" s="121" t="str">
        <f t="shared" si="2"/>
        <v>X</v>
      </c>
      <c r="P327" s="79" t="str">
        <f t="shared" si="3"/>
        <v>#N/A</v>
      </c>
      <c r="Q327" s="123" t="str">
        <f t="shared" si="4"/>
        <v>#N/A</v>
      </c>
      <c r="R327" s="124" t="str">
        <f t="shared" si="5"/>
        <v>#N/A</v>
      </c>
      <c r="S327" s="125" t="str">
        <f t="shared" si="6"/>
        <v>#N/A</v>
      </c>
      <c r="T327" s="125" t="str">
        <f t="shared" si="7"/>
        <v>#N/A</v>
      </c>
      <c r="U327" s="83">
        <f t="shared" si="8"/>
        <v>0</v>
      </c>
      <c r="V327" s="88" t="str">
        <f>ifs($N327="",VLOOKUP($C327&amp;$F327,'MARCH - VISIT DATA'!$A$2:$J600,7,FALSE), $N327="SWAB","OUTSA-RW",$N327="SWQU","OUTSA-SaQu", AND($L327="X",$M327="X",$N327="QUEST"),"OUT-UAQPre",$N327="QUEST","OUT-UAQ", $N327="Walk in","ColUATele")</f>
        <v>#N/A</v>
      </c>
      <c r="W327" s="70" t="str">
        <f t="shared" si="9"/>
        <v>#N/A</v>
      </c>
      <c r="X327" s="64" t="str">
        <f t="shared" si="10"/>
        <v/>
      </c>
      <c r="Y327" s="64" t="str">
        <f t="shared" si="11"/>
        <v/>
      </c>
      <c r="Z327" s="66" t="str">
        <f t="shared" si="12"/>
        <v> </v>
      </c>
      <c r="AA327" s="71"/>
    </row>
    <row r="328" ht="15.75" customHeight="1">
      <c r="A328" s="56" t="str">
        <f t="shared" si="1"/>
        <v/>
      </c>
      <c r="B328" s="56" t="str">
        <f>IFS($C328=FALSE,"",$C328,VLOOKUP($C328,'PATIENT DATA (072721)'!A:C, 2, 0))</f>
        <v/>
      </c>
      <c r="C328" s="57"/>
      <c r="D328" s="127" t="str">
        <f>IF(COUNTIF('PATIENT DATA (072721)'!A:A, C328)=0, "X","✓")</f>
        <v>X</v>
      </c>
      <c r="E328" s="79"/>
      <c r="F328" s="80"/>
      <c r="G328" s="81" t="str">
        <f>ifs($C328="","",$C328, VLOOKUP($C328&amp;$F328, 'MARCH - VISIT DATA'!A:O,3,0))</f>
        <v/>
      </c>
      <c r="H328" s="83"/>
      <c r="I328" s="122" t="str">
        <f>VLOOKUP($C328&amp;$F328,'MARCH - VISIT DATA'!A:J, 9, FALSE)</f>
        <v>#N/A</v>
      </c>
      <c r="J328" s="85" t="str">
        <f>VLOOKUP(C328&amp;F328,'MARCH - VISIT DATA'!A:O,10,FALSE)</f>
        <v>#N/A</v>
      </c>
      <c r="K328" s="86"/>
      <c r="L328" s="86"/>
      <c r="M328" s="86"/>
      <c r="N328" s="86"/>
      <c r="O328" s="121" t="str">
        <f t="shared" si="2"/>
        <v>X</v>
      </c>
      <c r="P328" s="79" t="str">
        <f t="shared" si="3"/>
        <v>#N/A</v>
      </c>
      <c r="Q328" s="123" t="str">
        <f t="shared" si="4"/>
        <v>#N/A</v>
      </c>
      <c r="R328" s="124" t="str">
        <f t="shared" si="5"/>
        <v>#N/A</v>
      </c>
      <c r="S328" s="125" t="str">
        <f t="shared" si="6"/>
        <v>#N/A</v>
      </c>
      <c r="T328" s="125" t="str">
        <f t="shared" si="7"/>
        <v>#N/A</v>
      </c>
      <c r="U328" s="83">
        <f t="shared" si="8"/>
        <v>0</v>
      </c>
      <c r="V328" s="88" t="str">
        <f>ifs($N328="",VLOOKUP($C328&amp;$F328,'MARCH - VISIT DATA'!$A$2:$J600,7,FALSE), $N328="SWAB","OUTSA-RW",$N328="SWQU","OUTSA-SaQu", AND($L328="X",$M328="X",$N328="QUEST"),"OUT-UAQPre",$N328="QUEST","OUT-UAQ", $N328="Walk in","ColUATele")</f>
        <v>#N/A</v>
      </c>
      <c r="W328" s="70" t="str">
        <f t="shared" si="9"/>
        <v>#N/A</v>
      </c>
      <c r="X328" s="64" t="str">
        <f t="shared" si="10"/>
        <v/>
      </c>
      <c r="Y328" s="64" t="str">
        <f t="shared" si="11"/>
        <v/>
      </c>
      <c r="Z328" s="66" t="str">
        <f t="shared" si="12"/>
        <v> </v>
      </c>
      <c r="AA328" s="71"/>
    </row>
    <row r="329" ht="15.75" customHeight="1">
      <c r="A329" s="56" t="str">
        <f t="shared" si="1"/>
        <v/>
      </c>
      <c r="B329" s="56" t="str">
        <f>IFS($C329=FALSE,"",$C329,VLOOKUP($C329,'PATIENT DATA (072721)'!A:C, 2, 0))</f>
        <v/>
      </c>
      <c r="C329" s="57"/>
      <c r="D329" s="127" t="str">
        <f>IF(COUNTIF('PATIENT DATA (072721)'!A:A, C329)=0, "X","✓")</f>
        <v>X</v>
      </c>
      <c r="E329" s="79"/>
      <c r="F329" s="80"/>
      <c r="G329" s="81" t="str">
        <f>ifs($C329="","",$C329, VLOOKUP($C329&amp;$F329, 'MARCH - VISIT DATA'!A:O,3,0))</f>
        <v/>
      </c>
      <c r="H329" s="83"/>
      <c r="I329" s="122" t="str">
        <f>VLOOKUP($C329&amp;$F329,'MARCH - VISIT DATA'!A:J, 9, FALSE)</f>
        <v>#N/A</v>
      </c>
      <c r="J329" s="85" t="str">
        <f>VLOOKUP(C329&amp;F329,'MARCH - VISIT DATA'!A:O,10,FALSE)</f>
        <v>#N/A</v>
      </c>
      <c r="K329" s="86"/>
      <c r="L329" s="86"/>
      <c r="M329" s="86"/>
      <c r="N329" s="86"/>
      <c r="O329" s="121" t="str">
        <f t="shared" si="2"/>
        <v>X</v>
      </c>
      <c r="P329" s="79" t="str">
        <f t="shared" si="3"/>
        <v>#N/A</v>
      </c>
      <c r="Q329" s="123" t="str">
        <f t="shared" si="4"/>
        <v>#N/A</v>
      </c>
      <c r="R329" s="124" t="str">
        <f t="shared" si="5"/>
        <v>#N/A</v>
      </c>
      <c r="S329" s="125" t="str">
        <f t="shared" si="6"/>
        <v>#N/A</v>
      </c>
      <c r="T329" s="125" t="str">
        <f t="shared" si="7"/>
        <v>#N/A</v>
      </c>
      <c r="U329" s="83">
        <f t="shared" si="8"/>
        <v>0</v>
      </c>
      <c r="V329" s="88" t="str">
        <f>ifs($N329="",VLOOKUP($C329&amp;$F329,'MARCH - VISIT DATA'!$A$2:$J600,7,FALSE), $N329="SWAB","OUTSA-RW",$N329="SWQU","OUTSA-SaQu", AND($L329="X",$M329="X",$N329="QUEST"),"OUT-UAQPre",$N329="QUEST","OUT-UAQ", $N329="Walk in","ColUATele")</f>
        <v>#N/A</v>
      </c>
      <c r="W329" s="70" t="str">
        <f t="shared" si="9"/>
        <v>#N/A</v>
      </c>
      <c r="X329" s="64" t="str">
        <f t="shared" si="10"/>
        <v/>
      </c>
      <c r="Y329" s="64" t="str">
        <f t="shared" si="11"/>
        <v/>
      </c>
      <c r="Z329" s="66" t="str">
        <f t="shared" si="12"/>
        <v> </v>
      </c>
      <c r="AA329" s="71"/>
    </row>
    <row r="330" ht="15.75" customHeight="1">
      <c r="A330" s="56" t="str">
        <f t="shared" si="1"/>
        <v/>
      </c>
      <c r="B330" s="56" t="str">
        <f>IFS($C330=FALSE,"",$C330,VLOOKUP($C330,'PATIENT DATA (072721)'!A:C, 2, 0))</f>
        <v/>
      </c>
      <c r="C330" s="57"/>
      <c r="D330" s="127" t="str">
        <f>IF(COUNTIF('PATIENT DATA (072721)'!A:A, C330)=0, "X","✓")</f>
        <v>X</v>
      </c>
      <c r="E330" s="79"/>
      <c r="F330" s="80"/>
      <c r="G330" s="81" t="str">
        <f>ifs($C330="","",$C330, VLOOKUP($C330&amp;$F330, 'MARCH - VISIT DATA'!A:O,3,0))</f>
        <v/>
      </c>
      <c r="H330" s="83"/>
      <c r="I330" s="122" t="str">
        <f>VLOOKUP($C330&amp;$F330,'MARCH - VISIT DATA'!A:J, 9, FALSE)</f>
        <v>#N/A</v>
      </c>
      <c r="J330" s="85" t="str">
        <f>VLOOKUP(C330&amp;F330,'MARCH - VISIT DATA'!A:O,10,FALSE)</f>
        <v>#N/A</v>
      </c>
      <c r="K330" s="86"/>
      <c r="L330" s="86"/>
      <c r="M330" s="86"/>
      <c r="N330" s="86"/>
      <c r="O330" s="121" t="str">
        <f t="shared" si="2"/>
        <v>X</v>
      </c>
      <c r="P330" s="79" t="str">
        <f t="shared" si="3"/>
        <v>#N/A</v>
      </c>
      <c r="Q330" s="123" t="str">
        <f t="shared" si="4"/>
        <v>#N/A</v>
      </c>
      <c r="R330" s="124" t="str">
        <f t="shared" si="5"/>
        <v>#N/A</v>
      </c>
      <c r="S330" s="125" t="str">
        <f t="shared" si="6"/>
        <v>#N/A</v>
      </c>
      <c r="T330" s="125" t="str">
        <f t="shared" si="7"/>
        <v>#N/A</v>
      </c>
      <c r="U330" s="83">
        <f t="shared" si="8"/>
        <v>0</v>
      </c>
      <c r="V330" s="88" t="str">
        <f>ifs($N330="",VLOOKUP($C330&amp;$F330,'MARCH - VISIT DATA'!$A$2:$J600,7,FALSE), $N330="SWAB","OUTSA-RW",$N330="SWQU","OUTSA-SaQu", AND($L330="X",$M330="X",$N330="QUEST"),"OUT-UAQPre",$N330="QUEST","OUT-UAQ", $N330="Walk in","ColUATele")</f>
        <v>#N/A</v>
      </c>
      <c r="W330" s="70" t="str">
        <f t="shared" si="9"/>
        <v>#N/A</v>
      </c>
      <c r="X330" s="64" t="str">
        <f t="shared" si="10"/>
        <v/>
      </c>
      <c r="Y330" s="64" t="str">
        <f t="shared" si="11"/>
        <v/>
      </c>
      <c r="Z330" s="66" t="str">
        <f t="shared" si="12"/>
        <v> </v>
      </c>
      <c r="AA330" s="71"/>
    </row>
    <row r="331" ht="15.75" customHeight="1">
      <c r="A331" s="56" t="str">
        <f t="shared" si="1"/>
        <v/>
      </c>
      <c r="B331" s="56" t="str">
        <f>IFS($C331=FALSE,"",$C331,VLOOKUP($C331,'PATIENT DATA (072721)'!A:C, 2, 0))</f>
        <v/>
      </c>
      <c r="C331" s="57"/>
      <c r="D331" s="127" t="str">
        <f>IF(COUNTIF('PATIENT DATA (072721)'!A:A, C331)=0, "X","✓")</f>
        <v>X</v>
      </c>
      <c r="E331" s="79"/>
      <c r="F331" s="80"/>
      <c r="G331" s="81" t="str">
        <f>ifs($C331="","",$C331, VLOOKUP($C331&amp;$F331, 'MARCH - VISIT DATA'!A:O,3,0))</f>
        <v/>
      </c>
      <c r="H331" s="83"/>
      <c r="I331" s="122" t="str">
        <f>VLOOKUP($C331&amp;$F331,'MARCH - VISIT DATA'!A:J, 9, FALSE)</f>
        <v>#N/A</v>
      </c>
      <c r="J331" s="85" t="str">
        <f>VLOOKUP(C331&amp;F331,'MARCH - VISIT DATA'!A:O,10,FALSE)</f>
        <v>#N/A</v>
      </c>
      <c r="K331" s="86"/>
      <c r="L331" s="86"/>
      <c r="M331" s="86"/>
      <c r="N331" s="86"/>
      <c r="O331" s="121" t="str">
        <f t="shared" si="2"/>
        <v>X</v>
      </c>
      <c r="P331" s="79" t="str">
        <f t="shared" si="3"/>
        <v>#N/A</v>
      </c>
      <c r="Q331" s="123" t="str">
        <f t="shared" si="4"/>
        <v>#N/A</v>
      </c>
      <c r="R331" s="124" t="str">
        <f t="shared" si="5"/>
        <v>#N/A</v>
      </c>
      <c r="S331" s="125" t="str">
        <f t="shared" si="6"/>
        <v>#N/A</v>
      </c>
      <c r="T331" s="125" t="str">
        <f t="shared" si="7"/>
        <v>#N/A</v>
      </c>
      <c r="U331" s="83">
        <f t="shared" si="8"/>
        <v>0</v>
      </c>
      <c r="V331" s="88" t="str">
        <f>ifs($N331="",VLOOKUP($C331&amp;$F331,'MARCH - VISIT DATA'!$A$2:$J600,7,FALSE), $N331="SWAB","OUTSA-RW",$N331="SWQU","OUTSA-SaQu", AND($L331="X",$M331="X",$N331="QUEST"),"OUT-UAQPre",$N331="QUEST","OUT-UAQ", $N331="Walk in","ColUATele")</f>
        <v>#N/A</v>
      </c>
      <c r="W331" s="70" t="str">
        <f t="shared" si="9"/>
        <v>#N/A</v>
      </c>
      <c r="X331" s="64" t="str">
        <f t="shared" si="10"/>
        <v/>
      </c>
      <c r="Y331" s="64" t="str">
        <f t="shared" si="11"/>
        <v/>
      </c>
      <c r="Z331" s="66" t="str">
        <f t="shared" si="12"/>
        <v> </v>
      </c>
      <c r="AA331" s="71"/>
    </row>
    <row r="332" ht="15.75" customHeight="1">
      <c r="A332" s="56" t="str">
        <f t="shared" si="1"/>
        <v/>
      </c>
      <c r="B332" s="56" t="str">
        <f>IFS($C332=FALSE,"",$C332,VLOOKUP($C332,'PATIENT DATA (072721)'!A:C, 2, 0))</f>
        <v/>
      </c>
      <c r="C332" s="57"/>
      <c r="D332" s="127" t="str">
        <f>IF(COUNTIF('PATIENT DATA (072721)'!A:A, C332)=0, "X","✓")</f>
        <v>X</v>
      </c>
      <c r="E332" s="79"/>
      <c r="F332" s="80"/>
      <c r="G332" s="81" t="str">
        <f>ifs($C332="","",$C332, VLOOKUP($C332&amp;$F332, 'MARCH - VISIT DATA'!A:O,3,0))</f>
        <v/>
      </c>
      <c r="H332" s="83"/>
      <c r="I332" s="122" t="str">
        <f>VLOOKUP($C332&amp;$F332,'MARCH - VISIT DATA'!A:J, 9, FALSE)</f>
        <v>#N/A</v>
      </c>
      <c r="J332" s="85" t="str">
        <f>VLOOKUP(C332&amp;F332,'MARCH - VISIT DATA'!A:O,10,FALSE)</f>
        <v>#N/A</v>
      </c>
      <c r="K332" s="86"/>
      <c r="L332" s="86"/>
      <c r="M332" s="86"/>
      <c r="N332" s="86"/>
      <c r="O332" s="121" t="str">
        <f t="shared" si="2"/>
        <v>X</v>
      </c>
      <c r="P332" s="79" t="str">
        <f t="shared" si="3"/>
        <v>#N/A</v>
      </c>
      <c r="Q332" s="123" t="str">
        <f t="shared" si="4"/>
        <v>#N/A</v>
      </c>
      <c r="R332" s="124" t="str">
        <f t="shared" si="5"/>
        <v>#N/A</v>
      </c>
      <c r="S332" s="125" t="str">
        <f t="shared" si="6"/>
        <v>#N/A</v>
      </c>
      <c r="T332" s="125" t="str">
        <f t="shared" si="7"/>
        <v>#N/A</v>
      </c>
      <c r="U332" s="83">
        <f t="shared" si="8"/>
        <v>0</v>
      </c>
      <c r="V332" s="88" t="str">
        <f>ifs($N332="",VLOOKUP($C332&amp;$F332,'MARCH - VISIT DATA'!$A$2:$J600,7,FALSE), $N332="SWAB","OUTSA-RW",$N332="SWQU","OUTSA-SaQu", AND($L332="X",$M332="X",$N332="QUEST"),"OUT-UAQPre",$N332="QUEST","OUT-UAQ", $N332="Walk in","ColUATele")</f>
        <v>#N/A</v>
      </c>
      <c r="W332" s="70" t="str">
        <f t="shared" si="9"/>
        <v>#N/A</v>
      </c>
      <c r="X332" s="64" t="str">
        <f t="shared" si="10"/>
        <v/>
      </c>
      <c r="Y332" s="64" t="str">
        <f t="shared" si="11"/>
        <v/>
      </c>
      <c r="Z332" s="66" t="str">
        <f t="shared" si="12"/>
        <v> </v>
      </c>
      <c r="AA332" s="71"/>
    </row>
    <row r="333" ht="15.75" customHeight="1">
      <c r="A333" s="56" t="str">
        <f t="shared" si="1"/>
        <v/>
      </c>
      <c r="B333" s="56" t="str">
        <f>IFS($C333=FALSE,"",$C333,VLOOKUP($C333,'PATIENT DATA (072721)'!A:C, 2, 0))</f>
        <v/>
      </c>
      <c r="C333" s="57"/>
      <c r="D333" s="127" t="str">
        <f>IF(COUNTIF('PATIENT DATA (072721)'!A:A, C333)=0, "X","✓")</f>
        <v>X</v>
      </c>
      <c r="E333" s="79"/>
      <c r="F333" s="80"/>
      <c r="G333" s="81" t="str">
        <f>ifs($C333="","",$C333, VLOOKUP($C333&amp;$F333, 'MARCH - VISIT DATA'!A:O,3,0))</f>
        <v/>
      </c>
      <c r="H333" s="83"/>
      <c r="I333" s="122" t="str">
        <f>VLOOKUP($C333&amp;$F333,'MARCH - VISIT DATA'!A:J, 9, FALSE)</f>
        <v>#N/A</v>
      </c>
      <c r="J333" s="85" t="str">
        <f>VLOOKUP(C333&amp;F333,'MARCH - VISIT DATA'!A:O,10,FALSE)</f>
        <v>#N/A</v>
      </c>
      <c r="K333" s="86"/>
      <c r="L333" s="86"/>
      <c r="M333" s="86"/>
      <c r="N333" s="86"/>
      <c r="O333" s="121" t="str">
        <f t="shared" si="2"/>
        <v>X</v>
      </c>
      <c r="P333" s="79" t="str">
        <f t="shared" si="3"/>
        <v>#N/A</v>
      </c>
      <c r="Q333" s="123" t="str">
        <f t="shared" si="4"/>
        <v>#N/A</v>
      </c>
      <c r="R333" s="124" t="str">
        <f t="shared" si="5"/>
        <v>#N/A</v>
      </c>
      <c r="S333" s="125" t="str">
        <f t="shared" si="6"/>
        <v>#N/A</v>
      </c>
      <c r="T333" s="125" t="str">
        <f t="shared" si="7"/>
        <v>#N/A</v>
      </c>
      <c r="U333" s="83">
        <f t="shared" si="8"/>
        <v>0</v>
      </c>
      <c r="V333" s="88" t="str">
        <f>ifs($N333="",VLOOKUP($C333&amp;$F333,'MARCH - VISIT DATA'!$A$2:$J600,7,FALSE), $N333="SWAB","OUTSA-RW",$N333="SWQU","OUTSA-SaQu", AND($L333="X",$M333="X",$N333="QUEST"),"OUT-UAQPre",$N333="QUEST","OUT-UAQ", $N333="Walk in","ColUATele")</f>
        <v>#N/A</v>
      </c>
      <c r="W333" s="70" t="str">
        <f t="shared" si="9"/>
        <v>#N/A</v>
      </c>
      <c r="X333" s="64" t="str">
        <f t="shared" si="10"/>
        <v/>
      </c>
      <c r="Y333" s="64" t="str">
        <f t="shared" si="11"/>
        <v/>
      </c>
      <c r="Z333" s="66" t="str">
        <f t="shared" si="12"/>
        <v> </v>
      </c>
      <c r="AA333" s="71"/>
    </row>
    <row r="334" ht="15.75" customHeight="1">
      <c r="A334" s="56" t="str">
        <f t="shared" si="1"/>
        <v/>
      </c>
      <c r="B334" s="56" t="str">
        <f>IFS($C334=FALSE,"",$C334,VLOOKUP($C334,'PATIENT DATA (072721)'!A:C, 2, 0))</f>
        <v/>
      </c>
      <c r="C334" s="57"/>
      <c r="D334" s="127" t="str">
        <f>IF(COUNTIF('PATIENT DATA (072721)'!A:A, C334)=0, "X","✓")</f>
        <v>X</v>
      </c>
      <c r="E334" s="79"/>
      <c r="F334" s="80"/>
      <c r="G334" s="81" t="str">
        <f>ifs($C334="","",$C334, VLOOKUP($C334&amp;$F334, 'MARCH - VISIT DATA'!A:O,3,0))</f>
        <v/>
      </c>
      <c r="H334" s="83"/>
      <c r="I334" s="122" t="str">
        <f>VLOOKUP($C334&amp;$F334,'MARCH - VISIT DATA'!A:J, 9, FALSE)</f>
        <v>#N/A</v>
      </c>
      <c r="J334" s="85" t="str">
        <f>VLOOKUP(C334&amp;F334,'MARCH - VISIT DATA'!A:O,10,FALSE)</f>
        <v>#N/A</v>
      </c>
      <c r="K334" s="86"/>
      <c r="L334" s="86"/>
      <c r="M334" s="86"/>
      <c r="N334" s="86"/>
      <c r="O334" s="121" t="str">
        <f t="shared" si="2"/>
        <v>X</v>
      </c>
      <c r="P334" s="79" t="str">
        <f t="shared" si="3"/>
        <v>#N/A</v>
      </c>
      <c r="Q334" s="123" t="str">
        <f t="shared" si="4"/>
        <v>#N/A</v>
      </c>
      <c r="R334" s="124" t="str">
        <f t="shared" si="5"/>
        <v>#N/A</v>
      </c>
      <c r="S334" s="125" t="str">
        <f t="shared" si="6"/>
        <v>#N/A</v>
      </c>
      <c r="T334" s="125" t="str">
        <f t="shared" si="7"/>
        <v>#N/A</v>
      </c>
      <c r="U334" s="83">
        <f t="shared" si="8"/>
        <v>0</v>
      </c>
      <c r="V334" s="88" t="str">
        <f>ifs($N334="",VLOOKUP($C334&amp;$F334,'MARCH - VISIT DATA'!$A$2:$J600,7,FALSE), $N334="SWAB","OUTSA-RW",$N334="SWQU","OUTSA-SaQu", AND($L334="X",$M334="X",$N334="QUEST"),"OUT-UAQPre",$N334="QUEST","OUT-UAQ", $N334="Walk in","ColUATele")</f>
        <v>#N/A</v>
      </c>
      <c r="W334" s="70" t="str">
        <f t="shared" si="9"/>
        <v>#N/A</v>
      </c>
      <c r="X334" s="64" t="str">
        <f t="shared" si="10"/>
        <v/>
      </c>
      <c r="Y334" s="64" t="str">
        <f t="shared" si="11"/>
        <v/>
      </c>
      <c r="Z334" s="66" t="str">
        <f t="shared" si="12"/>
        <v> </v>
      </c>
      <c r="AA334" s="71"/>
    </row>
    <row r="335" ht="15.75" customHeight="1">
      <c r="A335" s="56" t="str">
        <f t="shared" si="1"/>
        <v/>
      </c>
      <c r="B335" s="56" t="str">
        <f>IFS($C335=FALSE,"",$C335,VLOOKUP($C335,'PATIENT DATA (072721)'!A:C, 2, 0))</f>
        <v/>
      </c>
      <c r="C335" s="57"/>
      <c r="D335" s="127" t="str">
        <f>IF(COUNTIF('PATIENT DATA (072721)'!A:A, C335)=0, "X","✓")</f>
        <v>X</v>
      </c>
      <c r="E335" s="79"/>
      <c r="F335" s="80"/>
      <c r="G335" s="81" t="str">
        <f>ifs($C335="","",$C335, VLOOKUP($C335&amp;$F335, 'MARCH - VISIT DATA'!A:O,3,0))</f>
        <v/>
      </c>
      <c r="H335" s="83"/>
      <c r="I335" s="122" t="str">
        <f>VLOOKUP($C335&amp;$F335,'MARCH - VISIT DATA'!A:J, 9, FALSE)</f>
        <v>#N/A</v>
      </c>
      <c r="J335" s="85" t="str">
        <f>VLOOKUP(C335&amp;F335,'MARCH - VISIT DATA'!A:O,10,FALSE)</f>
        <v>#N/A</v>
      </c>
      <c r="K335" s="86"/>
      <c r="L335" s="86"/>
      <c r="M335" s="86"/>
      <c r="N335" s="86"/>
      <c r="O335" s="121" t="str">
        <f t="shared" si="2"/>
        <v>X</v>
      </c>
      <c r="P335" s="79" t="str">
        <f t="shared" si="3"/>
        <v>#N/A</v>
      </c>
      <c r="Q335" s="123" t="str">
        <f t="shared" si="4"/>
        <v>#N/A</v>
      </c>
      <c r="R335" s="124" t="str">
        <f t="shared" si="5"/>
        <v>#N/A</v>
      </c>
      <c r="S335" s="125" t="str">
        <f t="shared" si="6"/>
        <v>#N/A</v>
      </c>
      <c r="T335" s="125" t="str">
        <f t="shared" si="7"/>
        <v>#N/A</v>
      </c>
      <c r="U335" s="83">
        <f t="shared" si="8"/>
        <v>0</v>
      </c>
      <c r="V335" s="88" t="str">
        <f>ifs($N335="",VLOOKUP($C335&amp;$F335,'MARCH - VISIT DATA'!$A$2:$J600,7,FALSE), $N335="SWAB","OUTSA-RW",$N335="SWQU","OUTSA-SaQu", AND($L335="X",$M335="X",$N335="QUEST"),"OUT-UAQPre",$N335="QUEST","OUT-UAQ", $N335="Walk in","ColUATele")</f>
        <v>#N/A</v>
      </c>
      <c r="W335" s="70" t="str">
        <f t="shared" si="9"/>
        <v>#N/A</v>
      </c>
      <c r="X335" s="64" t="str">
        <f t="shared" si="10"/>
        <v/>
      </c>
      <c r="Y335" s="64" t="str">
        <f t="shared" si="11"/>
        <v/>
      </c>
      <c r="Z335" s="66" t="str">
        <f t="shared" si="12"/>
        <v> </v>
      </c>
      <c r="AA335" s="71"/>
    </row>
    <row r="336" ht="15.75" customHeight="1">
      <c r="A336" s="56" t="str">
        <f t="shared" si="1"/>
        <v/>
      </c>
      <c r="B336" s="56" t="str">
        <f>IFS($C336=FALSE,"",$C336,VLOOKUP($C336,'PATIENT DATA (072721)'!A:C, 2, 0))</f>
        <v/>
      </c>
      <c r="C336" s="57"/>
      <c r="D336" s="127" t="str">
        <f>IF(COUNTIF('PATIENT DATA (072721)'!A:A, C336)=0, "X","✓")</f>
        <v>X</v>
      </c>
      <c r="E336" s="79"/>
      <c r="F336" s="80"/>
      <c r="G336" s="81" t="str">
        <f>ifs($C336="","",$C336, VLOOKUP($C336&amp;$F336, 'MARCH - VISIT DATA'!A:O,3,0))</f>
        <v/>
      </c>
      <c r="H336" s="83"/>
      <c r="I336" s="122" t="str">
        <f>VLOOKUP($C336&amp;$F336,'MARCH - VISIT DATA'!A:J, 9, FALSE)</f>
        <v>#N/A</v>
      </c>
      <c r="J336" s="85" t="str">
        <f>VLOOKUP(C336&amp;F336,'MARCH - VISIT DATA'!A:O,10,FALSE)</f>
        <v>#N/A</v>
      </c>
      <c r="K336" s="86"/>
      <c r="L336" s="86"/>
      <c r="M336" s="86"/>
      <c r="N336" s="86"/>
      <c r="O336" s="121" t="str">
        <f t="shared" si="2"/>
        <v>X</v>
      </c>
      <c r="P336" s="79" t="str">
        <f t="shared" si="3"/>
        <v>#N/A</v>
      </c>
      <c r="Q336" s="123" t="str">
        <f t="shared" si="4"/>
        <v>#N/A</v>
      </c>
      <c r="R336" s="124" t="str">
        <f t="shared" si="5"/>
        <v>#N/A</v>
      </c>
      <c r="S336" s="125" t="str">
        <f t="shared" si="6"/>
        <v>#N/A</v>
      </c>
      <c r="T336" s="125" t="str">
        <f t="shared" si="7"/>
        <v>#N/A</v>
      </c>
      <c r="U336" s="83">
        <f t="shared" si="8"/>
        <v>0</v>
      </c>
      <c r="V336" s="88" t="str">
        <f>ifs($N336="",VLOOKUP($C336&amp;$F336,'MARCH - VISIT DATA'!$A$2:$J600,7,FALSE), $N336="SWAB","OUTSA-RW",$N336="SWQU","OUTSA-SaQu", AND($L336="X",$M336="X",$N336="QUEST"),"OUT-UAQPre",$N336="QUEST","OUT-UAQ", $N336="Walk in","ColUATele")</f>
        <v>#N/A</v>
      </c>
      <c r="W336" s="70" t="str">
        <f t="shared" si="9"/>
        <v>#N/A</v>
      </c>
      <c r="X336" s="64" t="str">
        <f t="shared" si="10"/>
        <v/>
      </c>
      <c r="Y336" s="64" t="str">
        <f t="shared" si="11"/>
        <v/>
      </c>
      <c r="Z336" s="66" t="str">
        <f t="shared" si="12"/>
        <v> </v>
      </c>
      <c r="AA336" s="71"/>
    </row>
    <row r="337" ht="15.75" customHeight="1">
      <c r="A337" s="56" t="str">
        <f t="shared" si="1"/>
        <v/>
      </c>
      <c r="B337" s="56" t="str">
        <f>IFS($C337=FALSE,"",$C337,VLOOKUP($C337,'PATIENT DATA (072721)'!A:C, 2, 0))</f>
        <v/>
      </c>
      <c r="C337" s="57"/>
      <c r="D337" s="127" t="str">
        <f>IF(COUNTIF('PATIENT DATA (072721)'!A:A, C337)=0, "X","✓")</f>
        <v>X</v>
      </c>
      <c r="E337" s="79"/>
      <c r="F337" s="80"/>
      <c r="G337" s="81" t="str">
        <f>ifs($C337="","",$C337, VLOOKUP($C337&amp;$F337, 'MARCH - VISIT DATA'!A:O,3,0))</f>
        <v/>
      </c>
      <c r="H337" s="83"/>
      <c r="I337" s="122" t="str">
        <f>VLOOKUP($C337&amp;$F337,'MARCH - VISIT DATA'!A:J, 9, FALSE)</f>
        <v>#N/A</v>
      </c>
      <c r="J337" s="85" t="str">
        <f>VLOOKUP(C337&amp;F337,'MARCH - VISIT DATA'!A:O,10,FALSE)</f>
        <v>#N/A</v>
      </c>
      <c r="K337" s="86"/>
      <c r="L337" s="86"/>
      <c r="M337" s="86"/>
      <c r="N337" s="86"/>
      <c r="O337" s="121" t="str">
        <f t="shared" si="2"/>
        <v>X</v>
      </c>
      <c r="P337" s="79" t="str">
        <f t="shared" si="3"/>
        <v>#N/A</v>
      </c>
      <c r="Q337" s="123" t="str">
        <f t="shared" si="4"/>
        <v>#N/A</v>
      </c>
      <c r="R337" s="124" t="str">
        <f t="shared" si="5"/>
        <v>#N/A</v>
      </c>
      <c r="S337" s="125" t="str">
        <f t="shared" si="6"/>
        <v>#N/A</v>
      </c>
      <c r="T337" s="125" t="str">
        <f t="shared" si="7"/>
        <v>#N/A</v>
      </c>
      <c r="U337" s="83">
        <f t="shared" si="8"/>
        <v>0</v>
      </c>
      <c r="V337" s="88" t="str">
        <f>ifs($N337="",VLOOKUP($C337&amp;$F337,'MARCH - VISIT DATA'!$A$2:$J600,7,FALSE), $N337="SWAB","OUTSA-RW",$N337="SWQU","OUTSA-SaQu", AND($L337="X",$M337="X",$N337="QUEST"),"OUT-UAQPre",$N337="QUEST","OUT-UAQ", $N337="Walk in","ColUATele")</f>
        <v>#N/A</v>
      </c>
      <c r="W337" s="70" t="str">
        <f t="shared" si="9"/>
        <v>#N/A</v>
      </c>
      <c r="X337" s="64" t="str">
        <f t="shared" si="10"/>
        <v/>
      </c>
      <c r="Y337" s="64" t="str">
        <f t="shared" si="11"/>
        <v/>
      </c>
      <c r="Z337" s="66" t="str">
        <f t="shared" si="12"/>
        <v> </v>
      </c>
      <c r="AA337" s="71"/>
    </row>
    <row r="338" ht="15.75" customHeight="1">
      <c r="A338" s="56" t="str">
        <f t="shared" si="1"/>
        <v/>
      </c>
      <c r="B338" s="56" t="str">
        <f>IFS($C338=FALSE,"",$C338,VLOOKUP($C338,'PATIENT DATA (072721)'!A:C, 2, 0))</f>
        <v/>
      </c>
      <c r="C338" s="57"/>
      <c r="D338" s="127" t="str">
        <f>IF(COUNTIF('PATIENT DATA (072721)'!A:A, C338)=0, "X","✓")</f>
        <v>X</v>
      </c>
      <c r="E338" s="79"/>
      <c r="F338" s="80"/>
      <c r="G338" s="81" t="str">
        <f>ifs($C338="","",$C338, VLOOKUP($C338&amp;$F338, 'MARCH - VISIT DATA'!A:O,3,0))</f>
        <v/>
      </c>
      <c r="H338" s="83"/>
      <c r="I338" s="122" t="str">
        <f>VLOOKUP($C338&amp;$F338,'MARCH - VISIT DATA'!A:J, 9, FALSE)</f>
        <v>#N/A</v>
      </c>
      <c r="J338" s="85" t="str">
        <f>VLOOKUP(C338&amp;F338,'MARCH - VISIT DATA'!A:O,10,FALSE)</f>
        <v>#N/A</v>
      </c>
      <c r="K338" s="86"/>
      <c r="L338" s="86"/>
      <c r="M338" s="86"/>
      <c r="N338" s="86"/>
      <c r="O338" s="121" t="str">
        <f t="shared" si="2"/>
        <v>X</v>
      </c>
      <c r="P338" s="79" t="str">
        <f t="shared" si="3"/>
        <v>#N/A</v>
      </c>
      <c r="Q338" s="123" t="str">
        <f t="shared" si="4"/>
        <v>#N/A</v>
      </c>
      <c r="R338" s="124" t="str">
        <f t="shared" si="5"/>
        <v>#N/A</v>
      </c>
      <c r="S338" s="125" t="str">
        <f t="shared" si="6"/>
        <v>#N/A</v>
      </c>
      <c r="T338" s="125" t="str">
        <f t="shared" si="7"/>
        <v>#N/A</v>
      </c>
      <c r="U338" s="83">
        <f t="shared" si="8"/>
        <v>0</v>
      </c>
      <c r="V338" s="88" t="str">
        <f>ifs($N338="",VLOOKUP($C338&amp;$F338,'MARCH - VISIT DATA'!$A$2:$J600,7,FALSE), $N338="SWAB","OUTSA-RW",$N338="SWQU","OUTSA-SaQu", AND($L338="X",$M338="X",$N338="QUEST"),"OUT-UAQPre",$N338="QUEST","OUT-UAQ", $N338="Walk in","ColUATele")</f>
        <v>#N/A</v>
      </c>
      <c r="W338" s="70" t="str">
        <f t="shared" si="9"/>
        <v>#N/A</v>
      </c>
      <c r="X338" s="64" t="str">
        <f t="shared" si="10"/>
        <v/>
      </c>
      <c r="Y338" s="64" t="str">
        <f t="shared" si="11"/>
        <v/>
      </c>
      <c r="Z338" s="66" t="str">
        <f t="shared" si="12"/>
        <v> </v>
      </c>
      <c r="AA338" s="71"/>
    </row>
    <row r="339" ht="15.75" customHeight="1">
      <c r="A339" s="56" t="str">
        <f t="shared" si="1"/>
        <v/>
      </c>
      <c r="B339" s="56" t="str">
        <f>IFS($C339=FALSE,"",$C339,VLOOKUP($C339,'PATIENT DATA (072721)'!A:C, 2, 0))</f>
        <v/>
      </c>
      <c r="C339" s="57"/>
      <c r="D339" s="127" t="str">
        <f>IF(COUNTIF('PATIENT DATA (072721)'!A:A, C339)=0, "X","✓")</f>
        <v>X</v>
      </c>
      <c r="E339" s="79"/>
      <c r="F339" s="80"/>
      <c r="G339" s="81" t="str">
        <f>ifs($C339="","",$C339, VLOOKUP($C339&amp;$F339, 'MARCH - VISIT DATA'!A:O,3,0))</f>
        <v/>
      </c>
      <c r="H339" s="83"/>
      <c r="I339" s="122" t="str">
        <f>VLOOKUP($C339&amp;$F339,'MARCH - VISIT DATA'!A:J, 9, FALSE)</f>
        <v>#N/A</v>
      </c>
      <c r="J339" s="85" t="str">
        <f>VLOOKUP(C339&amp;F339,'MARCH - VISIT DATA'!A:O,10,FALSE)</f>
        <v>#N/A</v>
      </c>
      <c r="K339" s="86"/>
      <c r="L339" s="86"/>
      <c r="M339" s="86"/>
      <c r="N339" s="86"/>
      <c r="O339" s="121" t="str">
        <f t="shared" si="2"/>
        <v>X</v>
      </c>
      <c r="P339" s="79" t="str">
        <f t="shared" si="3"/>
        <v>#N/A</v>
      </c>
      <c r="Q339" s="123" t="str">
        <f t="shared" si="4"/>
        <v>#N/A</v>
      </c>
      <c r="R339" s="124" t="str">
        <f t="shared" si="5"/>
        <v>#N/A</v>
      </c>
      <c r="S339" s="125" t="str">
        <f t="shared" si="6"/>
        <v>#N/A</v>
      </c>
      <c r="T339" s="125" t="str">
        <f t="shared" si="7"/>
        <v>#N/A</v>
      </c>
      <c r="U339" s="83">
        <f t="shared" si="8"/>
        <v>0</v>
      </c>
      <c r="V339" s="88" t="str">
        <f>ifs($N339="",VLOOKUP($C339&amp;$F339,'MARCH - VISIT DATA'!$A$2:$J600,7,FALSE), $N339="SWAB","OUTSA-RW",$N339="SWQU","OUTSA-SaQu", AND($L339="X",$M339="X",$N339="QUEST"),"OUT-UAQPre",$N339="QUEST","OUT-UAQ", $N339="Walk in","ColUATele")</f>
        <v>#N/A</v>
      </c>
      <c r="W339" s="70" t="str">
        <f t="shared" si="9"/>
        <v>#N/A</v>
      </c>
      <c r="X339" s="64" t="str">
        <f t="shared" si="10"/>
        <v/>
      </c>
      <c r="Y339" s="64" t="str">
        <f t="shared" si="11"/>
        <v/>
      </c>
      <c r="Z339" s="66" t="str">
        <f t="shared" si="12"/>
        <v> </v>
      </c>
      <c r="AA339" s="71"/>
    </row>
    <row r="340" ht="15.75" customHeight="1">
      <c r="A340" s="56" t="str">
        <f t="shared" si="1"/>
        <v/>
      </c>
      <c r="B340" s="56" t="str">
        <f>IFS($C340=FALSE,"",$C340,VLOOKUP($C340,'PATIENT DATA (072721)'!A:C, 2, 0))</f>
        <v/>
      </c>
      <c r="C340" s="57"/>
      <c r="D340" s="127" t="str">
        <f>IF(COUNTIF('PATIENT DATA (072721)'!A:A, C340)=0, "X","✓")</f>
        <v>X</v>
      </c>
      <c r="E340" s="79"/>
      <c r="F340" s="80"/>
      <c r="G340" s="81" t="str">
        <f>ifs($C340="","",$C340, VLOOKUP($C340&amp;$F340, 'MARCH - VISIT DATA'!A:O,3,0))</f>
        <v/>
      </c>
      <c r="H340" s="83"/>
      <c r="I340" s="122" t="str">
        <f>VLOOKUP($C340&amp;$F340,'MARCH - VISIT DATA'!A:J, 9, FALSE)</f>
        <v>#N/A</v>
      </c>
      <c r="J340" s="85" t="str">
        <f>VLOOKUP(C340&amp;F340,'MARCH - VISIT DATA'!A:O,10,FALSE)</f>
        <v>#N/A</v>
      </c>
      <c r="K340" s="86"/>
      <c r="L340" s="86"/>
      <c r="M340" s="86"/>
      <c r="N340" s="86"/>
      <c r="O340" s="121" t="str">
        <f t="shared" si="2"/>
        <v>X</v>
      </c>
      <c r="P340" s="79" t="str">
        <f t="shared" si="3"/>
        <v>#N/A</v>
      </c>
      <c r="Q340" s="123" t="str">
        <f t="shared" si="4"/>
        <v>#N/A</v>
      </c>
      <c r="R340" s="124" t="str">
        <f t="shared" si="5"/>
        <v>#N/A</v>
      </c>
      <c r="S340" s="125" t="str">
        <f t="shared" si="6"/>
        <v>#N/A</v>
      </c>
      <c r="T340" s="125" t="str">
        <f t="shared" si="7"/>
        <v>#N/A</v>
      </c>
      <c r="U340" s="83">
        <f t="shared" si="8"/>
        <v>0</v>
      </c>
      <c r="V340" s="88" t="str">
        <f>ifs($N340="",VLOOKUP($C340&amp;$F340,'MARCH - VISIT DATA'!$A$2:$J600,7,FALSE), $N340="SWAB","OUTSA-RW",$N340="SWQU","OUTSA-SaQu", AND($L340="X",$M340="X",$N340="QUEST"),"OUT-UAQPre",$N340="QUEST","OUT-UAQ", $N340="Walk in","ColUATele")</f>
        <v>#N/A</v>
      </c>
      <c r="W340" s="70" t="str">
        <f t="shared" si="9"/>
        <v>#N/A</v>
      </c>
      <c r="X340" s="64" t="str">
        <f t="shared" si="10"/>
        <v/>
      </c>
      <c r="Y340" s="64" t="str">
        <f t="shared" si="11"/>
        <v/>
      </c>
      <c r="Z340" s="66" t="str">
        <f t="shared" si="12"/>
        <v> </v>
      </c>
      <c r="AA340" s="71"/>
    </row>
    <row r="341" ht="15.75" customHeight="1">
      <c r="A341" s="56" t="str">
        <f t="shared" si="1"/>
        <v/>
      </c>
      <c r="B341" s="56" t="str">
        <f>IFS($C341=FALSE,"",$C341,VLOOKUP($C341,'PATIENT DATA (072721)'!A:C, 2, 0))</f>
        <v/>
      </c>
      <c r="C341" s="57"/>
      <c r="D341" s="127" t="str">
        <f>IF(COUNTIF('PATIENT DATA (072721)'!A:A, C341)=0, "X","✓")</f>
        <v>X</v>
      </c>
      <c r="E341" s="79"/>
      <c r="F341" s="80"/>
      <c r="G341" s="81" t="str">
        <f>ifs($C341="","",$C341, VLOOKUP($C341&amp;$F341, 'MARCH - VISIT DATA'!A:O,3,0))</f>
        <v/>
      </c>
      <c r="H341" s="83"/>
      <c r="I341" s="122" t="str">
        <f>VLOOKUP($C341&amp;$F341,'MARCH - VISIT DATA'!A:J, 9, FALSE)</f>
        <v>#N/A</v>
      </c>
      <c r="J341" s="85" t="str">
        <f>VLOOKUP(C341&amp;F341,'MARCH - VISIT DATA'!A:O,10,FALSE)</f>
        <v>#N/A</v>
      </c>
      <c r="K341" s="86"/>
      <c r="L341" s="86"/>
      <c r="M341" s="86"/>
      <c r="N341" s="86"/>
      <c r="O341" s="121" t="str">
        <f t="shared" si="2"/>
        <v>X</v>
      </c>
      <c r="P341" s="79" t="str">
        <f t="shared" si="3"/>
        <v>#N/A</v>
      </c>
      <c r="Q341" s="123" t="str">
        <f t="shared" si="4"/>
        <v>#N/A</v>
      </c>
      <c r="R341" s="124" t="str">
        <f t="shared" si="5"/>
        <v>#N/A</v>
      </c>
      <c r="S341" s="125" t="str">
        <f t="shared" si="6"/>
        <v>#N/A</v>
      </c>
      <c r="T341" s="125" t="str">
        <f t="shared" si="7"/>
        <v>#N/A</v>
      </c>
      <c r="U341" s="83">
        <f t="shared" si="8"/>
        <v>0</v>
      </c>
      <c r="V341" s="88" t="str">
        <f>ifs($N341="",VLOOKUP($C341&amp;$F341,'MARCH - VISIT DATA'!$A$2:$J600,7,FALSE), $N341="SWAB","OUTSA-RW",$N341="SWQU","OUTSA-SaQu", AND($L341="X",$M341="X",$N341="QUEST"),"OUT-UAQPre",$N341="QUEST","OUT-UAQ", $N341="Walk in","ColUATele")</f>
        <v>#N/A</v>
      </c>
      <c r="W341" s="70" t="str">
        <f t="shared" si="9"/>
        <v>#N/A</v>
      </c>
      <c r="X341" s="64" t="str">
        <f t="shared" si="10"/>
        <v/>
      </c>
      <c r="Y341" s="64" t="str">
        <f t="shared" si="11"/>
        <v/>
      </c>
      <c r="Z341" s="66" t="str">
        <f t="shared" si="12"/>
        <v> </v>
      </c>
      <c r="AA341" s="71"/>
    </row>
    <row r="342" ht="15.75" customHeight="1">
      <c r="A342" s="56" t="str">
        <f t="shared" si="1"/>
        <v/>
      </c>
      <c r="B342" s="56" t="str">
        <f>IFS($C342=FALSE,"",$C342,VLOOKUP($C342,'PATIENT DATA (072721)'!A:C, 2, 0))</f>
        <v/>
      </c>
      <c r="C342" s="57"/>
      <c r="D342" s="127" t="str">
        <f>IF(COUNTIF('PATIENT DATA (072721)'!A:A, C342)=0, "X","✓")</f>
        <v>X</v>
      </c>
      <c r="E342" s="79"/>
      <c r="F342" s="80"/>
      <c r="G342" s="81" t="str">
        <f>ifs($C342="","",$C342, VLOOKUP($C342&amp;$F342, 'MARCH - VISIT DATA'!A:O,3,0))</f>
        <v/>
      </c>
      <c r="H342" s="83"/>
      <c r="I342" s="122" t="str">
        <f>VLOOKUP($C342&amp;$F342,'MARCH - VISIT DATA'!A:J, 9, FALSE)</f>
        <v>#N/A</v>
      </c>
      <c r="J342" s="85" t="str">
        <f>VLOOKUP(C342&amp;F342,'MARCH - VISIT DATA'!A:O,10,FALSE)</f>
        <v>#N/A</v>
      </c>
      <c r="K342" s="86"/>
      <c r="L342" s="86"/>
      <c r="M342" s="86"/>
      <c r="N342" s="86"/>
      <c r="O342" s="121" t="str">
        <f t="shared" si="2"/>
        <v>X</v>
      </c>
      <c r="P342" s="79" t="str">
        <f t="shared" si="3"/>
        <v>#N/A</v>
      </c>
      <c r="Q342" s="123" t="str">
        <f t="shared" si="4"/>
        <v>#N/A</v>
      </c>
      <c r="R342" s="124" t="str">
        <f t="shared" si="5"/>
        <v>#N/A</v>
      </c>
      <c r="S342" s="125" t="str">
        <f t="shared" si="6"/>
        <v>#N/A</v>
      </c>
      <c r="T342" s="125" t="str">
        <f t="shared" si="7"/>
        <v>#N/A</v>
      </c>
      <c r="U342" s="83">
        <f t="shared" si="8"/>
        <v>0</v>
      </c>
      <c r="V342" s="88" t="str">
        <f>ifs($N342="",VLOOKUP($C342&amp;$F342,'MARCH - VISIT DATA'!$A$2:$J600,7,FALSE), $N342="SWAB","OUTSA-RW",$N342="SWQU","OUTSA-SaQu", AND($L342="X",$M342="X",$N342="QUEST"),"OUT-UAQPre",$N342="QUEST","OUT-UAQ", $N342="Walk in","ColUATele")</f>
        <v>#N/A</v>
      </c>
      <c r="W342" s="70" t="str">
        <f t="shared" si="9"/>
        <v>#N/A</v>
      </c>
      <c r="X342" s="64" t="str">
        <f t="shared" si="10"/>
        <v/>
      </c>
      <c r="Y342" s="64" t="str">
        <f t="shared" si="11"/>
        <v/>
      </c>
      <c r="Z342" s="66" t="str">
        <f t="shared" si="12"/>
        <v> </v>
      </c>
      <c r="AA342" s="71"/>
    </row>
    <row r="343" ht="15.75" customHeight="1">
      <c r="A343" s="56" t="str">
        <f t="shared" si="1"/>
        <v/>
      </c>
      <c r="B343" s="56" t="str">
        <f>IFS($C343=FALSE,"",$C343,VLOOKUP($C343,'PATIENT DATA (072721)'!A:C, 2, 0))</f>
        <v/>
      </c>
      <c r="C343" s="57"/>
      <c r="D343" s="127" t="str">
        <f>IF(COUNTIF('PATIENT DATA (072721)'!A:A, C343)=0, "X","✓")</f>
        <v>X</v>
      </c>
      <c r="E343" s="79"/>
      <c r="F343" s="80"/>
      <c r="G343" s="81" t="str">
        <f>ifs($C343="","",$C343, VLOOKUP($C343&amp;$F343, 'MARCH - VISIT DATA'!A:O,3,0))</f>
        <v/>
      </c>
      <c r="H343" s="83"/>
      <c r="I343" s="122" t="str">
        <f>VLOOKUP($C343&amp;$F343,'MARCH - VISIT DATA'!A:J, 9, FALSE)</f>
        <v>#N/A</v>
      </c>
      <c r="J343" s="85" t="str">
        <f>VLOOKUP(C343&amp;F343,'MARCH - VISIT DATA'!A:O,10,FALSE)</f>
        <v>#N/A</v>
      </c>
      <c r="K343" s="86"/>
      <c r="L343" s="86"/>
      <c r="M343" s="86"/>
      <c r="N343" s="86"/>
      <c r="O343" s="121" t="str">
        <f t="shared" si="2"/>
        <v>X</v>
      </c>
      <c r="P343" s="79" t="str">
        <f t="shared" si="3"/>
        <v>#N/A</v>
      </c>
      <c r="Q343" s="123" t="str">
        <f t="shared" si="4"/>
        <v>#N/A</v>
      </c>
      <c r="R343" s="124" t="str">
        <f t="shared" si="5"/>
        <v>#N/A</v>
      </c>
      <c r="S343" s="125" t="str">
        <f t="shared" si="6"/>
        <v>#N/A</v>
      </c>
      <c r="T343" s="125" t="str">
        <f t="shared" si="7"/>
        <v>#N/A</v>
      </c>
      <c r="U343" s="83">
        <f t="shared" si="8"/>
        <v>0</v>
      </c>
      <c r="V343" s="88" t="str">
        <f>ifs($N343="",VLOOKUP($C343&amp;$F343,'MARCH - VISIT DATA'!$A$2:$J600,7,FALSE), $N343="SWAB","OUTSA-RW",$N343="SWQU","OUTSA-SaQu", AND($L343="X",$M343="X",$N343="QUEST"),"OUT-UAQPre",$N343="QUEST","OUT-UAQ", $N343="Walk in","ColUATele")</f>
        <v>#N/A</v>
      </c>
      <c r="W343" s="70" t="str">
        <f t="shared" si="9"/>
        <v>#N/A</v>
      </c>
      <c r="X343" s="64" t="str">
        <f t="shared" si="10"/>
        <v/>
      </c>
      <c r="Y343" s="64" t="str">
        <f t="shared" si="11"/>
        <v/>
      </c>
      <c r="Z343" s="66" t="str">
        <f t="shared" si="12"/>
        <v> </v>
      </c>
      <c r="AA343" s="71"/>
    </row>
    <row r="344" ht="15.75" customHeight="1">
      <c r="A344" s="56" t="str">
        <f t="shared" si="1"/>
        <v/>
      </c>
      <c r="B344" s="56" t="str">
        <f>IFS($C344=FALSE,"",$C344,VLOOKUP($C344,'PATIENT DATA (072721)'!A:C, 2, 0))</f>
        <v/>
      </c>
      <c r="C344" s="57"/>
      <c r="D344" s="127" t="str">
        <f>IF(COUNTIF('PATIENT DATA (072721)'!A:A, C344)=0, "X","✓")</f>
        <v>X</v>
      </c>
      <c r="E344" s="79"/>
      <c r="F344" s="80"/>
      <c r="G344" s="81" t="str">
        <f>ifs($C344="","",$C344, VLOOKUP($C344&amp;$F344, 'MARCH - VISIT DATA'!A:O,3,0))</f>
        <v/>
      </c>
      <c r="H344" s="83"/>
      <c r="I344" s="122" t="str">
        <f>VLOOKUP($C344&amp;$F344,'MARCH - VISIT DATA'!A:J, 9, FALSE)</f>
        <v>#N/A</v>
      </c>
      <c r="J344" s="85" t="str">
        <f>VLOOKUP(C344&amp;F344,'MARCH - VISIT DATA'!A:O,10,FALSE)</f>
        <v>#N/A</v>
      </c>
      <c r="K344" s="86"/>
      <c r="L344" s="86"/>
      <c r="M344" s="86"/>
      <c r="N344" s="86"/>
      <c r="O344" s="121" t="str">
        <f t="shared" si="2"/>
        <v>X</v>
      </c>
      <c r="P344" s="79" t="str">
        <f t="shared" si="3"/>
        <v>#N/A</v>
      </c>
      <c r="Q344" s="123" t="str">
        <f t="shared" si="4"/>
        <v>#N/A</v>
      </c>
      <c r="R344" s="124" t="str">
        <f t="shared" si="5"/>
        <v>#N/A</v>
      </c>
      <c r="S344" s="125" t="str">
        <f t="shared" si="6"/>
        <v>#N/A</v>
      </c>
      <c r="T344" s="125" t="str">
        <f t="shared" si="7"/>
        <v>#N/A</v>
      </c>
      <c r="U344" s="83">
        <f t="shared" si="8"/>
        <v>0</v>
      </c>
      <c r="V344" s="88" t="str">
        <f>ifs($N344="",VLOOKUP($C344&amp;$F344,'MARCH - VISIT DATA'!$A$2:$J600,7,FALSE), $N344="SWAB","OUTSA-RW",$N344="SWQU","OUTSA-SaQu", AND($L344="X",$M344="X",$N344="QUEST"),"OUT-UAQPre",$N344="QUEST","OUT-UAQ", $N344="Walk in","ColUATele")</f>
        <v>#N/A</v>
      </c>
      <c r="W344" s="70" t="str">
        <f t="shared" si="9"/>
        <v>#N/A</v>
      </c>
      <c r="X344" s="64" t="str">
        <f t="shared" si="10"/>
        <v/>
      </c>
      <c r="Y344" s="64" t="str">
        <f t="shared" si="11"/>
        <v/>
      </c>
      <c r="Z344" s="66" t="str">
        <f t="shared" si="12"/>
        <v> </v>
      </c>
      <c r="AA344" s="71"/>
    </row>
    <row r="345" ht="15.75" customHeight="1">
      <c r="A345" s="56" t="str">
        <f t="shared" si="1"/>
        <v/>
      </c>
      <c r="B345" s="56" t="str">
        <f>IFS($C345=FALSE,"",$C345,VLOOKUP($C345,'PATIENT DATA (072721)'!A:C, 2, 0))</f>
        <v/>
      </c>
      <c r="C345" s="57"/>
      <c r="D345" s="127" t="str">
        <f>IF(COUNTIF('PATIENT DATA (072721)'!A:A, C345)=0, "X","✓")</f>
        <v>X</v>
      </c>
      <c r="E345" s="79"/>
      <c r="F345" s="80"/>
      <c r="G345" s="81" t="str">
        <f>ifs($C345="","",$C345, VLOOKUP($C345&amp;$F345, 'MARCH - VISIT DATA'!A:O,3,0))</f>
        <v/>
      </c>
      <c r="H345" s="83"/>
      <c r="I345" s="122" t="str">
        <f>VLOOKUP($C345&amp;$F345,'MARCH - VISIT DATA'!A:J, 9, FALSE)</f>
        <v>#N/A</v>
      </c>
      <c r="J345" s="85" t="str">
        <f>VLOOKUP(C345&amp;F345,'MARCH - VISIT DATA'!A:O,10,FALSE)</f>
        <v>#N/A</v>
      </c>
      <c r="K345" s="86"/>
      <c r="L345" s="86"/>
      <c r="M345" s="86"/>
      <c r="N345" s="86"/>
      <c r="O345" s="121" t="str">
        <f t="shared" si="2"/>
        <v>X</v>
      </c>
      <c r="P345" s="79" t="str">
        <f t="shared" si="3"/>
        <v>#N/A</v>
      </c>
      <c r="Q345" s="123" t="str">
        <f t="shared" si="4"/>
        <v>#N/A</v>
      </c>
      <c r="R345" s="124" t="str">
        <f t="shared" si="5"/>
        <v>#N/A</v>
      </c>
      <c r="S345" s="125" t="str">
        <f t="shared" si="6"/>
        <v>#N/A</v>
      </c>
      <c r="T345" s="125" t="str">
        <f t="shared" si="7"/>
        <v>#N/A</v>
      </c>
      <c r="U345" s="83">
        <f t="shared" si="8"/>
        <v>0</v>
      </c>
      <c r="V345" s="88" t="str">
        <f>ifs($N345="",VLOOKUP($C345&amp;$F345,'MARCH - VISIT DATA'!$A$2:$J600,7,FALSE), $N345="SWAB","OUTSA-RW",$N345="SWQU","OUTSA-SaQu", AND($L345="X",$M345="X",$N345="QUEST"),"OUT-UAQPre",$N345="QUEST","OUT-UAQ", $N345="Walk in","ColUATele")</f>
        <v>#N/A</v>
      </c>
      <c r="W345" s="70" t="str">
        <f t="shared" si="9"/>
        <v>#N/A</v>
      </c>
      <c r="X345" s="64" t="str">
        <f t="shared" si="10"/>
        <v/>
      </c>
      <c r="Y345" s="64" t="str">
        <f t="shared" si="11"/>
        <v/>
      </c>
      <c r="Z345" s="66" t="str">
        <f t="shared" si="12"/>
        <v> </v>
      </c>
      <c r="AA345" s="71"/>
    </row>
    <row r="346" ht="15.75" customHeight="1">
      <c r="A346" s="56" t="str">
        <f t="shared" si="1"/>
        <v/>
      </c>
      <c r="B346" s="56" t="str">
        <f>IFS($C346=FALSE,"",$C346,VLOOKUP($C346,'PATIENT DATA (072721)'!A:C, 2, 0))</f>
        <v/>
      </c>
      <c r="C346" s="57"/>
      <c r="D346" s="127" t="str">
        <f>IF(COUNTIF('PATIENT DATA (072721)'!A:A, C346)=0, "X","✓")</f>
        <v>X</v>
      </c>
      <c r="E346" s="79"/>
      <c r="F346" s="80"/>
      <c r="G346" s="81" t="str">
        <f>ifs($C346="","",$C346, VLOOKUP($C346&amp;$F346, 'MARCH - VISIT DATA'!A:O,3,0))</f>
        <v/>
      </c>
      <c r="H346" s="83"/>
      <c r="I346" s="122" t="str">
        <f>VLOOKUP($C346&amp;$F346,'MARCH - VISIT DATA'!A:J, 9, FALSE)</f>
        <v>#N/A</v>
      </c>
      <c r="J346" s="85" t="str">
        <f>VLOOKUP(C346&amp;F346,'MARCH - VISIT DATA'!A:O,10,FALSE)</f>
        <v>#N/A</v>
      </c>
      <c r="K346" s="86"/>
      <c r="L346" s="86"/>
      <c r="M346" s="86"/>
      <c r="N346" s="86"/>
      <c r="O346" s="121" t="str">
        <f t="shared" si="2"/>
        <v>X</v>
      </c>
      <c r="P346" s="79" t="str">
        <f t="shared" si="3"/>
        <v>#N/A</v>
      </c>
      <c r="Q346" s="123" t="str">
        <f t="shared" si="4"/>
        <v>#N/A</v>
      </c>
      <c r="R346" s="124" t="str">
        <f t="shared" si="5"/>
        <v>#N/A</v>
      </c>
      <c r="S346" s="125" t="str">
        <f t="shared" si="6"/>
        <v>#N/A</v>
      </c>
      <c r="T346" s="125" t="str">
        <f t="shared" si="7"/>
        <v>#N/A</v>
      </c>
      <c r="U346" s="83">
        <f t="shared" si="8"/>
        <v>0</v>
      </c>
      <c r="V346" s="88" t="str">
        <f>ifs($N346="",VLOOKUP($C346&amp;$F346,'MARCH - VISIT DATA'!$A$2:$J600,7,FALSE), $N346="SWAB","OUTSA-RW",$N346="SWQU","OUTSA-SaQu", AND($L346="X",$M346="X",$N346="QUEST"),"OUT-UAQPre",$N346="QUEST","OUT-UAQ", $N346="Walk in","ColUATele")</f>
        <v>#N/A</v>
      </c>
      <c r="W346" s="70" t="str">
        <f t="shared" si="9"/>
        <v>#N/A</v>
      </c>
      <c r="X346" s="64" t="str">
        <f t="shared" si="10"/>
        <v/>
      </c>
      <c r="Y346" s="64" t="str">
        <f t="shared" si="11"/>
        <v/>
      </c>
      <c r="Z346" s="66" t="str">
        <f t="shared" si="12"/>
        <v> </v>
      </c>
      <c r="AA346" s="71"/>
    </row>
    <row r="347" ht="15.75" customHeight="1">
      <c r="A347" s="56" t="str">
        <f t="shared" si="1"/>
        <v/>
      </c>
      <c r="B347" s="56" t="str">
        <f>IFS($C347=FALSE,"",$C347,VLOOKUP($C347,'PATIENT DATA (072721)'!A:C, 2, 0))</f>
        <v/>
      </c>
      <c r="C347" s="57"/>
      <c r="D347" s="127" t="str">
        <f>IF(COUNTIF('PATIENT DATA (072721)'!A:A, C347)=0, "X","✓")</f>
        <v>X</v>
      </c>
      <c r="E347" s="79"/>
      <c r="F347" s="80"/>
      <c r="G347" s="81" t="str">
        <f>ifs($C347="","",$C347, VLOOKUP($C347&amp;$F347, 'MARCH - VISIT DATA'!A:O,3,0))</f>
        <v/>
      </c>
      <c r="H347" s="83"/>
      <c r="I347" s="122" t="str">
        <f>VLOOKUP($C347&amp;$F347,'MARCH - VISIT DATA'!A:J, 9, FALSE)</f>
        <v>#N/A</v>
      </c>
      <c r="J347" s="85" t="str">
        <f>VLOOKUP(C347&amp;F347,'MARCH - VISIT DATA'!A:O,10,FALSE)</f>
        <v>#N/A</v>
      </c>
      <c r="K347" s="86"/>
      <c r="L347" s="86"/>
      <c r="M347" s="86"/>
      <c r="N347" s="86"/>
      <c r="O347" s="121" t="str">
        <f t="shared" si="2"/>
        <v>X</v>
      </c>
      <c r="P347" s="79" t="str">
        <f t="shared" si="3"/>
        <v>#N/A</v>
      </c>
      <c r="Q347" s="123" t="str">
        <f t="shared" si="4"/>
        <v>#N/A</v>
      </c>
      <c r="R347" s="124" t="str">
        <f t="shared" si="5"/>
        <v>#N/A</v>
      </c>
      <c r="S347" s="125" t="str">
        <f t="shared" si="6"/>
        <v>#N/A</v>
      </c>
      <c r="T347" s="125" t="str">
        <f t="shared" si="7"/>
        <v>#N/A</v>
      </c>
      <c r="U347" s="83">
        <f t="shared" si="8"/>
        <v>0</v>
      </c>
      <c r="V347" s="88" t="str">
        <f>ifs($N347="",VLOOKUP($C347&amp;$F347,'MARCH - VISIT DATA'!$A$2:$J600,7,FALSE), $N347="SWAB","OUTSA-RW",$N347="SWQU","OUTSA-SaQu", AND($L347="X",$M347="X",$N347="QUEST"),"OUT-UAQPre",$N347="QUEST","OUT-UAQ", $N347="Walk in","ColUATele")</f>
        <v>#N/A</v>
      </c>
      <c r="W347" s="70" t="str">
        <f t="shared" si="9"/>
        <v>#N/A</v>
      </c>
      <c r="X347" s="64" t="str">
        <f t="shared" si="10"/>
        <v/>
      </c>
      <c r="Y347" s="64" t="str">
        <f t="shared" si="11"/>
        <v/>
      </c>
      <c r="Z347" s="66" t="str">
        <f t="shared" si="12"/>
        <v> </v>
      </c>
      <c r="AA347" s="71"/>
    </row>
    <row r="348" ht="15.75" customHeight="1">
      <c r="A348" s="56" t="str">
        <f t="shared" si="1"/>
        <v/>
      </c>
      <c r="B348" s="56" t="str">
        <f>IFS($C348=FALSE,"",$C348,VLOOKUP($C348,'PATIENT DATA (072721)'!A:C, 2, 0))</f>
        <v/>
      </c>
      <c r="C348" s="57"/>
      <c r="D348" s="127" t="str">
        <f>IF(COUNTIF('PATIENT DATA (072721)'!A:A, C348)=0, "X","✓")</f>
        <v>X</v>
      </c>
      <c r="E348" s="79"/>
      <c r="F348" s="80"/>
      <c r="G348" s="81" t="str">
        <f>ifs($C348="","",$C348, VLOOKUP($C348&amp;$F348, 'MARCH - VISIT DATA'!A:O,3,0))</f>
        <v/>
      </c>
      <c r="H348" s="83"/>
      <c r="I348" s="122" t="str">
        <f>VLOOKUP($C348&amp;$F348,'MARCH - VISIT DATA'!A:J, 9, FALSE)</f>
        <v>#N/A</v>
      </c>
      <c r="J348" s="85" t="str">
        <f>VLOOKUP(C348&amp;F348,'MARCH - VISIT DATA'!A:O,10,FALSE)</f>
        <v>#N/A</v>
      </c>
      <c r="K348" s="86"/>
      <c r="L348" s="86"/>
      <c r="M348" s="86"/>
      <c r="N348" s="86"/>
      <c r="O348" s="121" t="str">
        <f t="shared" si="2"/>
        <v>X</v>
      </c>
      <c r="P348" s="79" t="str">
        <f t="shared" si="3"/>
        <v>#N/A</v>
      </c>
      <c r="Q348" s="123" t="str">
        <f t="shared" si="4"/>
        <v>#N/A</v>
      </c>
      <c r="R348" s="124" t="str">
        <f t="shared" si="5"/>
        <v>#N/A</v>
      </c>
      <c r="S348" s="125" t="str">
        <f t="shared" si="6"/>
        <v>#N/A</v>
      </c>
      <c r="T348" s="125" t="str">
        <f t="shared" si="7"/>
        <v>#N/A</v>
      </c>
      <c r="U348" s="83">
        <f t="shared" si="8"/>
        <v>0</v>
      </c>
      <c r="V348" s="88" t="str">
        <f>ifs($N348="",VLOOKUP($C348&amp;$F348,'MARCH - VISIT DATA'!$A$2:$J600,7,FALSE), $N348="SWAB","OUTSA-RW",$N348="SWQU","OUTSA-SaQu", AND($L348="X",$M348="X",$N348="QUEST"),"OUT-UAQPre",$N348="QUEST","OUT-UAQ", $N348="Walk in","ColUATele")</f>
        <v>#N/A</v>
      </c>
      <c r="W348" s="70" t="str">
        <f t="shared" si="9"/>
        <v>#N/A</v>
      </c>
      <c r="X348" s="64" t="str">
        <f t="shared" si="10"/>
        <v/>
      </c>
      <c r="Y348" s="64" t="str">
        <f t="shared" si="11"/>
        <v/>
      </c>
      <c r="Z348" s="66" t="str">
        <f t="shared" si="12"/>
        <v> </v>
      </c>
      <c r="AA348" s="71"/>
    </row>
    <row r="349" ht="15.75" customHeight="1">
      <c r="A349" s="56" t="str">
        <f t="shared" si="1"/>
        <v/>
      </c>
      <c r="B349" s="56" t="str">
        <f>IFS($C349=FALSE,"",$C349,VLOOKUP($C349,'PATIENT DATA (072721)'!A:C, 2, 0))</f>
        <v/>
      </c>
      <c r="C349" s="57"/>
      <c r="D349" s="127" t="str">
        <f>IF(COUNTIF('PATIENT DATA (072721)'!A:A, C349)=0, "X","✓")</f>
        <v>X</v>
      </c>
      <c r="E349" s="79"/>
      <c r="F349" s="80"/>
      <c r="G349" s="81" t="str">
        <f>ifs($C349="","",$C349, VLOOKUP($C349&amp;$F349, 'MARCH - VISIT DATA'!A:O,3,0))</f>
        <v/>
      </c>
      <c r="H349" s="83"/>
      <c r="I349" s="122" t="str">
        <f>VLOOKUP($C349&amp;$F349,'MARCH - VISIT DATA'!A:J, 9, FALSE)</f>
        <v>#N/A</v>
      </c>
      <c r="J349" s="85" t="str">
        <f>VLOOKUP(C349&amp;F349,'MARCH - VISIT DATA'!A:O,10,FALSE)</f>
        <v>#N/A</v>
      </c>
      <c r="K349" s="86"/>
      <c r="L349" s="86"/>
      <c r="M349" s="86"/>
      <c r="N349" s="86"/>
      <c r="O349" s="121" t="str">
        <f t="shared" si="2"/>
        <v>X</v>
      </c>
      <c r="P349" s="79" t="str">
        <f t="shared" si="3"/>
        <v>#N/A</v>
      </c>
      <c r="Q349" s="123" t="str">
        <f t="shared" si="4"/>
        <v>#N/A</v>
      </c>
      <c r="R349" s="124" t="str">
        <f t="shared" si="5"/>
        <v>#N/A</v>
      </c>
      <c r="S349" s="125" t="str">
        <f t="shared" si="6"/>
        <v>#N/A</v>
      </c>
      <c r="T349" s="125" t="str">
        <f t="shared" si="7"/>
        <v>#N/A</v>
      </c>
      <c r="U349" s="83">
        <f t="shared" si="8"/>
        <v>0</v>
      </c>
      <c r="V349" s="88" t="str">
        <f>ifs($N349="",VLOOKUP($C349&amp;$F349,'MARCH - VISIT DATA'!$A$2:$J600,7,FALSE), $N349="SWAB","OUTSA-RW",$N349="SWQU","OUTSA-SaQu", AND($L349="X",$M349="X",$N349="QUEST"),"OUT-UAQPre",$N349="QUEST","OUT-UAQ", $N349="Walk in","ColUATele")</f>
        <v>#N/A</v>
      </c>
      <c r="W349" s="70" t="str">
        <f t="shared" si="9"/>
        <v>#N/A</v>
      </c>
      <c r="X349" s="64" t="str">
        <f t="shared" si="10"/>
        <v/>
      </c>
      <c r="Y349" s="64" t="str">
        <f t="shared" si="11"/>
        <v/>
      </c>
      <c r="Z349" s="66" t="str">
        <f t="shared" si="12"/>
        <v> </v>
      </c>
      <c r="AA349" s="71"/>
    </row>
    <row r="350" ht="15.75" customHeight="1">
      <c r="A350" s="56" t="str">
        <f t="shared" si="1"/>
        <v/>
      </c>
      <c r="B350" s="56" t="str">
        <f>IFS($C350=FALSE,"",$C350,VLOOKUP($C350,'PATIENT DATA (072721)'!A:C, 2, 0))</f>
        <v/>
      </c>
      <c r="C350" s="57"/>
      <c r="D350" s="127" t="str">
        <f>IF(COUNTIF('PATIENT DATA (072721)'!A:A, C350)=0, "X","✓")</f>
        <v>X</v>
      </c>
      <c r="E350" s="79"/>
      <c r="F350" s="80"/>
      <c r="G350" s="81" t="str">
        <f>ifs($C350="","",$C350, VLOOKUP($C350&amp;$F350, 'MARCH - VISIT DATA'!A:O,3,0))</f>
        <v/>
      </c>
      <c r="H350" s="83"/>
      <c r="I350" s="122" t="str">
        <f>VLOOKUP($C350&amp;$F350,'MARCH - VISIT DATA'!A:J, 9, FALSE)</f>
        <v>#N/A</v>
      </c>
      <c r="J350" s="85" t="str">
        <f>VLOOKUP(C350&amp;F350,'MARCH - VISIT DATA'!A:O,10,FALSE)</f>
        <v>#N/A</v>
      </c>
      <c r="K350" s="86"/>
      <c r="L350" s="86"/>
      <c r="M350" s="86"/>
      <c r="N350" s="86"/>
      <c r="O350" s="121" t="str">
        <f t="shared" si="2"/>
        <v>X</v>
      </c>
      <c r="P350" s="79" t="str">
        <f t="shared" si="3"/>
        <v>#N/A</v>
      </c>
      <c r="Q350" s="123" t="str">
        <f t="shared" si="4"/>
        <v>#N/A</v>
      </c>
      <c r="R350" s="124" t="str">
        <f t="shared" si="5"/>
        <v>#N/A</v>
      </c>
      <c r="S350" s="125" t="str">
        <f t="shared" si="6"/>
        <v>#N/A</v>
      </c>
      <c r="T350" s="125" t="str">
        <f t="shared" si="7"/>
        <v>#N/A</v>
      </c>
      <c r="U350" s="83">
        <f t="shared" si="8"/>
        <v>0</v>
      </c>
      <c r="V350" s="88" t="str">
        <f>ifs($N350="",VLOOKUP($C350&amp;$F350,'MARCH - VISIT DATA'!$A$2:$J600,7,FALSE), $N350="SWAB","OUTSA-RW",$N350="SWQU","OUTSA-SaQu", AND($L350="X",$M350="X",$N350="QUEST"),"OUT-UAQPre",$N350="QUEST","OUT-UAQ", $N350="Walk in","ColUATele")</f>
        <v>#N/A</v>
      </c>
      <c r="W350" s="70" t="str">
        <f t="shared" si="9"/>
        <v>#N/A</v>
      </c>
      <c r="X350" s="64" t="str">
        <f t="shared" si="10"/>
        <v/>
      </c>
      <c r="Y350" s="64" t="str">
        <f t="shared" si="11"/>
        <v/>
      </c>
      <c r="Z350" s="66" t="str">
        <f t="shared" si="12"/>
        <v> </v>
      </c>
      <c r="AA350" s="71"/>
    </row>
    <row r="351" ht="15.75" customHeight="1">
      <c r="A351" s="56" t="str">
        <f t="shared" si="1"/>
        <v/>
      </c>
      <c r="B351" s="56" t="str">
        <f>IFS($C351=FALSE,"",$C351,VLOOKUP($C351,'PATIENT DATA (072721)'!A:C, 2, 0))</f>
        <v/>
      </c>
      <c r="C351" s="57"/>
      <c r="D351" s="127" t="str">
        <f>IF(COUNTIF('PATIENT DATA (072721)'!A:A, C351)=0, "X","✓")</f>
        <v>X</v>
      </c>
      <c r="E351" s="79"/>
      <c r="F351" s="80"/>
      <c r="G351" s="81" t="str">
        <f>ifs($C351="","",$C351, VLOOKUP($C351&amp;$F351, 'MARCH - VISIT DATA'!A:O,3,0))</f>
        <v/>
      </c>
      <c r="H351" s="83"/>
      <c r="I351" s="122" t="str">
        <f>VLOOKUP($C351&amp;$F351,'MARCH - VISIT DATA'!A:J, 9, FALSE)</f>
        <v>#N/A</v>
      </c>
      <c r="J351" s="85" t="str">
        <f>VLOOKUP(C351&amp;F351,'MARCH - VISIT DATA'!A:O,10,FALSE)</f>
        <v>#N/A</v>
      </c>
      <c r="K351" s="86"/>
      <c r="L351" s="86"/>
      <c r="M351" s="86"/>
      <c r="N351" s="86"/>
      <c r="O351" s="121" t="str">
        <f t="shared" si="2"/>
        <v>X</v>
      </c>
      <c r="P351" s="79" t="str">
        <f t="shared" si="3"/>
        <v>#N/A</v>
      </c>
      <c r="Q351" s="123" t="str">
        <f t="shared" si="4"/>
        <v>#N/A</v>
      </c>
      <c r="R351" s="124" t="str">
        <f t="shared" si="5"/>
        <v>#N/A</v>
      </c>
      <c r="S351" s="125" t="str">
        <f t="shared" si="6"/>
        <v>#N/A</v>
      </c>
      <c r="T351" s="125" t="str">
        <f t="shared" si="7"/>
        <v>#N/A</v>
      </c>
      <c r="U351" s="83">
        <f t="shared" si="8"/>
        <v>0</v>
      </c>
      <c r="V351" s="88" t="str">
        <f>ifs($N351="",VLOOKUP($C351&amp;$F351,'MARCH - VISIT DATA'!$A$2:$J600,7,FALSE), $N351="SWAB","OUTSA-RW",$N351="SWQU","OUTSA-SaQu", AND($L351="X",$M351="X",$N351="QUEST"),"OUT-UAQPre",$N351="QUEST","OUT-UAQ", $N351="Walk in","ColUATele")</f>
        <v>#N/A</v>
      </c>
      <c r="W351" s="70" t="str">
        <f t="shared" si="9"/>
        <v>#N/A</v>
      </c>
      <c r="X351" s="64" t="str">
        <f t="shared" si="10"/>
        <v/>
      </c>
      <c r="Y351" s="64" t="str">
        <f t="shared" si="11"/>
        <v/>
      </c>
      <c r="Z351" s="66" t="str">
        <f t="shared" si="12"/>
        <v> </v>
      </c>
      <c r="AA351" s="71"/>
    </row>
    <row r="352" ht="15.75" customHeight="1">
      <c r="A352" s="56" t="str">
        <f t="shared" si="1"/>
        <v/>
      </c>
      <c r="B352" s="56" t="str">
        <f>IFS($C352=FALSE,"",$C352,VLOOKUP($C352,'PATIENT DATA (072721)'!A:C, 2, 0))</f>
        <v/>
      </c>
      <c r="C352" s="57"/>
      <c r="D352" s="127" t="str">
        <f>IF(COUNTIF('PATIENT DATA (072721)'!A:A, C352)=0, "X","✓")</f>
        <v>X</v>
      </c>
      <c r="E352" s="79"/>
      <c r="F352" s="80"/>
      <c r="G352" s="81" t="str">
        <f>ifs($C352="","",$C352, VLOOKUP($C352&amp;$F352, 'MARCH - VISIT DATA'!A:O,3,0))</f>
        <v/>
      </c>
      <c r="H352" s="83"/>
      <c r="I352" s="122" t="str">
        <f>VLOOKUP($C352&amp;$F352,'MARCH - VISIT DATA'!A:J, 9, FALSE)</f>
        <v>#N/A</v>
      </c>
      <c r="J352" s="85" t="str">
        <f>VLOOKUP(C352&amp;F352,'MARCH - VISIT DATA'!A:O,10,FALSE)</f>
        <v>#N/A</v>
      </c>
      <c r="K352" s="86"/>
      <c r="L352" s="86"/>
      <c r="M352" s="86"/>
      <c r="N352" s="86"/>
      <c r="O352" s="121" t="str">
        <f t="shared" si="2"/>
        <v>X</v>
      </c>
      <c r="P352" s="79" t="str">
        <f t="shared" si="3"/>
        <v>#N/A</v>
      </c>
      <c r="Q352" s="123" t="str">
        <f t="shared" si="4"/>
        <v>#N/A</v>
      </c>
      <c r="R352" s="124" t="str">
        <f t="shared" si="5"/>
        <v>#N/A</v>
      </c>
      <c r="S352" s="125" t="str">
        <f t="shared" si="6"/>
        <v>#N/A</v>
      </c>
      <c r="T352" s="125" t="str">
        <f t="shared" si="7"/>
        <v>#N/A</v>
      </c>
      <c r="U352" s="83">
        <f t="shared" si="8"/>
        <v>0</v>
      </c>
      <c r="V352" s="88" t="str">
        <f>ifs($N352="",VLOOKUP($C352&amp;$F352,'MARCH - VISIT DATA'!$A$2:$J600,7,FALSE), $N352="SWAB","OUTSA-RW",$N352="SWQU","OUTSA-SaQu", AND($L352="X",$M352="X",$N352="QUEST"),"OUT-UAQPre",$N352="QUEST","OUT-UAQ", $N352="Walk in","ColUATele")</f>
        <v>#N/A</v>
      </c>
      <c r="W352" s="70" t="str">
        <f t="shared" si="9"/>
        <v>#N/A</v>
      </c>
      <c r="X352" s="64" t="str">
        <f t="shared" si="10"/>
        <v/>
      </c>
      <c r="Y352" s="64" t="str">
        <f t="shared" si="11"/>
        <v/>
      </c>
      <c r="Z352" s="66" t="str">
        <f t="shared" si="12"/>
        <v> </v>
      </c>
      <c r="AA352" s="71"/>
    </row>
    <row r="353" ht="15.75" customHeight="1">
      <c r="A353" s="56" t="str">
        <f t="shared" si="1"/>
        <v/>
      </c>
      <c r="B353" s="56" t="str">
        <f>IFS($C353=FALSE,"",$C353,VLOOKUP($C353,'PATIENT DATA (072721)'!A:C, 2, 0))</f>
        <v/>
      </c>
      <c r="C353" s="57"/>
      <c r="D353" s="127" t="str">
        <f>IF(COUNTIF('PATIENT DATA (072721)'!A:A, C353)=0, "X","✓")</f>
        <v>X</v>
      </c>
      <c r="E353" s="79"/>
      <c r="F353" s="80"/>
      <c r="G353" s="81" t="str">
        <f>ifs($C353="","",$C353, VLOOKUP($C353&amp;$F353, 'MARCH - VISIT DATA'!A:O,3,0))</f>
        <v/>
      </c>
      <c r="H353" s="83"/>
      <c r="I353" s="122" t="str">
        <f>VLOOKUP($C353&amp;$F353,'MARCH - VISIT DATA'!A:J, 9, FALSE)</f>
        <v>#N/A</v>
      </c>
      <c r="J353" s="85" t="str">
        <f>VLOOKUP(C353&amp;F353,'MARCH - VISIT DATA'!A:O,10,FALSE)</f>
        <v>#N/A</v>
      </c>
      <c r="K353" s="86"/>
      <c r="L353" s="86"/>
      <c r="M353" s="86"/>
      <c r="N353" s="86"/>
      <c r="O353" s="121" t="str">
        <f t="shared" si="2"/>
        <v>X</v>
      </c>
      <c r="P353" s="79" t="str">
        <f t="shared" si="3"/>
        <v>#N/A</v>
      </c>
      <c r="Q353" s="123" t="str">
        <f t="shared" si="4"/>
        <v>#N/A</v>
      </c>
      <c r="R353" s="124" t="str">
        <f t="shared" si="5"/>
        <v>#N/A</v>
      </c>
      <c r="S353" s="125" t="str">
        <f t="shared" si="6"/>
        <v>#N/A</v>
      </c>
      <c r="T353" s="125" t="str">
        <f t="shared" si="7"/>
        <v>#N/A</v>
      </c>
      <c r="U353" s="83">
        <f t="shared" si="8"/>
        <v>0</v>
      </c>
      <c r="V353" s="88" t="str">
        <f>ifs($N353="",VLOOKUP($C353&amp;$F353,'MARCH - VISIT DATA'!$A$2:$J600,7,FALSE), $N353="SWAB","OUTSA-RW",$N353="SWQU","OUTSA-SaQu", AND($L353="X",$M353="X",$N353="QUEST"),"OUT-UAQPre",$N353="QUEST","OUT-UAQ", $N353="Walk in","ColUATele")</f>
        <v>#N/A</v>
      </c>
      <c r="W353" s="70" t="str">
        <f t="shared" si="9"/>
        <v>#N/A</v>
      </c>
      <c r="X353" s="64" t="str">
        <f t="shared" si="10"/>
        <v/>
      </c>
      <c r="Y353" s="64" t="str">
        <f t="shared" si="11"/>
        <v/>
      </c>
      <c r="Z353" s="66" t="str">
        <f t="shared" si="12"/>
        <v> </v>
      </c>
      <c r="AA353" s="71"/>
    </row>
    <row r="354" ht="15.75" customHeight="1">
      <c r="A354" s="56" t="str">
        <f t="shared" si="1"/>
        <v/>
      </c>
      <c r="B354" s="56" t="str">
        <f>IFS($C354=FALSE,"",$C354,VLOOKUP($C354,'PATIENT DATA (072721)'!A:C, 2, 0))</f>
        <v/>
      </c>
      <c r="C354" s="57"/>
      <c r="D354" s="127" t="str">
        <f>IF(COUNTIF('PATIENT DATA (072721)'!A:A, C354)=0, "X","✓")</f>
        <v>X</v>
      </c>
      <c r="E354" s="79"/>
      <c r="F354" s="80"/>
      <c r="G354" s="81" t="str">
        <f>ifs($C354="","",$C354, VLOOKUP($C354&amp;$F354, 'MARCH - VISIT DATA'!A:O,3,0))</f>
        <v/>
      </c>
      <c r="H354" s="83"/>
      <c r="I354" s="122" t="str">
        <f>VLOOKUP($C354&amp;$F354,'MARCH - VISIT DATA'!A:J, 9, FALSE)</f>
        <v>#N/A</v>
      </c>
      <c r="J354" s="85" t="str">
        <f>VLOOKUP(C354&amp;F354,'MARCH - VISIT DATA'!A:O,10,FALSE)</f>
        <v>#N/A</v>
      </c>
      <c r="K354" s="86"/>
      <c r="L354" s="86"/>
      <c r="M354" s="86"/>
      <c r="N354" s="86"/>
      <c r="O354" s="121" t="str">
        <f t="shared" si="2"/>
        <v>X</v>
      </c>
      <c r="P354" s="79" t="str">
        <f t="shared" si="3"/>
        <v>#N/A</v>
      </c>
      <c r="Q354" s="123" t="str">
        <f t="shared" si="4"/>
        <v>#N/A</v>
      </c>
      <c r="R354" s="124" t="str">
        <f t="shared" si="5"/>
        <v>#N/A</v>
      </c>
      <c r="S354" s="125" t="str">
        <f t="shared" si="6"/>
        <v>#N/A</v>
      </c>
      <c r="T354" s="125" t="str">
        <f t="shared" si="7"/>
        <v>#N/A</v>
      </c>
      <c r="U354" s="83">
        <f t="shared" si="8"/>
        <v>0</v>
      </c>
      <c r="V354" s="88" t="str">
        <f>ifs($N354="",VLOOKUP($C354&amp;$F354,'MARCH - VISIT DATA'!$A$2:$J600,7,FALSE), $N354="SWAB","OUTSA-RW",$N354="SWQU","OUTSA-SaQu", AND($L354="X",$M354="X",$N354="QUEST"),"OUT-UAQPre",$N354="QUEST","OUT-UAQ", $N354="Walk in","ColUATele")</f>
        <v>#N/A</v>
      </c>
      <c r="W354" s="70" t="str">
        <f t="shared" si="9"/>
        <v>#N/A</v>
      </c>
      <c r="X354" s="64" t="str">
        <f t="shared" si="10"/>
        <v/>
      </c>
      <c r="Y354" s="64" t="str">
        <f t="shared" si="11"/>
        <v/>
      </c>
      <c r="Z354" s="66" t="str">
        <f t="shared" si="12"/>
        <v> </v>
      </c>
      <c r="AA354" s="71"/>
    </row>
    <row r="355" ht="15.75" customHeight="1">
      <c r="A355" s="56" t="str">
        <f t="shared" si="1"/>
        <v/>
      </c>
      <c r="B355" s="56" t="str">
        <f>IFS($C355=FALSE,"",$C355,VLOOKUP($C355,'PATIENT DATA (072721)'!A:C, 2, 0))</f>
        <v/>
      </c>
      <c r="C355" s="57"/>
      <c r="D355" s="127" t="str">
        <f>IF(COUNTIF('PATIENT DATA (072721)'!A:A, C355)=0, "X","✓")</f>
        <v>X</v>
      </c>
      <c r="E355" s="79"/>
      <c r="F355" s="80"/>
      <c r="G355" s="81" t="str">
        <f>ifs($C355="","",$C355, VLOOKUP($C355&amp;$F355, 'MARCH - VISIT DATA'!A:O,3,0))</f>
        <v/>
      </c>
      <c r="H355" s="83"/>
      <c r="I355" s="122" t="str">
        <f>VLOOKUP($C355&amp;$F355,'MARCH - VISIT DATA'!A:J, 9, FALSE)</f>
        <v>#N/A</v>
      </c>
      <c r="J355" s="85" t="str">
        <f>VLOOKUP(C355&amp;F355,'MARCH - VISIT DATA'!A:O,10,FALSE)</f>
        <v>#N/A</v>
      </c>
      <c r="K355" s="86"/>
      <c r="L355" s="86"/>
      <c r="M355" s="86"/>
      <c r="N355" s="86"/>
      <c r="O355" s="121" t="str">
        <f t="shared" si="2"/>
        <v>X</v>
      </c>
      <c r="P355" s="79" t="str">
        <f t="shared" si="3"/>
        <v>#N/A</v>
      </c>
      <c r="Q355" s="123" t="str">
        <f t="shared" si="4"/>
        <v>#N/A</v>
      </c>
      <c r="R355" s="124" t="str">
        <f t="shared" si="5"/>
        <v>#N/A</v>
      </c>
      <c r="S355" s="125" t="str">
        <f t="shared" si="6"/>
        <v>#N/A</v>
      </c>
      <c r="T355" s="125" t="str">
        <f t="shared" si="7"/>
        <v>#N/A</v>
      </c>
      <c r="U355" s="83">
        <f t="shared" si="8"/>
        <v>0</v>
      </c>
      <c r="V355" s="88" t="str">
        <f>ifs($N355="",VLOOKUP($C355&amp;$F355,'MARCH - VISIT DATA'!$A$2:$J600,7,FALSE), $N355="SWAB","OUTSA-RW",$N355="SWQU","OUTSA-SaQu", AND($L355="X",$M355="X",$N355="QUEST"),"OUT-UAQPre",$N355="QUEST","OUT-UAQ", $N355="Walk in","ColUATele")</f>
        <v>#N/A</v>
      </c>
      <c r="W355" s="70" t="str">
        <f t="shared" si="9"/>
        <v>#N/A</v>
      </c>
      <c r="X355" s="64" t="str">
        <f t="shared" si="10"/>
        <v/>
      </c>
      <c r="Y355" s="64" t="str">
        <f t="shared" si="11"/>
        <v/>
      </c>
      <c r="Z355" s="66" t="str">
        <f t="shared" si="12"/>
        <v> </v>
      </c>
      <c r="AA355" s="71"/>
    </row>
    <row r="356" ht="15.75" customHeight="1">
      <c r="A356" s="56" t="str">
        <f t="shared" si="1"/>
        <v/>
      </c>
      <c r="B356" s="56" t="str">
        <f>IFS($C356=FALSE,"",$C356,VLOOKUP($C356,'PATIENT DATA (072721)'!A:C, 2, 0))</f>
        <v/>
      </c>
      <c r="C356" s="57"/>
      <c r="D356" s="127" t="str">
        <f>IF(COUNTIF('PATIENT DATA (072721)'!A:A, C356)=0, "X","✓")</f>
        <v>X</v>
      </c>
      <c r="E356" s="79"/>
      <c r="F356" s="80"/>
      <c r="G356" s="81" t="str">
        <f>ifs($C356="","",$C356, VLOOKUP($C356&amp;$F356, 'MARCH - VISIT DATA'!A:O,3,0))</f>
        <v/>
      </c>
      <c r="H356" s="83"/>
      <c r="I356" s="122" t="str">
        <f>VLOOKUP($C356&amp;$F356,'MARCH - VISIT DATA'!A:J, 9, FALSE)</f>
        <v>#N/A</v>
      </c>
      <c r="J356" s="85" t="str">
        <f>VLOOKUP(C356&amp;F356,'MARCH - VISIT DATA'!A:O,10,FALSE)</f>
        <v>#N/A</v>
      </c>
      <c r="K356" s="86"/>
      <c r="L356" s="86"/>
      <c r="M356" s="86"/>
      <c r="N356" s="86"/>
      <c r="O356" s="121" t="str">
        <f t="shared" si="2"/>
        <v>X</v>
      </c>
      <c r="P356" s="79" t="str">
        <f t="shared" si="3"/>
        <v>#N/A</v>
      </c>
      <c r="Q356" s="123" t="str">
        <f t="shared" si="4"/>
        <v>#N/A</v>
      </c>
      <c r="R356" s="124" t="str">
        <f t="shared" si="5"/>
        <v>#N/A</v>
      </c>
      <c r="S356" s="125" t="str">
        <f t="shared" si="6"/>
        <v>#N/A</v>
      </c>
      <c r="T356" s="125" t="str">
        <f t="shared" si="7"/>
        <v>#N/A</v>
      </c>
      <c r="U356" s="83">
        <f t="shared" si="8"/>
        <v>0</v>
      </c>
      <c r="V356" s="88" t="str">
        <f>ifs($N356="",VLOOKUP($C356&amp;$F356,'MARCH - VISIT DATA'!$A$2:$J600,7,FALSE), $N356="SWAB","OUTSA-RW",$N356="SWQU","OUTSA-SaQu", AND($L356="X",$M356="X",$N356="QUEST"),"OUT-UAQPre",$N356="QUEST","OUT-UAQ", $N356="Walk in","ColUATele")</f>
        <v>#N/A</v>
      </c>
      <c r="W356" s="70" t="str">
        <f t="shared" si="9"/>
        <v>#N/A</v>
      </c>
      <c r="X356" s="64" t="str">
        <f t="shared" si="10"/>
        <v/>
      </c>
      <c r="Y356" s="64" t="str">
        <f t="shared" si="11"/>
        <v/>
      </c>
      <c r="Z356" s="66" t="str">
        <f t="shared" si="12"/>
        <v> </v>
      </c>
      <c r="AA356" s="71"/>
    </row>
    <row r="357" ht="15.75" customHeight="1">
      <c r="A357" s="56" t="str">
        <f t="shared" si="1"/>
        <v/>
      </c>
      <c r="B357" s="56" t="str">
        <f>IFS($C357=FALSE,"",$C357,VLOOKUP($C357,'PATIENT DATA (072721)'!A:C, 2, 0))</f>
        <v/>
      </c>
      <c r="C357" s="57"/>
      <c r="D357" s="127" t="str">
        <f>IF(COUNTIF('PATIENT DATA (072721)'!A:A, C357)=0, "X","✓")</f>
        <v>X</v>
      </c>
      <c r="E357" s="79"/>
      <c r="F357" s="80"/>
      <c r="G357" s="81" t="str">
        <f>ifs($C357="","",$C357, VLOOKUP($C357&amp;$F357, 'MARCH - VISIT DATA'!A:O,3,0))</f>
        <v/>
      </c>
      <c r="H357" s="83"/>
      <c r="I357" s="122" t="str">
        <f>VLOOKUP($C357&amp;$F357,'MARCH - VISIT DATA'!A:J, 9, FALSE)</f>
        <v>#N/A</v>
      </c>
      <c r="J357" s="85" t="str">
        <f>VLOOKUP(C357&amp;F357,'MARCH - VISIT DATA'!A:O,10,FALSE)</f>
        <v>#N/A</v>
      </c>
      <c r="K357" s="86"/>
      <c r="L357" s="86"/>
      <c r="M357" s="86"/>
      <c r="N357" s="86"/>
      <c r="O357" s="121" t="str">
        <f t="shared" si="2"/>
        <v>X</v>
      </c>
      <c r="P357" s="79" t="str">
        <f t="shared" si="3"/>
        <v>#N/A</v>
      </c>
      <c r="Q357" s="123" t="str">
        <f t="shared" si="4"/>
        <v>#N/A</v>
      </c>
      <c r="R357" s="124" t="str">
        <f t="shared" si="5"/>
        <v>#N/A</v>
      </c>
      <c r="S357" s="125" t="str">
        <f t="shared" si="6"/>
        <v>#N/A</v>
      </c>
      <c r="T357" s="125" t="str">
        <f t="shared" si="7"/>
        <v>#N/A</v>
      </c>
      <c r="U357" s="83">
        <f t="shared" si="8"/>
        <v>0</v>
      </c>
      <c r="V357" s="88" t="str">
        <f>ifs($N357="",VLOOKUP($C357&amp;$F357,'MARCH - VISIT DATA'!$A$2:$J600,7,FALSE), $N357="SWAB","OUTSA-RW",$N357="SWQU","OUTSA-SaQu", AND($L357="X",$M357="X",$N357="QUEST"),"OUT-UAQPre",$N357="QUEST","OUT-UAQ", $N357="Walk in","ColUATele")</f>
        <v>#N/A</v>
      </c>
      <c r="W357" s="70" t="str">
        <f t="shared" si="9"/>
        <v>#N/A</v>
      </c>
      <c r="X357" s="64" t="str">
        <f t="shared" si="10"/>
        <v/>
      </c>
      <c r="Y357" s="64" t="str">
        <f t="shared" si="11"/>
        <v/>
      </c>
      <c r="Z357" s="66" t="str">
        <f t="shared" si="12"/>
        <v> </v>
      </c>
      <c r="AA357" s="71"/>
    </row>
    <row r="358" ht="15.75" customHeight="1">
      <c r="A358" s="56" t="str">
        <f t="shared" si="1"/>
        <v/>
      </c>
      <c r="B358" s="56" t="str">
        <f>IFS($C358=FALSE,"",$C358,VLOOKUP($C358,'PATIENT DATA (072721)'!A:C, 2, 0))</f>
        <v/>
      </c>
      <c r="C358" s="57"/>
      <c r="D358" s="127" t="str">
        <f>IF(COUNTIF('PATIENT DATA (072721)'!A:A, C358)=0, "X","✓")</f>
        <v>X</v>
      </c>
      <c r="E358" s="79"/>
      <c r="F358" s="80"/>
      <c r="G358" s="81" t="str">
        <f>ifs($C358="","",$C358, VLOOKUP($C358&amp;$F358, 'MARCH - VISIT DATA'!A:O,3,0))</f>
        <v/>
      </c>
      <c r="H358" s="83"/>
      <c r="I358" s="122" t="str">
        <f>VLOOKUP($C358&amp;$F358,'MARCH - VISIT DATA'!A:J, 9, FALSE)</f>
        <v>#N/A</v>
      </c>
      <c r="J358" s="85" t="str">
        <f>VLOOKUP(C358&amp;F358,'MARCH - VISIT DATA'!A:O,10,FALSE)</f>
        <v>#N/A</v>
      </c>
      <c r="K358" s="86"/>
      <c r="L358" s="86"/>
      <c r="M358" s="86"/>
      <c r="N358" s="86"/>
      <c r="O358" s="121" t="str">
        <f t="shared" si="2"/>
        <v>X</v>
      </c>
      <c r="P358" s="79" t="str">
        <f t="shared" si="3"/>
        <v>#N/A</v>
      </c>
      <c r="Q358" s="123" t="str">
        <f t="shared" si="4"/>
        <v>#N/A</v>
      </c>
      <c r="R358" s="124" t="str">
        <f t="shared" si="5"/>
        <v>#N/A</v>
      </c>
      <c r="S358" s="125" t="str">
        <f t="shared" si="6"/>
        <v>#N/A</v>
      </c>
      <c r="T358" s="125" t="str">
        <f t="shared" si="7"/>
        <v>#N/A</v>
      </c>
      <c r="U358" s="83">
        <f t="shared" si="8"/>
        <v>0</v>
      </c>
      <c r="V358" s="88" t="str">
        <f>ifs($N358="",VLOOKUP($C358&amp;$F358,'MARCH - VISIT DATA'!$A$2:$J600,7,FALSE), $N358="SWAB","OUTSA-RW",$N358="SWQU","OUTSA-SaQu", AND($L358="X",$M358="X",$N358="QUEST"),"OUT-UAQPre",$N358="QUEST","OUT-UAQ", $N358="Walk in","ColUATele")</f>
        <v>#N/A</v>
      </c>
      <c r="W358" s="70" t="str">
        <f t="shared" si="9"/>
        <v>#N/A</v>
      </c>
      <c r="X358" s="64" t="str">
        <f t="shared" si="10"/>
        <v/>
      </c>
      <c r="Y358" s="64" t="str">
        <f t="shared" si="11"/>
        <v/>
      </c>
      <c r="Z358" s="66" t="str">
        <f t="shared" si="12"/>
        <v> </v>
      </c>
      <c r="AA358" s="71"/>
    </row>
    <row r="359" ht="15.75" customHeight="1">
      <c r="A359" s="56" t="str">
        <f t="shared" si="1"/>
        <v/>
      </c>
      <c r="B359" s="56" t="str">
        <f>IFS($C359=FALSE,"",$C359,VLOOKUP($C359,'PATIENT DATA (072721)'!A:C, 2, 0))</f>
        <v/>
      </c>
      <c r="C359" s="57"/>
      <c r="D359" s="127" t="str">
        <f>IF(COUNTIF('PATIENT DATA (072721)'!A:A, C359)=0, "X","✓")</f>
        <v>X</v>
      </c>
      <c r="E359" s="79"/>
      <c r="F359" s="80"/>
      <c r="G359" s="81" t="str">
        <f>ifs($C359="","",$C359, VLOOKUP($C359&amp;$F359, 'MARCH - VISIT DATA'!A:O,3,0))</f>
        <v/>
      </c>
      <c r="H359" s="83"/>
      <c r="I359" s="122" t="str">
        <f>VLOOKUP($C359&amp;$F359,'MARCH - VISIT DATA'!A:J, 9, FALSE)</f>
        <v>#N/A</v>
      </c>
      <c r="J359" s="85" t="str">
        <f>VLOOKUP(C359&amp;F359,'MARCH - VISIT DATA'!A:O,10,FALSE)</f>
        <v>#N/A</v>
      </c>
      <c r="K359" s="86"/>
      <c r="L359" s="86"/>
      <c r="M359" s="86"/>
      <c r="N359" s="86"/>
      <c r="O359" s="121" t="str">
        <f t="shared" si="2"/>
        <v>X</v>
      </c>
      <c r="P359" s="79" t="str">
        <f t="shared" si="3"/>
        <v>#N/A</v>
      </c>
      <c r="Q359" s="123" t="str">
        <f t="shared" si="4"/>
        <v>#N/A</v>
      </c>
      <c r="R359" s="124" t="str">
        <f t="shared" si="5"/>
        <v>#N/A</v>
      </c>
      <c r="S359" s="125" t="str">
        <f t="shared" si="6"/>
        <v>#N/A</v>
      </c>
      <c r="T359" s="125" t="str">
        <f t="shared" si="7"/>
        <v>#N/A</v>
      </c>
      <c r="U359" s="83">
        <f t="shared" si="8"/>
        <v>0</v>
      </c>
      <c r="V359" s="88" t="str">
        <f>ifs($N359="",VLOOKUP($C359&amp;$F359,'MARCH - VISIT DATA'!$A$2:$J600,7,FALSE), $N359="SWAB","OUTSA-RW",$N359="SWQU","OUTSA-SaQu", AND($L359="X",$M359="X",$N359="QUEST"),"OUT-UAQPre",$N359="QUEST","OUT-UAQ", $N359="Walk in","ColUATele")</f>
        <v>#N/A</v>
      </c>
      <c r="W359" s="70" t="str">
        <f t="shared" si="9"/>
        <v>#N/A</v>
      </c>
      <c r="X359" s="64" t="str">
        <f t="shared" si="10"/>
        <v/>
      </c>
      <c r="Y359" s="64" t="str">
        <f t="shared" si="11"/>
        <v/>
      </c>
      <c r="Z359" s="66" t="str">
        <f t="shared" si="12"/>
        <v> </v>
      </c>
      <c r="AA359" s="71"/>
    </row>
    <row r="360" ht="15.75" customHeight="1">
      <c r="A360" s="56" t="str">
        <f t="shared" si="1"/>
        <v/>
      </c>
      <c r="B360" s="56" t="str">
        <f>IFS($C360=FALSE,"",$C360,VLOOKUP($C360,'PATIENT DATA (072721)'!A:C, 2, 0))</f>
        <v/>
      </c>
      <c r="C360" s="57"/>
      <c r="D360" s="127" t="str">
        <f>IF(COUNTIF('PATIENT DATA (072721)'!A:A, C360)=0, "X","✓")</f>
        <v>X</v>
      </c>
      <c r="E360" s="79"/>
      <c r="F360" s="80"/>
      <c r="G360" s="81" t="str">
        <f>ifs($C360="","",$C360, VLOOKUP($C360&amp;$F360, 'MARCH - VISIT DATA'!A:O,3,0))</f>
        <v/>
      </c>
      <c r="H360" s="83"/>
      <c r="I360" s="122" t="str">
        <f>VLOOKUP($C360&amp;$F360,'MARCH - VISIT DATA'!A:J, 9, FALSE)</f>
        <v>#N/A</v>
      </c>
      <c r="J360" s="85" t="str">
        <f>VLOOKUP(C360&amp;F360,'MARCH - VISIT DATA'!A:O,10,FALSE)</f>
        <v>#N/A</v>
      </c>
      <c r="K360" s="86"/>
      <c r="L360" s="86"/>
      <c r="M360" s="86"/>
      <c r="N360" s="86"/>
      <c r="O360" s="121" t="str">
        <f t="shared" si="2"/>
        <v>X</v>
      </c>
      <c r="P360" s="79" t="str">
        <f t="shared" si="3"/>
        <v>#N/A</v>
      </c>
      <c r="Q360" s="123" t="str">
        <f t="shared" si="4"/>
        <v>#N/A</v>
      </c>
      <c r="R360" s="124" t="str">
        <f t="shared" si="5"/>
        <v>#N/A</v>
      </c>
      <c r="S360" s="125" t="str">
        <f t="shared" si="6"/>
        <v>#N/A</v>
      </c>
      <c r="T360" s="125" t="str">
        <f t="shared" si="7"/>
        <v>#N/A</v>
      </c>
      <c r="U360" s="83">
        <f t="shared" si="8"/>
        <v>0</v>
      </c>
      <c r="V360" s="88" t="str">
        <f>ifs($N360="",VLOOKUP($C360&amp;$F360,'MARCH - VISIT DATA'!$A$2:$J600,7,FALSE), $N360="SWAB","OUTSA-RW",$N360="SWQU","OUTSA-SaQu", AND($L360="X",$M360="X",$N360="QUEST"),"OUT-UAQPre",$N360="QUEST","OUT-UAQ", $N360="Walk in","ColUATele")</f>
        <v>#N/A</v>
      </c>
      <c r="W360" s="70" t="str">
        <f t="shared" si="9"/>
        <v>#N/A</v>
      </c>
      <c r="X360" s="64" t="str">
        <f t="shared" si="10"/>
        <v/>
      </c>
      <c r="Y360" s="64" t="str">
        <f t="shared" si="11"/>
        <v/>
      </c>
      <c r="Z360" s="66" t="str">
        <f t="shared" si="12"/>
        <v> </v>
      </c>
      <c r="AA360" s="71"/>
    </row>
    <row r="361" ht="15.75" customHeight="1">
      <c r="A361" s="56" t="str">
        <f t="shared" si="1"/>
        <v/>
      </c>
      <c r="B361" s="56" t="str">
        <f>IFS($C361=FALSE,"",$C361,VLOOKUP($C361,'PATIENT DATA (072721)'!A:C, 2, 0))</f>
        <v/>
      </c>
      <c r="C361" s="57"/>
      <c r="D361" s="127" t="str">
        <f>IF(COUNTIF('PATIENT DATA (072721)'!A:A, C361)=0, "X","✓")</f>
        <v>X</v>
      </c>
      <c r="E361" s="79"/>
      <c r="F361" s="80"/>
      <c r="G361" s="81" t="str">
        <f>ifs($C361="","",$C361, VLOOKUP($C361&amp;$F361, 'MARCH - VISIT DATA'!A:O,3,0))</f>
        <v/>
      </c>
      <c r="H361" s="83"/>
      <c r="I361" s="122" t="str">
        <f>VLOOKUP($C361&amp;$F361,'MARCH - VISIT DATA'!A:J, 9, FALSE)</f>
        <v>#N/A</v>
      </c>
      <c r="J361" s="85" t="str">
        <f>VLOOKUP(C361&amp;F361,'MARCH - VISIT DATA'!A:O,10,FALSE)</f>
        <v>#N/A</v>
      </c>
      <c r="K361" s="86"/>
      <c r="L361" s="86"/>
      <c r="M361" s="86"/>
      <c r="N361" s="86"/>
      <c r="O361" s="121" t="str">
        <f t="shared" si="2"/>
        <v>X</v>
      </c>
      <c r="P361" s="79" t="str">
        <f t="shared" si="3"/>
        <v>#N/A</v>
      </c>
      <c r="Q361" s="123" t="str">
        <f t="shared" si="4"/>
        <v>#N/A</v>
      </c>
      <c r="R361" s="124" t="str">
        <f t="shared" si="5"/>
        <v>#N/A</v>
      </c>
      <c r="S361" s="125" t="str">
        <f t="shared" si="6"/>
        <v>#N/A</v>
      </c>
      <c r="T361" s="125" t="str">
        <f t="shared" si="7"/>
        <v>#N/A</v>
      </c>
      <c r="U361" s="83">
        <f t="shared" si="8"/>
        <v>0</v>
      </c>
      <c r="V361" s="88" t="str">
        <f>ifs($N361="",VLOOKUP($C361&amp;$F361,'MARCH - VISIT DATA'!$A$2:$J600,7,FALSE), $N361="SWAB","OUTSA-RW",$N361="SWQU","OUTSA-SaQu", AND($L361="X",$M361="X",$N361="QUEST"),"OUT-UAQPre",$N361="QUEST","OUT-UAQ", $N361="Walk in","ColUATele")</f>
        <v>#N/A</v>
      </c>
      <c r="W361" s="70" t="str">
        <f t="shared" si="9"/>
        <v>#N/A</v>
      </c>
      <c r="X361" s="64" t="str">
        <f t="shared" si="10"/>
        <v/>
      </c>
      <c r="Y361" s="64" t="str">
        <f t="shared" si="11"/>
        <v/>
      </c>
      <c r="Z361" s="66" t="str">
        <f t="shared" si="12"/>
        <v> </v>
      </c>
      <c r="AA361" s="71"/>
    </row>
    <row r="362" ht="15.75" customHeight="1">
      <c r="A362" s="56" t="str">
        <f t="shared" si="1"/>
        <v/>
      </c>
      <c r="B362" s="56" t="str">
        <f>IFS($C362=FALSE,"",$C362,VLOOKUP($C362,'PATIENT DATA (072721)'!A:C, 2, 0))</f>
        <v/>
      </c>
      <c r="C362" s="57"/>
      <c r="D362" s="127" t="str">
        <f>IF(COUNTIF('PATIENT DATA (072721)'!A:A, C362)=0, "X","✓")</f>
        <v>X</v>
      </c>
      <c r="E362" s="79"/>
      <c r="F362" s="80"/>
      <c r="G362" s="81" t="str">
        <f>ifs($C362="","",$C362, VLOOKUP($C362&amp;$F362, 'MARCH - VISIT DATA'!A:O,3,0))</f>
        <v/>
      </c>
      <c r="H362" s="83"/>
      <c r="I362" s="122" t="str">
        <f>VLOOKUP($C362&amp;$F362,'MARCH - VISIT DATA'!A:J, 9, FALSE)</f>
        <v>#N/A</v>
      </c>
      <c r="J362" s="85" t="str">
        <f>VLOOKUP(C362&amp;F362,'MARCH - VISIT DATA'!A:O,10,FALSE)</f>
        <v>#N/A</v>
      </c>
      <c r="K362" s="86"/>
      <c r="L362" s="86"/>
      <c r="M362" s="86"/>
      <c r="N362" s="86"/>
      <c r="O362" s="121" t="str">
        <f t="shared" si="2"/>
        <v>X</v>
      </c>
      <c r="P362" s="79" t="str">
        <f t="shared" si="3"/>
        <v>#N/A</v>
      </c>
      <c r="Q362" s="123" t="str">
        <f t="shared" si="4"/>
        <v>#N/A</v>
      </c>
      <c r="R362" s="124" t="str">
        <f t="shared" si="5"/>
        <v>#N/A</v>
      </c>
      <c r="S362" s="125" t="str">
        <f t="shared" si="6"/>
        <v>#N/A</v>
      </c>
      <c r="T362" s="125" t="str">
        <f t="shared" si="7"/>
        <v>#N/A</v>
      </c>
      <c r="U362" s="83">
        <f t="shared" si="8"/>
        <v>0</v>
      </c>
      <c r="V362" s="88" t="str">
        <f>ifs($N362="",VLOOKUP($C362&amp;$F362,'MARCH - VISIT DATA'!$A$2:$J600,7,FALSE), $N362="SWAB","OUTSA-RW",$N362="SWQU","OUTSA-SaQu", AND($L362="X",$M362="X",$N362="QUEST"),"OUT-UAQPre",$N362="QUEST","OUT-UAQ", $N362="Walk in","ColUATele")</f>
        <v>#N/A</v>
      </c>
      <c r="W362" s="70" t="str">
        <f t="shared" si="9"/>
        <v>#N/A</v>
      </c>
      <c r="X362" s="64" t="str">
        <f t="shared" si="10"/>
        <v/>
      </c>
      <c r="Y362" s="64" t="str">
        <f t="shared" si="11"/>
        <v/>
      </c>
      <c r="Z362" s="66" t="str">
        <f t="shared" si="12"/>
        <v> </v>
      </c>
      <c r="AA362" s="71"/>
    </row>
    <row r="363" ht="15.75" customHeight="1">
      <c r="A363" s="56" t="str">
        <f t="shared" si="1"/>
        <v/>
      </c>
      <c r="B363" s="56" t="str">
        <f>IFS($C363=FALSE,"",$C363,VLOOKUP($C363,'PATIENT DATA (072721)'!A:C, 2, 0))</f>
        <v/>
      </c>
      <c r="C363" s="57"/>
      <c r="D363" s="127" t="str">
        <f>IF(COUNTIF('PATIENT DATA (072721)'!A:A, C363)=0, "X","✓")</f>
        <v>X</v>
      </c>
      <c r="E363" s="79"/>
      <c r="F363" s="80"/>
      <c r="G363" s="81" t="str">
        <f>ifs($C363="","",$C363, VLOOKUP($C363&amp;$F363, 'MARCH - VISIT DATA'!A:O,3,0))</f>
        <v/>
      </c>
      <c r="H363" s="83"/>
      <c r="I363" s="122" t="str">
        <f>VLOOKUP($C363&amp;$F363,'MARCH - VISIT DATA'!A:J, 9, FALSE)</f>
        <v>#N/A</v>
      </c>
      <c r="J363" s="85" t="str">
        <f>VLOOKUP(C363&amp;F363,'MARCH - VISIT DATA'!A:O,10,FALSE)</f>
        <v>#N/A</v>
      </c>
      <c r="K363" s="86"/>
      <c r="L363" s="86"/>
      <c r="M363" s="86"/>
      <c r="N363" s="86"/>
      <c r="O363" s="121" t="str">
        <f t="shared" si="2"/>
        <v>X</v>
      </c>
      <c r="P363" s="79" t="str">
        <f t="shared" si="3"/>
        <v>#N/A</v>
      </c>
      <c r="Q363" s="123" t="str">
        <f t="shared" si="4"/>
        <v>#N/A</v>
      </c>
      <c r="R363" s="124" t="str">
        <f t="shared" si="5"/>
        <v>#N/A</v>
      </c>
      <c r="S363" s="125" t="str">
        <f t="shared" si="6"/>
        <v>#N/A</v>
      </c>
      <c r="T363" s="125" t="str">
        <f t="shared" si="7"/>
        <v>#N/A</v>
      </c>
      <c r="U363" s="83">
        <f t="shared" si="8"/>
        <v>0</v>
      </c>
      <c r="V363" s="88" t="str">
        <f>ifs($N363="",VLOOKUP($C363&amp;$F363,'MARCH - VISIT DATA'!$A$2:$J600,7,FALSE), $N363="SWAB","OUTSA-RW",$N363="SWQU","OUTSA-SaQu", AND($L363="X",$M363="X",$N363="QUEST"),"OUT-UAQPre",$N363="QUEST","OUT-UAQ", $N363="Walk in","ColUATele")</f>
        <v>#N/A</v>
      </c>
      <c r="W363" s="70" t="str">
        <f t="shared" si="9"/>
        <v>#N/A</v>
      </c>
      <c r="X363" s="64" t="str">
        <f t="shared" si="10"/>
        <v/>
      </c>
      <c r="Y363" s="64" t="str">
        <f t="shared" si="11"/>
        <v/>
      </c>
      <c r="Z363" s="66" t="str">
        <f t="shared" si="12"/>
        <v> </v>
      </c>
      <c r="AA363" s="71"/>
    </row>
    <row r="364" ht="15.75" customHeight="1">
      <c r="A364" s="56" t="str">
        <f t="shared" si="1"/>
        <v/>
      </c>
      <c r="B364" s="56" t="str">
        <f>IFS($C364=FALSE,"",$C364,VLOOKUP($C364,'PATIENT DATA (072721)'!A:C, 2, 0))</f>
        <v/>
      </c>
      <c r="C364" s="57"/>
      <c r="D364" s="127" t="str">
        <f>IF(COUNTIF('PATIENT DATA (072721)'!A:A, C364)=0, "X","✓")</f>
        <v>X</v>
      </c>
      <c r="E364" s="79"/>
      <c r="F364" s="80"/>
      <c r="G364" s="81" t="str">
        <f>ifs($C364="","",$C364, VLOOKUP($C364&amp;$F364, 'MARCH - VISIT DATA'!A:O,3,0))</f>
        <v/>
      </c>
      <c r="H364" s="83"/>
      <c r="I364" s="122" t="str">
        <f>VLOOKUP($C364&amp;$F364,'MARCH - VISIT DATA'!A:J, 9, FALSE)</f>
        <v>#N/A</v>
      </c>
      <c r="J364" s="85" t="str">
        <f>VLOOKUP(C364&amp;F364,'MARCH - VISIT DATA'!A:O,10,FALSE)</f>
        <v>#N/A</v>
      </c>
      <c r="K364" s="86"/>
      <c r="L364" s="86"/>
      <c r="M364" s="86"/>
      <c r="N364" s="86"/>
      <c r="O364" s="121" t="str">
        <f t="shared" si="2"/>
        <v>X</v>
      </c>
      <c r="P364" s="79" t="str">
        <f t="shared" si="3"/>
        <v>#N/A</v>
      </c>
      <c r="Q364" s="123" t="str">
        <f t="shared" si="4"/>
        <v>#N/A</v>
      </c>
      <c r="R364" s="124" t="str">
        <f t="shared" si="5"/>
        <v>#N/A</v>
      </c>
      <c r="S364" s="125" t="str">
        <f t="shared" si="6"/>
        <v>#N/A</v>
      </c>
      <c r="T364" s="125" t="str">
        <f t="shared" si="7"/>
        <v>#N/A</v>
      </c>
      <c r="U364" s="83">
        <f t="shared" si="8"/>
        <v>0</v>
      </c>
      <c r="V364" s="88" t="str">
        <f>ifs($N364="",VLOOKUP($C364&amp;$F364,'MARCH - VISIT DATA'!$A$2:$J600,7,FALSE), $N364="SWAB","OUTSA-RW",$N364="SWQU","OUTSA-SaQu", AND($L364="X",$M364="X",$N364="QUEST"),"OUT-UAQPre",$N364="QUEST","OUT-UAQ", $N364="Walk in","ColUATele")</f>
        <v>#N/A</v>
      </c>
      <c r="W364" s="70" t="str">
        <f t="shared" si="9"/>
        <v>#N/A</v>
      </c>
      <c r="X364" s="64" t="str">
        <f t="shared" si="10"/>
        <v/>
      </c>
      <c r="Y364" s="64" t="str">
        <f t="shared" si="11"/>
        <v/>
      </c>
      <c r="Z364" s="66" t="str">
        <f t="shared" si="12"/>
        <v> </v>
      </c>
      <c r="AA364" s="71"/>
    </row>
    <row r="365" ht="15.75" customHeight="1">
      <c r="A365" s="56" t="str">
        <f t="shared" si="1"/>
        <v/>
      </c>
      <c r="B365" s="56" t="str">
        <f>IFS($C365=FALSE,"",$C365,VLOOKUP($C365,'PATIENT DATA (072721)'!A:C, 2, 0))</f>
        <v/>
      </c>
      <c r="C365" s="57"/>
      <c r="D365" s="127" t="str">
        <f>IF(COUNTIF('PATIENT DATA (072721)'!A:A, C365)=0, "X","✓")</f>
        <v>X</v>
      </c>
      <c r="E365" s="79"/>
      <c r="F365" s="80"/>
      <c r="G365" s="81" t="str">
        <f>ifs($C365="","",$C365, VLOOKUP($C365&amp;$F365, 'MARCH - VISIT DATA'!A:O,3,0))</f>
        <v/>
      </c>
      <c r="H365" s="83"/>
      <c r="I365" s="122" t="str">
        <f>VLOOKUP($C365&amp;$F365,'MARCH - VISIT DATA'!A:J, 9, FALSE)</f>
        <v>#N/A</v>
      </c>
      <c r="J365" s="85" t="str">
        <f>VLOOKUP(C365&amp;F365,'MARCH - VISIT DATA'!A:O,10,FALSE)</f>
        <v>#N/A</v>
      </c>
      <c r="K365" s="86"/>
      <c r="L365" s="86"/>
      <c r="M365" s="86"/>
      <c r="N365" s="86"/>
      <c r="O365" s="121" t="str">
        <f t="shared" si="2"/>
        <v>X</v>
      </c>
      <c r="P365" s="79" t="str">
        <f t="shared" si="3"/>
        <v>#N/A</v>
      </c>
      <c r="Q365" s="123" t="str">
        <f t="shared" si="4"/>
        <v>#N/A</v>
      </c>
      <c r="R365" s="124" t="str">
        <f t="shared" si="5"/>
        <v>#N/A</v>
      </c>
      <c r="S365" s="125" t="str">
        <f t="shared" si="6"/>
        <v>#N/A</v>
      </c>
      <c r="T365" s="125" t="str">
        <f t="shared" si="7"/>
        <v>#N/A</v>
      </c>
      <c r="U365" s="83">
        <f t="shared" si="8"/>
        <v>0</v>
      </c>
      <c r="V365" s="88" t="str">
        <f>ifs($N365="",VLOOKUP($C365&amp;$F365,'MARCH - VISIT DATA'!$A$2:$J600,7,FALSE), $N365="SWAB","OUTSA-RW",$N365="SWQU","OUTSA-SaQu", AND($L365="X",$M365="X",$N365="QUEST"),"OUT-UAQPre",$N365="QUEST","OUT-UAQ", $N365="Walk in","ColUATele")</f>
        <v>#N/A</v>
      </c>
      <c r="W365" s="70" t="str">
        <f t="shared" si="9"/>
        <v>#N/A</v>
      </c>
      <c r="X365" s="64" t="str">
        <f t="shared" si="10"/>
        <v/>
      </c>
      <c r="Y365" s="64" t="str">
        <f t="shared" si="11"/>
        <v/>
      </c>
      <c r="Z365" s="66" t="str">
        <f t="shared" si="12"/>
        <v> </v>
      </c>
      <c r="AA365" s="71"/>
    </row>
    <row r="366" ht="15.75" customHeight="1">
      <c r="A366" s="56" t="str">
        <f t="shared" si="1"/>
        <v/>
      </c>
      <c r="B366" s="56" t="str">
        <f>IFS($C366=FALSE,"",$C366,VLOOKUP($C366,'PATIENT DATA (072721)'!A:C, 2, 0))</f>
        <v/>
      </c>
      <c r="C366" s="57"/>
      <c r="D366" s="127" t="str">
        <f>IF(COUNTIF('PATIENT DATA (072721)'!A:A, C366)=0, "X","✓")</f>
        <v>X</v>
      </c>
      <c r="E366" s="79"/>
      <c r="F366" s="80"/>
      <c r="G366" s="81" t="str">
        <f>ifs($C366="","",$C366, VLOOKUP($C366&amp;$F366, 'MARCH - VISIT DATA'!A:O,3,0))</f>
        <v/>
      </c>
      <c r="H366" s="83"/>
      <c r="I366" s="122" t="str">
        <f>VLOOKUP($C366&amp;$F366,'MARCH - VISIT DATA'!A:J, 9, FALSE)</f>
        <v>#N/A</v>
      </c>
      <c r="J366" s="85" t="str">
        <f>VLOOKUP(C366&amp;F366,'MARCH - VISIT DATA'!A:O,10,FALSE)</f>
        <v>#N/A</v>
      </c>
      <c r="K366" s="86"/>
      <c r="L366" s="86"/>
      <c r="M366" s="86"/>
      <c r="N366" s="86"/>
      <c r="O366" s="121" t="str">
        <f t="shared" si="2"/>
        <v>X</v>
      </c>
      <c r="P366" s="79" t="str">
        <f t="shared" si="3"/>
        <v>#N/A</v>
      </c>
      <c r="Q366" s="123" t="str">
        <f t="shared" si="4"/>
        <v>#N/A</v>
      </c>
      <c r="R366" s="124" t="str">
        <f t="shared" si="5"/>
        <v>#N/A</v>
      </c>
      <c r="S366" s="125" t="str">
        <f t="shared" si="6"/>
        <v>#N/A</v>
      </c>
      <c r="T366" s="125" t="str">
        <f t="shared" si="7"/>
        <v>#N/A</v>
      </c>
      <c r="U366" s="83">
        <f t="shared" si="8"/>
        <v>0</v>
      </c>
      <c r="V366" s="88" t="str">
        <f>ifs($N366="",VLOOKUP($C366&amp;$F366,'MARCH - VISIT DATA'!$A$2:$J600,7,FALSE), $N366="SWAB","OUTSA-RW",$N366="SWQU","OUTSA-SaQu", AND($L366="X",$M366="X",$N366="QUEST"),"OUT-UAQPre",$N366="QUEST","OUT-UAQ", $N366="Walk in","ColUATele")</f>
        <v>#N/A</v>
      </c>
      <c r="W366" s="70" t="str">
        <f t="shared" si="9"/>
        <v>#N/A</v>
      </c>
      <c r="X366" s="64" t="str">
        <f t="shared" si="10"/>
        <v/>
      </c>
      <c r="Y366" s="64" t="str">
        <f t="shared" si="11"/>
        <v/>
      </c>
      <c r="Z366" s="66" t="str">
        <f t="shared" si="12"/>
        <v> </v>
      </c>
      <c r="AA366" s="71"/>
    </row>
    <row r="367" ht="15.75" customHeight="1">
      <c r="A367" s="56" t="str">
        <f t="shared" si="1"/>
        <v/>
      </c>
      <c r="B367" s="56" t="str">
        <f>IFS($C367=FALSE,"",$C367,VLOOKUP($C367,'PATIENT DATA (072721)'!A:C, 2, 0))</f>
        <v/>
      </c>
      <c r="C367" s="57"/>
      <c r="D367" s="127" t="str">
        <f>IF(COUNTIF('PATIENT DATA (072721)'!A:A, C367)=0, "X","✓")</f>
        <v>X</v>
      </c>
      <c r="E367" s="79"/>
      <c r="F367" s="80"/>
      <c r="G367" s="81" t="str">
        <f>ifs($C367="","",$C367, VLOOKUP($C367&amp;$F367, 'MARCH - VISIT DATA'!A:O,3,0))</f>
        <v/>
      </c>
      <c r="H367" s="83"/>
      <c r="I367" s="122" t="str">
        <f>VLOOKUP($C367&amp;$F367,'MARCH - VISIT DATA'!A:J, 9, FALSE)</f>
        <v>#N/A</v>
      </c>
      <c r="J367" s="85" t="str">
        <f>VLOOKUP(C367&amp;F367,'MARCH - VISIT DATA'!A:O,10,FALSE)</f>
        <v>#N/A</v>
      </c>
      <c r="K367" s="86"/>
      <c r="L367" s="86"/>
      <c r="M367" s="86"/>
      <c r="N367" s="86"/>
      <c r="O367" s="121" t="str">
        <f t="shared" si="2"/>
        <v>X</v>
      </c>
      <c r="P367" s="79" t="str">
        <f t="shared" si="3"/>
        <v>#N/A</v>
      </c>
      <c r="Q367" s="123" t="str">
        <f t="shared" si="4"/>
        <v>#N/A</v>
      </c>
      <c r="R367" s="124" t="str">
        <f t="shared" si="5"/>
        <v>#N/A</v>
      </c>
      <c r="S367" s="125" t="str">
        <f t="shared" si="6"/>
        <v>#N/A</v>
      </c>
      <c r="T367" s="125" t="str">
        <f t="shared" si="7"/>
        <v>#N/A</v>
      </c>
      <c r="U367" s="83">
        <f t="shared" si="8"/>
        <v>0</v>
      </c>
      <c r="V367" s="88" t="str">
        <f>ifs($N367="",VLOOKUP($C367&amp;$F367,'MARCH - VISIT DATA'!$A$2:$J600,7,FALSE), $N367="SWAB","OUTSA-RW",$N367="SWQU","OUTSA-SaQu", AND($L367="X",$M367="X",$N367="QUEST"),"OUT-UAQPre",$N367="QUEST","OUT-UAQ", $N367="Walk in","ColUATele")</f>
        <v>#N/A</v>
      </c>
      <c r="W367" s="70" t="str">
        <f t="shared" si="9"/>
        <v>#N/A</v>
      </c>
      <c r="X367" s="64" t="str">
        <f t="shared" si="10"/>
        <v/>
      </c>
      <c r="Y367" s="64" t="str">
        <f t="shared" si="11"/>
        <v/>
      </c>
      <c r="Z367" s="66" t="str">
        <f t="shared" si="12"/>
        <v> </v>
      </c>
      <c r="AA367" s="71"/>
    </row>
    <row r="368" ht="15.75" customHeight="1">
      <c r="A368" s="56" t="str">
        <f t="shared" si="1"/>
        <v/>
      </c>
      <c r="B368" s="56" t="str">
        <f>IFS($C368=FALSE,"",$C368,VLOOKUP($C368,'PATIENT DATA (072721)'!A:C, 2, 0))</f>
        <v/>
      </c>
      <c r="C368" s="57"/>
      <c r="D368" s="127" t="str">
        <f>IF(COUNTIF('PATIENT DATA (072721)'!A:A, C368)=0, "X","✓")</f>
        <v>X</v>
      </c>
      <c r="E368" s="79"/>
      <c r="F368" s="80"/>
      <c r="G368" s="81" t="str">
        <f>ifs($C368="","",$C368, VLOOKUP($C368&amp;$F368, 'MARCH - VISIT DATA'!A:O,3,0))</f>
        <v/>
      </c>
      <c r="H368" s="83"/>
      <c r="I368" s="122" t="str">
        <f>VLOOKUP($C368&amp;$F368,'MARCH - VISIT DATA'!A:J, 9, FALSE)</f>
        <v>#N/A</v>
      </c>
      <c r="J368" s="85" t="str">
        <f>VLOOKUP(C368&amp;F368,'MARCH - VISIT DATA'!A:O,10,FALSE)</f>
        <v>#N/A</v>
      </c>
      <c r="K368" s="86"/>
      <c r="L368" s="86"/>
      <c r="M368" s="86"/>
      <c r="N368" s="86"/>
      <c r="O368" s="121" t="str">
        <f t="shared" si="2"/>
        <v>X</v>
      </c>
      <c r="P368" s="79" t="str">
        <f t="shared" si="3"/>
        <v>#N/A</v>
      </c>
      <c r="Q368" s="123" t="str">
        <f t="shared" si="4"/>
        <v>#N/A</v>
      </c>
      <c r="R368" s="124" t="str">
        <f t="shared" si="5"/>
        <v>#N/A</v>
      </c>
      <c r="S368" s="125" t="str">
        <f t="shared" si="6"/>
        <v>#N/A</v>
      </c>
      <c r="T368" s="125" t="str">
        <f t="shared" si="7"/>
        <v>#N/A</v>
      </c>
      <c r="U368" s="83">
        <f t="shared" si="8"/>
        <v>0</v>
      </c>
      <c r="V368" s="88" t="str">
        <f>ifs($N368="",VLOOKUP($C368&amp;$F368,'MARCH - VISIT DATA'!$A$2:$J600,7,FALSE), $N368="SWAB","OUTSA-RW",$N368="SWQU","OUTSA-SaQu", AND($L368="X",$M368="X",$N368="QUEST"),"OUT-UAQPre",$N368="QUEST","OUT-UAQ", $N368="Walk in","ColUATele")</f>
        <v>#N/A</v>
      </c>
      <c r="W368" s="70" t="str">
        <f t="shared" si="9"/>
        <v>#N/A</v>
      </c>
      <c r="X368" s="64" t="str">
        <f t="shared" si="10"/>
        <v/>
      </c>
      <c r="Y368" s="64" t="str">
        <f t="shared" si="11"/>
        <v/>
      </c>
      <c r="Z368" s="66" t="str">
        <f t="shared" si="12"/>
        <v> </v>
      </c>
      <c r="AA368" s="71"/>
    </row>
    <row r="369" ht="15.75" customHeight="1">
      <c r="A369" s="56" t="str">
        <f t="shared" si="1"/>
        <v/>
      </c>
      <c r="B369" s="56" t="str">
        <f>IFS($C369=FALSE,"",$C369,VLOOKUP($C369,'PATIENT DATA (072721)'!A:C, 2, 0))</f>
        <v/>
      </c>
      <c r="C369" s="57"/>
      <c r="D369" s="127" t="str">
        <f>IF(COUNTIF('PATIENT DATA (072721)'!A:A, C369)=0, "X","✓")</f>
        <v>X</v>
      </c>
      <c r="E369" s="79"/>
      <c r="F369" s="80"/>
      <c r="G369" s="81" t="str">
        <f>ifs($C369="","",$C369, VLOOKUP($C369&amp;$F369, 'MARCH - VISIT DATA'!A:O,3,0))</f>
        <v/>
      </c>
      <c r="H369" s="83"/>
      <c r="I369" s="122" t="str">
        <f>VLOOKUP($C369&amp;$F369,'MARCH - VISIT DATA'!A:J, 9, FALSE)</f>
        <v>#N/A</v>
      </c>
      <c r="J369" s="85" t="str">
        <f>VLOOKUP(C369&amp;F369,'MARCH - VISIT DATA'!A:O,10,FALSE)</f>
        <v>#N/A</v>
      </c>
      <c r="K369" s="86"/>
      <c r="L369" s="86"/>
      <c r="M369" s="86"/>
      <c r="N369" s="86"/>
      <c r="O369" s="121" t="str">
        <f t="shared" si="2"/>
        <v>X</v>
      </c>
      <c r="P369" s="79" t="str">
        <f t="shared" si="3"/>
        <v>#N/A</v>
      </c>
      <c r="Q369" s="123" t="str">
        <f t="shared" si="4"/>
        <v>#N/A</v>
      </c>
      <c r="R369" s="124" t="str">
        <f t="shared" si="5"/>
        <v>#N/A</v>
      </c>
      <c r="S369" s="125" t="str">
        <f t="shared" si="6"/>
        <v>#N/A</v>
      </c>
      <c r="T369" s="125" t="str">
        <f t="shared" si="7"/>
        <v>#N/A</v>
      </c>
      <c r="U369" s="83">
        <f t="shared" si="8"/>
        <v>0</v>
      </c>
      <c r="V369" s="88" t="str">
        <f>ifs($N369="",VLOOKUP($C369&amp;$F369,'MARCH - VISIT DATA'!$A$2:$J600,7,FALSE), $N369="SWAB","OUTSA-RW",$N369="SWQU","OUTSA-SaQu", AND($L369="X",$M369="X",$N369="QUEST"),"OUT-UAQPre",$N369="QUEST","OUT-UAQ", $N369="Walk in","ColUATele")</f>
        <v>#N/A</v>
      </c>
      <c r="W369" s="70" t="str">
        <f t="shared" si="9"/>
        <v>#N/A</v>
      </c>
      <c r="X369" s="64" t="str">
        <f t="shared" si="10"/>
        <v/>
      </c>
      <c r="Y369" s="64" t="str">
        <f t="shared" si="11"/>
        <v/>
      </c>
      <c r="Z369" s="66" t="str">
        <f t="shared" si="12"/>
        <v> </v>
      </c>
      <c r="AA369" s="71"/>
    </row>
    <row r="370" ht="15.75" customHeight="1">
      <c r="A370" s="56" t="str">
        <f t="shared" si="1"/>
        <v/>
      </c>
      <c r="B370" s="56" t="str">
        <f>IFS($C370=FALSE,"",$C370,VLOOKUP($C370,'PATIENT DATA (072721)'!A:C, 2, 0))</f>
        <v/>
      </c>
      <c r="C370" s="57"/>
      <c r="D370" s="127" t="str">
        <f>IF(COUNTIF('PATIENT DATA (072721)'!A:A, C370)=0, "X","✓")</f>
        <v>X</v>
      </c>
      <c r="E370" s="79"/>
      <c r="F370" s="80"/>
      <c r="G370" s="81" t="str">
        <f>ifs($C370="","",$C370, VLOOKUP($C370&amp;$F370, 'MARCH - VISIT DATA'!A:O,3,0))</f>
        <v/>
      </c>
      <c r="H370" s="83"/>
      <c r="I370" s="122" t="str">
        <f>VLOOKUP($C370&amp;$F370,'MARCH - VISIT DATA'!A:J, 9, FALSE)</f>
        <v>#N/A</v>
      </c>
      <c r="J370" s="85" t="str">
        <f>VLOOKUP(C370&amp;F370,'MARCH - VISIT DATA'!A:O,10,FALSE)</f>
        <v>#N/A</v>
      </c>
      <c r="K370" s="86"/>
      <c r="L370" s="86"/>
      <c r="M370" s="86"/>
      <c r="N370" s="86"/>
      <c r="O370" s="121" t="str">
        <f t="shared" si="2"/>
        <v>X</v>
      </c>
      <c r="P370" s="79" t="str">
        <f t="shared" si="3"/>
        <v>#N/A</v>
      </c>
      <c r="Q370" s="123" t="str">
        <f t="shared" si="4"/>
        <v>#N/A</v>
      </c>
      <c r="R370" s="124" t="str">
        <f t="shared" si="5"/>
        <v>#N/A</v>
      </c>
      <c r="S370" s="125" t="str">
        <f t="shared" si="6"/>
        <v>#N/A</v>
      </c>
      <c r="T370" s="125" t="str">
        <f t="shared" si="7"/>
        <v>#N/A</v>
      </c>
      <c r="U370" s="83">
        <f t="shared" si="8"/>
        <v>0</v>
      </c>
      <c r="V370" s="88" t="str">
        <f>ifs($N370="",VLOOKUP($C370&amp;$F370,'MARCH - VISIT DATA'!$A$2:$J600,7,FALSE), $N370="SWAB","OUTSA-RW",$N370="SWQU","OUTSA-SaQu", AND($L370="X",$M370="X",$N370="QUEST"),"OUT-UAQPre",$N370="QUEST","OUT-UAQ", $N370="Walk in","ColUATele")</f>
        <v>#N/A</v>
      </c>
      <c r="W370" s="70" t="str">
        <f t="shared" si="9"/>
        <v>#N/A</v>
      </c>
      <c r="X370" s="64" t="str">
        <f t="shared" si="10"/>
        <v/>
      </c>
      <c r="Y370" s="64" t="str">
        <f t="shared" si="11"/>
        <v/>
      </c>
      <c r="Z370" s="66" t="str">
        <f t="shared" si="12"/>
        <v> </v>
      </c>
      <c r="AA370" s="71"/>
    </row>
    <row r="371" ht="15.75" customHeight="1">
      <c r="A371" s="56" t="str">
        <f t="shared" si="1"/>
        <v/>
      </c>
      <c r="B371" s="56" t="str">
        <f>IFS($C371=FALSE,"",$C371,VLOOKUP($C371,'PATIENT DATA (072721)'!A:C, 2, 0))</f>
        <v/>
      </c>
      <c r="C371" s="57"/>
      <c r="D371" s="127" t="str">
        <f>IF(COUNTIF('PATIENT DATA (072721)'!A:A, C371)=0, "X","✓")</f>
        <v>X</v>
      </c>
      <c r="E371" s="79"/>
      <c r="F371" s="80"/>
      <c r="G371" s="81" t="str">
        <f>ifs($C371="","",$C371, VLOOKUP($C371&amp;$F371, 'MARCH - VISIT DATA'!A:O,3,0))</f>
        <v/>
      </c>
      <c r="H371" s="83"/>
      <c r="I371" s="122" t="str">
        <f>VLOOKUP($C371&amp;$F371,'MARCH - VISIT DATA'!A:J, 9, FALSE)</f>
        <v>#N/A</v>
      </c>
      <c r="J371" s="85" t="str">
        <f>VLOOKUP(C371&amp;F371,'MARCH - VISIT DATA'!A:O,10,FALSE)</f>
        <v>#N/A</v>
      </c>
      <c r="K371" s="86"/>
      <c r="L371" s="86"/>
      <c r="M371" s="86"/>
      <c r="N371" s="86"/>
      <c r="O371" s="121" t="str">
        <f t="shared" si="2"/>
        <v>X</v>
      </c>
      <c r="P371" s="79" t="str">
        <f t="shared" si="3"/>
        <v>#N/A</v>
      </c>
      <c r="Q371" s="123" t="str">
        <f t="shared" si="4"/>
        <v>#N/A</v>
      </c>
      <c r="R371" s="124" t="str">
        <f t="shared" si="5"/>
        <v>#N/A</v>
      </c>
      <c r="S371" s="125" t="str">
        <f t="shared" si="6"/>
        <v>#N/A</v>
      </c>
      <c r="T371" s="125" t="str">
        <f t="shared" si="7"/>
        <v>#N/A</v>
      </c>
      <c r="U371" s="83">
        <f t="shared" si="8"/>
        <v>0</v>
      </c>
      <c r="V371" s="88" t="str">
        <f>ifs($N371="",VLOOKUP($C371&amp;$F371,'MARCH - VISIT DATA'!$A$2:$J600,7,FALSE), $N371="SWAB","OUTSA-RW",$N371="SWQU","OUTSA-SaQu", AND($L371="X",$M371="X",$N371="QUEST"),"OUT-UAQPre",$N371="QUEST","OUT-UAQ", $N371="Walk in","ColUATele")</f>
        <v>#N/A</v>
      </c>
      <c r="W371" s="70" t="str">
        <f t="shared" si="9"/>
        <v>#N/A</v>
      </c>
      <c r="X371" s="64" t="str">
        <f t="shared" si="10"/>
        <v/>
      </c>
      <c r="Y371" s="64" t="str">
        <f t="shared" si="11"/>
        <v/>
      </c>
      <c r="Z371" s="66" t="str">
        <f t="shared" si="12"/>
        <v> </v>
      </c>
      <c r="AA371" s="71"/>
    </row>
    <row r="372" ht="15.75" customHeight="1">
      <c r="A372" s="56" t="str">
        <f t="shared" si="1"/>
        <v/>
      </c>
      <c r="B372" s="56" t="str">
        <f>IFS($C372=FALSE,"",$C372,VLOOKUP($C372,'PATIENT DATA (072721)'!A:C, 2, 0))</f>
        <v/>
      </c>
      <c r="C372" s="57"/>
      <c r="D372" s="127" t="str">
        <f>IF(COUNTIF('PATIENT DATA (072721)'!A:A, C372)=0, "X","✓")</f>
        <v>X</v>
      </c>
      <c r="E372" s="79"/>
      <c r="F372" s="80"/>
      <c r="G372" s="81" t="str">
        <f>ifs($C372="","",$C372, VLOOKUP($C372&amp;$F372, 'MARCH - VISIT DATA'!A:O,3,0))</f>
        <v/>
      </c>
      <c r="H372" s="83"/>
      <c r="I372" s="122" t="str">
        <f>VLOOKUP($C372&amp;$F372,'MARCH - VISIT DATA'!A:J, 9, FALSE)</f>
        <v>#N/A</v>
      </c>
      <c r="J372" s="85" t="str">
        <f>VLOOKUP(C372&amp;F372,'MARCH - VISIT DATA'!A:O,10,FALSE)</f>
        <v>#N/A</v>
      </c>
      <c r="K372" s="86"/>
      <c r="L372" s="86"/>
      <c r="M372" s="86"/>
      <c r="N372" s="86"/>
      <c r="O372" s="121" t="str">
        <f t="shared" si="2"/>
        <v>X</v>
      </c>
      <c r="P372" s="79" t="str">
        <f t="shared" si="3"/>
        <v>#N/A</v>
      </c>
      <c r="Q372" s="123" t="str">
        <f t="shared" si="4"/>
        <v>#N/A</v>
      </c>
      <c r="R372" s="124" t="str">
        <f t="shared" si="5"/>
        <v>#N/A</v>
      </c>
      <c r="S372" s="125" t="str">
        <f t="shared" si="6"/>
        <v>#N/A</v>
      </c>
      <c r="T372" s="125" t="str">
        <f t="shared" si="7"/>
        <v>#N/A</v>
      </c>
      <c r="U372" s="83">
        <f t="shared" si="8"/>
        <v>0</v>
      </c>
      <c r="V372" s="88" t="str">
        <f>ifs($N372="",VLOOKUP($C372&amp;$F372,'MARCH - VISIT DATA'!$A$2:$J600,7,FALSE), $N372="SWAB","OUTSA-RW",$N372="SWQU","OUTSA-SaQu", AND($L372="X",$M372="X",$N372="QUEST"),"OUT-UAQPre",$N372="QUEST","OUT-UAQ", $N372="Walk in","ColUATele")</f>
        <v>#N/A</v>
      </c>
      <c r="W372" s="70" t="str">
        <f t="shared" si="9"/>
        <v>#N/A</v>
      </c>
      <c r="X372" s="64" t="str">
        <f t="shared" si="10"/>
        <v/>
      </c>
      <c r="Y372" s="64" t="str">
        <f t="shared" si="11"/>
        <v/>
      </c>
      <c r="Z372" s="66" t="str">
        <f t="shared" si="12"/>
        <v> </v>
      </c>
      <c r="AA372" s="71"/>
    </row>
    <row r="373" ht="15.75" customHeight="1">
      <c r="A373" s="56" t="str">
        <f t="shared" si="1"/>
        <v/>
      </c>
      <c r="B373" s="56" t="str">
        <f>IFS($C373=FALSE,"",$C373,VLOOKUP($C373,'PATIENT DATA (072721)'!A:C, 2, 0))</f>
        <v/>
      </c>
      <c r="C373" s="57"/>
      <c r="D373" s="127" t="str">
        <f>IF(COUNTIF('PATIENT DATA (072721)'!A:A, C373)=0, "X","✓")</f>
        <v>X</v>
      </c>
      <c r="E373" s="79"/>
      <c r="F373" s="80"/>
      <c r="G373" s="81" t="str">
        <f>ifs($C373="","",$C373, VLOOKUP($C373&amp;$F373, 'MARCH - VISIT DATA'!A:O,3,0))</f>
        <v/>
      </c>
      <c r="H373" s="83"/>
      <c r="I373" s="122" t="str">
        <f>VLOOKUP($C373&amp;$F373,'MARCH - VISIT DATA'!A:J, 9, FALSE)</f>
        <v>#N/A</v>
      </c>
      <c r="J373" s="85" t="str">
        <f>VLOOKUP(C373&amp;F373,'MARCH - VISIT DATA'!A:O,10,FALSE)</f>
        <v>#N/A</v>
      </c>
      <c r="K373" s="86"/>
      <c r="L373" s="86"/>
      <c r="M373" s="86"/>
      <c r="N373" s="86"/>
      <c r="O373" s="121" t="str">
        <f t="shared" si="2"/>
        <v>X</v>
      </c>
      <c r="P373" s="79" t="str">
        <f t="shared" si="3"/>
        <v>#N/A</v>
      </c>
      <c r="Q373" s="123" t="str">
        <f t="shared" si="4"/>
        <v>#N/A</v>
      </c>
      <c r="R373" s="124" t="str">
        <f t="shared" si="5"/>
        <v>#N/A</v>
      </c>
      <c r="S373" s="125" t="str">
        <f t="shared" si="6"/>
        <v>#N/A</v>
      </c>
      <c r="T373" s="125" t="str">
        <f t="shared" si="7"/>
        <v>#N/A</v>
      </c>
      <c r="U373" s="83">
        <f t="shared" si="8"/>
        <v>0</v>
      </c>
      <c r="V373" s="88" t="str">
        <f>ifs($N373="",VLOOKUP($C373&amp;$F373,'MARCH - VISIT DATA'!$A$2:$J600,7,FALSE), $N373="SWAB","OUTSA-RW",$N373="SWQU","OUTSA-SaQu", AND($L373="X",$M373="X",$N373="QUEST"),"OUT-UAQPre",$N373="QUEST","OUT-UAQ", $N373="Walk in","ColUATele")</f>
        <v>#N/A</v>
      </c>
      <c r="W373" s="70" t="str">
        <f t="shared" si="9"/>
        <v>#N/A</v>
      </c>
      <c r="X373" s="64" t="str">
        <f t="shared" si="10"/>
        <v/>
      </c>
      <c r="Y373" s="64" t="str">
        <f t="shared" si="11"/>
        <v/>
      </c>
      <c r="Z373" s="66" t="str">
        <f t="shared" si="12"/>
        <v> </v>
      </c>
      <c r="AA373" s="71"/>
    </row>
    <row r="374" ht="15.75" customHeight="1">
      <c r="A374" s="56" t="str">
        <f t="shared" si="1"/>
        <v/>
      </c>
      <c r="B374" s="56" t="str">
        <f>IFS($C374=FALSE,"",$C374,VLOOKUP($C374,'PATIENT DATA (072721)'!A:C, 2, 0))</f>
        <v/>
      </c>
      <c r="C374" s="57"/>
      <c r="D374" s="127" t="str">
        <f>IF(COUNTIF('PATIENT DATA (072721)'!A:A, C374)=0, "X","✓")</f>
        <v>X</v>
      </c>
      <c r="E374" s="79"/>
      <c r="F374" s="80"/>
      <c r="G374" s="81" t="str">
        <f>ifs($C374="","",$C374, VLOOKUP($C374&amp;$F374, 'MARCH - VISIT DATA'!A:O,3,0))</f>
        <v/>
      </c>
      <c r="H374" s="83"/>
      <c r="I374" s="122" t="str">
        <f>VLOOKUP($C374&amp;$F374,'MARCH - VISIT DATA'!A:J, 9, FALSE)</f>
        <v>#N/A</v>
      </c>
      <c r="J374" s="85" t="str">
        <f>VLOOKUP(C374&amp;F374,'MARCH - VISIT DATA'!A:O,10,FALSE)</f>
        <v>#N/A</v>
      </c>
      <c r="K374" s="86"/>
      <c r="L374" s="86"/>
      <c r="M374" s="86"/>
      <c r="N374" s="86"/>
      <c r="O374" s="121" t="str">
        <f t="shared" si="2"/>
        <v>X</v>
      </c>
      <c r="P374" s="79" t="str">
        <f t="shared" si="3"/>
        <v>#N/A</v>
      </c>
      <c r="Q374" s="123" t="str">
        <f t="shared" si="4"/>
        <v>#N/A</v>
      </c>
      <c r="R374" s="124" t="str">
        <f t="shared" si="5"/>
        <v>#N/A</v>
      </c>
      <c r="S374" s="125" t="str">
        <f t="shared" si="6"/>
        <v>#N/A</v>
      </c>
      <c r="T374" s="125" t="str">
        <f t="shared" si="7"/>
        <v>#N/A</v>
      </c>
      <c r="U374" s="83">
        <f t="shared" si="8"/>
        <v>0</v>
      </c>
      <c r="V374" s="88" t="str">
        <f>ifs($N374="",VLOOKUP($C374&amp;$F374,'MARCH - VISIT DATA'!$A$2:$J600,7,FALSE), $N374="SWAB","OUTSA-RW",$N374="SWQU","OUTSA-SaQu", AND($L374="X",$M374="X",$N374="QUEST"),"OUT-UAQPre",$N374="QUEST","OUT-UAQ", $N374="Walk in","ColUATele")</f>
        <v>#N/A</v>
      </c>
      <c r="W374" s="70" t="str">
        <f t="shared" si="9"/>
        <v>#N/A</v>
      </c>
      <c r="X374" s="64" t="str">
        <f t="shared" si="10"/>
        <v/>
      </c>
      <c r="Y374" s="64" t="str">
        <f t="shared" si="11"/>
        <v/>
      </c>
      <c r="Z374" s="66" t="str">
        <f t="shared" si="12"/>
        <v> </v>
      </c>
      <c r="AA374" s="71"/>
    </row>
    <row r="375" ht="15.75" customHeight="1">
      <c r="A375" s="56" t="str">
        <f t="shared" si="1"/>
        <v/>
      </c>
      <c r="B375" s="56" t="str">
        <f>IFS($C375=FALSE,"",$C375,VLOOKUP($C375,'PATIENT DATA (072721)'!A:C, 2, 0))</f>
        <v/>
      </c>
      <c r="C375" s="57"/>
      <c r="D375" s="127" t="str">
        <f>IF(COUNTIF('PATIENT DATA (072721)'!A:A, C375)=0, "X","✓")</f>
        <v>X</v>
      </c>
      <c r="E375" s="79"/>
      <c r="F375" s="80"/>
      <c r="G375" s="81" t="str">
        <f>ifs($C375="","",$C375, VLOOKUP($C375&amp;$F375, 'MARCH - VISIT DATA'!A:O,3,0))</f>
        <v/>
      </c>
      <c r="H375" s="83"/>
      <c r="I375" s="122" t="str">
        <f>VLOOKUP($C375&amp;$F375,'MARCH - VISIT DATA'!A:J, 9, FALSE)</f>
        <v>#N/A</v>
      </c>
      <c r="J375" s="85" t="str">
        <f>VLOOKUP(C375&amp;F375,'MARCH - VISIT DATA'!A:O,10,FALSE)</f>
        <v>#N/A</v>
      </c>
      <c r="K375" s="86"/>
      <c r="L375" s="86"/>
      <c r="M375" s="86"/>
      <c r="N375" s="86"/>
      <c r="O375" s="121" t="str">
        <f t="shared" si="2"/>
        <v>X</v>
      </c>
      <c r="P375" s="79" t="str">
        <f t="shared" si="3"/>
        <v>#N/A</v>
      </c>
      <c r="Q375" s="123" t="str">
        <f t="shared" si="4"/>
        <v>#N/A</v>
      </c>
      <c r="R375" s="124" t="str">
        <f t="shared" si="5"/>
        <v>#N/A</v>
      </c>
      <c r="S375" s="125" t="str">
        <f t="shared" si="6"/>
        <v>#N/A</v>
      </c>
      <c r="T375" s="125" t="str">
        <f t="shared" si="7"/>
        <v>#N/A</v>
      </c>
      <c r="U375" s="83">
        <f t="shared" si="8"/>
        <v>0</v>
      </c>
      <c r="V375" s="88" t="str">
        <f>ifs($N375="",VLOOKUP($C375&amp;$F375,'MARCH - VISIT DATA'!$A$2:$J600,7,FALSE), $N375="SWAB","OUTSA-RW",$N375="SWQU","OUTSA-SaQu", AND($L375="X",$M375="X",$N375="QUEST"),"OUT-UAQPre",$N375="QUEST","OUT-UAQ", $N375="Walk in","ColUATele")</f>
        <v>#N/A</v>
      </c>
      <c r="W375" s="70" t="str">
        <f t="shared" si="9"/>
        <v>#N/A</v>
      </c>
      <c r="X375" s="64" t="str">
        <f t="shared" si="10"/>
        <v/>
      </c>
      <c r="Y375" s="64" t="str">
        <f t="shared" si="11"/>
        <v/>
      </c>
      <c r="Z375" s="66" t="str">
        <f t="shared" si="12"/>
        <v> </v>
      </c>
      <c r="AA375" s="71"/>
    </row>
    <row r="376" ht="15.75" customHeight="1">
      <c r="A376" s="56" t="str">
        <f t="shared" si="1"/>
        <v/>
      </c>
      <c r="B376" s="56" t="str">
        <f>IFS($C376=FALSE,"",$C376,VLOOKUP($C376,'PATIENT DATA (072721)'!A:C, 2, 0))</f>
        <v/>
      </c>
      <c r="C376" s="57"/>
      <c r="D376" s="127" t="str">
        <f>IF(COUNTIF('PATIENT DATA (072721)'!A:A, C376)=0, "X","✓")</f>
        <v>X</v>
      </c>
      <c r="E376" s="79"/>
      <c r="F376" s="80"/>
      <c r="G376" s="81" t="str">
        <f>ifs($C376="","",$C376, VLOOKUP($C376&amp;$F376, 'MARCH - VISIT DATA'!A:O,3,0))</f>
        <v/>
      </c>
      <c r="H376" s="83"/>
      <c r="I376" s="122" t="str">
        <f>VLOOKUP($C376&amp;$F376,'MARCH - VISIT DATA'!A:J, 9, FALSE)</f>
        <v>#N/A</v>
      </c>
      <c r="J376" s="85" t="str">
        <f>VLOOKUP(C376&amp;F376,'MARCH - VISIT DATA'!A:O,10,FALSE)</f>
        <v>#N/A</v>
      </c>
      <c r="K376" s="86"/>
      <c r="L376" s="86"/>
      <c r="M376" s="86"/>
      <c r="N376" s="86"/>
      <c r="O376" s="121" t="str">
        <f t="shared" si="2"/>
        <v>X</v>
      </c>
      <c r="P376" s="79" t="str">
        <f t="shared" si="3"/>
        <v>#N/A</v>
      </c>
      <c r="Q376" s="123" t="str">
        <f t="shared" si="4"/>
        <v>#N/A</v>
      </c>
      <c r="R376" s="124" t="str">
        <f t="shared" si="5"/>
        <v>#N/A</v>
      </c>
      <c r="S376" s="125" t="str">
        <f t="shared" si="6"/>
        <v>#N/A</v>
      </c>
      <c r="T376" s="125" t="str">
        <f t="shared" si="7"/>
        <v>#N/A</v>
      </c>
      <c r="U376" s="83">
        <f t="shared" si="8"/>
        <v>0</v>
      </c>
      <c r="V376" s="88" t="str">
        <f>ifs($N376="",VLOOKUP($C376&amp;$F376,'MARCH - VISIT DATA'!$A$2:$J600,7,FALSE), $N376="SWAB","OUTSA-RW",$N376="SWQU","OUTSA-SaQu", AND($L376="X",$M376="X",$N376="QUEST"),"OUT-UAQPre",$N376="QUEST","OUT-UAQ", $N376="Walk in","ColUATele")</f>
        <v>#N/A</v>
      </c>
      <c r="W376" s="70" t="str">
        <f t="shared" si="9"/>
        <v>#N/A</v>
      </c>
      <c r="X376" s="64" t="str">
        <f t="shared" si="10"/>
        <v/>
      </c>
      <c r="Y376" s="64" t="str">
        <f t="shared" si="11"/>
        <v/>
      </c>
      <c r="Z376" s="66" t="str">
        <f t="shared" si="12"/>
        <v> </v>
      </c>
      <c r="AA376" s="71"/>
    </row>
    <row r="377" ht="15.75" customHeight="1">
      <c r="A377" s="56" t="str">
        <f t="shared" si="1"/>
        <v/>
      </c>
      <c r="B377" s="56" t="str">
        <f>IFS($C377=FALSE,"",$C377,VLOOKUP($C377,'PATIENT DATA (072721)'!A:C, 2, 0))</f>
        <v/>
      </c>
      <c r="C377" s="57"/>
      <c r="D377" s="127" t="str">
        <f>IF(COUNTIF('PATIENT DATA (072721)'!A:A, C377)=0, "X","✓")</f>
        <v>X</v>
      </c>
      <c r="E377" s="79"/>
      <c r="F377" s="80"/>
      <c r="G377" s="81" t="str">
        <f>ifs($C377="","",$C377, VLOOKUP($C377&amp;$F377, 'MARCH - VISIT DATA'!A:O,3,0))</f>
        <v/>
      </c>
      <c r="H377" s="83"/>
      <c r="I377" s="122" t="str">
        <f>VLOOKUP($C377&amp;$F377,'MARCH - VISIT DATA'!A:J, 9, FALSE)</f>
        <v>#N/A</v>
      </c>
      <c r="J377" s="85" t="str">
        <f>VLOOKUP(C377&amp;F377,'MARCH - VISIT DATA'!A:O,10,FALSE)</f>
        <v>#N/A</v>
      </c>
      <c r="K377" s="86"/>
      <c r="L377" s="86"/>
      <c r="M377" s="86"/>
      <c r="N377" s="86"/>
      <c r="O377" s="121" t="str">
        <f t="shared" si="2"/>
        <v>X</v>
      </c>
      <c r="P377" s="79" t="str">
        <f t="shared" si="3"/>
        <v>#N/A</v>
      </c>
      <c r="Q377" s="123" t="str">
        <f t="shared" si="4"/>
        <v>#N/A</v>
      </c>
      <c r="R377" s="124" t="str">
        <f t="shared" si="5"/>
        <v>#N/A</v>
      </c>
      <c r="S377" s="125" t="str">
        <f t="shared" si="6"/>
        <v>#N/A</v>
      </c>
      <c r="T377" s="125" t="str">
        <f t="shared" si="7"/>
        <v>#N/A</v>
      </c>
      <c r="U377" s="83">
        <f t="shared" si="8"/>
        <v>0</v>
      </c>
      <c r="V377" s="88" t="str">
        <f>ifs($N377="",VLOOKUP($C377&amp;$F377,'MARCH - VISIT DATA'!$A$2:$J600,7,FALSE), $N377="SWAB","OUTSA-RW",$N377="SWQU","OUTSA-SaQu", AND($L377="X",$M377="X",$N377="QUEST"),"OUT-UAQPre",$N377="QUEST","OUT-UAQ", $N377="Walk in","ColUATele")</f>
        <v>#N/A</v>
      </c>
      <c r="W377" s="70" t="str">
        <f t="shared" si="9"/>
        <v>#N/A</v>
      </c>
      <c r="X377" s="64" t="str">
        <f t="shared" si="10"/>
        <v/>
      </c>
      <c r="Y377" s="64" t="str">
        <f t="shared" si="11"/>
        <v/>
      </c>
      <c r="Z377" s="66" t="str">
        <f t="shared" si="12"/>
        <v> </v>
      </c>
      <c r="AA377" s="71"/>
    </row>
    <row r="378" ht="15.75" customHeight="1">
      <c r="A378" s="56" t="str">
        <f t="shared" si="1"/>
        <v/>
      </c>
      <c r="B378" s="56" t="str">
        <f>IFS($C378=FALSE,"",$C378,VLOOKUP($C378,'PATIENT DATA (072721)'!A:C, 2, 0))</f>
        <v/>
      </c>
      <c r="C378" s="57"/>
      <c r="D378" s="127" t="str">
        <f>IF(COUNTIF('PATIENT DATA (072721)'!A:A, C378)=0, "X","✓")</f>
        <v>X</v>
      </c>
      <c r="E378" s="79"/>
      <c r="F378" s="80"/>
      <c r="G378" s="81" t="str">
        <f>ifs($C378="","",$C378, VLOOKUP($C378&amp;$F378, 'MARCH - VISIT DATA'!A:O,3,0))</f>
        <v/>
      </c>
      <c r="H378" s="83"/>
      <c r="I378" s="122" t="str">
        <f>VLOOKUP($C378&amp;$F378,'MARCH - VISIT DATA'!A:J, 9, FALSE)</f>
        <v>#N/A</v>
      </c>
      <c r="J378" s="85" t="str">
        <f>VLOOKUP(C378&amp;F378,'MARCH - VISIT DATA'!A:O,10,FALSE)</f>
        <v>#N/A</v>
      </c>
      <c r="K378" s="86"/>
      <c r="L378" s="86"/>
      <c r="M378" s="86"/>
      <c r="N378" s="86"/>
      <c r="O378" s="121" t="str">
        <f t="shared" si="2"/>
        <v>X</v>
      </c>
      <c r="P378" s="79" t="str">
        <f t="shared" si="3"/>
        <v>#N/A</v>
      </c>
      <c r="Q378" s="123" t="str">
        <f t="shared" si="4"/>
        <v>#N/A</v>
      </c>
      <c r="R378" s="124" t="str">
        <f t="shared" si="5"/>
        <v>#N/A</v>
      </c>
      <c r="S378" s="125" t="str">
        <f t="shared" si="6"/>
        <v>#N/A</v>
      </c>
      <c r="T378" s="125" t="str">
        <f t="shared" si="7"/>
        <v>#N/A</v>
      </c>
      <c r="U378" s="83">
        <f t="shared" si="8"/>
        <v>0</v>
      </c>
      <c r="V378" s="88" t="str">
        <f>ifs($N378="",VLOOKUP($C378&amp;$F378,'MARCH - VISIT DATA'!$A$2:$J600,7,FALSE), $N378="SWAB","OUTSA-RW",$N378="SWQU","OUTSA-SaQu", AND($L378="X",$M378="X",$N378="QUEST"),"OUT-UAQPre",$N378="QUEST","OUT-UAQ", $N378="Walk in","ColUATele")</f>
        <v>#N/A</v>
      </c>
      <c r="W378" s="70" t="str">
        <f t="shared" si="9"/>
        <v>#N/A</v>
      </c>
      <c r="X378" s="64" t="str">
        <f t="shared" si="10"/>
        <v/>
      </c>
      <c r="Y378" s="64" t="str">
        <f t="shared" si="11"/>
        <v/>
      </c>
      <c r="Z378" s="66" t="str">
        <f t="shared" si="12"/>
        <v> </v>
      </c>
      <c r="AA378" s="71"/>
    </row>
    <row r="379" ht="15.75" customHeight="1">
      <c r="A379" s="56" t="str">
        <f t="shared" si="1"/>
        <v/>
      </c>
      <c r="B379" s="56" t="str">
        <f>IFS($C379=FALSE,"",$C379,VLOOKUP($C379,'PATIENT DATA (072721)'!A:C, 2, 0))</f>
        <v/>
      </c>
      <c r="C379" s="57"/>
      <c r="D379" s="127" t="str">
        <f>IF(COUNTIF('PATIENT DATA (072721)'!A:A, C379)=0, "X","✓")</f>
        <v>X</v>
      </c>
      <c r="E379" s="79"/>
      <c r="F379" s="80"/>
      <c r="G379" s="81" t="str">
        <f>ifs($C379="","",$C379, VLOOKUP($C379&amp;$F379, 'MARCH - VISIT DATA'!A:O,3,0))</f>
        <v/>
      </c>
      <c r="H379" s="83"/>
      <c r="I379" s="122" t="str">
        <f>VLOOKUP($C379&amp;$F379,'MARCH - VISIT DATA'!A:J, 9, FALSE)</f>
        <v>#N/A</v>
      </c>
      <c r="J379" s="85" t="str">
        <f>VLOOKUP(C379&amp;F379,'MARCH - VISIT DATA'!A:O,10,FALSE)</f>
        <v>#N/A</v>
      </c>
      <c r="K379" s="86"/>
      <c r="L379" s="86"/>
      <c r="M379" s="86"/>
      <c r="N379" s="86"/>
      <c r="O379" s="121" t="str">
        <f t="shared" si="2"/>
        <v>X</v>
      </c>
      <c r="P379" s="79" t="str">
        <f t="shared" si="3"/>
        <v>#N/A</v>
      </c>
      <c r="Q379" s="123" t="str">
        <f t="shared" si="4"/>
        <v>#N/A</v>
      </c>
      <c r="R379" s="124" t="str">
        <f t="shared" si="5"/>
        <v>#N/A</v>
      </c>
      <c r="S379" s="125" t="str">
        <f t="shared" si="6"/>
        <v>#N/A</v>
      </c>
      <c r="T379" s="125" t="str">
        <f t="shared" si="7"/>
        <v>#N/A</v>
      </c>
      <c r="U379" s="83">
        <f t="shared" si="8"/>
        <v>0</v>
      </c>
      <c r="V379" s="88" t="str">
        <f>ifs($N379="",VLOOKUP($C379&amp;$F379,'MARCH - VISIT DATA'!$A$2:$J600,7,FALSE), $N379="SWAB","OUTSA-RW",$N379="SWQU","OUTSA-SaQu", AND($L379="X",$M379="X",$N379="QUEST"),"OUT-UAQPre",$N379="QUEST","OUT-UAQ", $N379="Walk in","ColUATele")</f>
        <v>#N/A</v>
      </c>
      <c r="W379" s="70" t="str">
        <f t="shared" si="9"/>
        <v>#N/A</v>
      </c>
      <c r="X379" s="64" t="str">
        <f t="shared" si="10"/>
        <v/>
      </c>
      <c r="Y379" s="64" t="str">
        <f t="shared" si="11"/>
        <v/>
      </c>
      <c r="Z379" s="66" t="str">
        <f t="shared" si="12"/>
        <v> </v>
      </c>
      <c r="AA379" s="71"/>
    </row>
    <row r="380" ht="15.75" customHeight="1">
      <c r="A380" s="56" t="str">
        <f t="shared" si="1"/>
        <v/>
      </c>
      <c r="B380" s="56" t="str">
        <f>IFS($C380=FALSE,"",$C380,VLOOKUP($C380,'PATIENT DATA (072721)'!A:C, 2, 0))</f>
        <v/>
      </c>
      <c r="C380" s="57"/>
      <c r="D380" s="127" t="str">
        <f>IF(COUNTIF('PATIENT DATA (072721)'!A:A, C380)=0, "X","✓")</f>
        <v>X</v>
      </c>
      <c r="E380" s="79"/>
      <c r="F380" s="80"/>
      <c r="G380" s="81" t="str">
        <f>ifs($C380="","",$C380, VLOOKUP($C380&amp;$F380, 'MARCH - VISIT DATA'!A:O,3,0))</f>
        <v/>
      </c>
      <c r="H380" s="83"/>
      <c r="I380" s="122" t="str">
        <f>VLOOKUP($C380&amp;$F380,'MARCH - VISIT DATA'!A:J, 9, FALSE)</f>
        <v>#N/A</v>
      </c>
      <c r="J380" s="85" t="str">
        <f>VLOOKUP(C380&amp;F380,'MARCH - VISIT DATA'!A:O,10,FALSE)</f>
        <v>#N/A</v>
      </c>
      <c r="K380" s="86"/>
      <c r="L380" s="86"/>
      <c r="M380" s="86"/>
      <c r="N380" s="86"/>
      <c r="O380" s="121" t="str">
        <f t="shared" si="2"/>
        <v>X</v>
      </c>
      <c r="P380" s="79" t="str">
        <f t="shared" si="3"/>
        <v>#N/A</v>
      </c>
      <c r="Q380" s="123" t="str">
        <f t="shared" si="4"/>
        <v>#N/A</v>
      </c>
      <c r="R380" s="124" t="str">
        <f t="shared" si="5"/>
        <v>#N/A</v>
      </c>
      <c r="S380" s="125" t="str">
        <f t="shared" si="6"/>
        <v>#N/A</v>
      </c>
      <c r="T380" s="125" t="str">
        <f t="shared" si="7"/>
        <v>#N/A</v>
      </c>
      <c r="U380" s="83">
        <f t="shared" si="8"/>
        <v>0</v>
      </c>
      <c r="V380" s="88" t="str">
        <f>ifs($N380="",VLOOKUP($C380&amp;$F380,'MARCH - VISIT DATA'!$A$2:$J600,7,FALSE), $N380="SWAB","OUTSA-RW",$N380="SWQU","OUTSA-SaQu", AND($L380="X",$M380="X",$N380="QUEST"),"OUT-UAQPre",$N380="QUEST","OUT-UAQ", $N380="Walk in","ColUATele")</f>
        <v>#N/A</v>
      </c>
      <c r="W380" s="70" t="str">
        <f t="shared" si="9"/>
        <v>#N/A</v>
      </c>
      <c r="X380" s="64" t="str">
        <f t="shared" si="10"/>
        <v/>
      </c>
      <c r="Y380" s="64" t="str">
        <f t="shared" si="11"/>
        <v/>
      </c>
      <c r="Z380" s="66" t="str">
        <f t="shared" si="12"/>
        <v> </v>
      </c>
      <c r="AA380" s="71"/>
    </row>
    <row r="381" ht="15.75" customHeight="1">
      <c r="A381" s="56" t="str">
        <f t="shared" si="1"/>
        <v/>
      </c>
      <c r="B381" s="56" t="str">
        <f>IFS($C381=FALSE,"",$C381,VLOOKUP($C381,'PATIENT DATA (072721)'!A:C, 2, 0))</f>
        <v/>
      </c>
      <c r="C381" s="57"/>
      <c r="D381" s="127" t="str">
        <f>IF(COUNTIF('PATIENT DATA (072721)'!A:A, C381)=0, "X","✓")</f>
        <v>X</v>
      </c>
      <c r="E381" s="79"/>
      <c r="F381" s="80"/>
      <c r="G381" s="81" t="str">
        <f>ifs($C381="","",$C381, VLOOKUP($C381&amp;$F381, 'MARCH - VISIT DATA'!A:O,3,0))</f>
        <v/>
      </c>
      <c r="H381" s="83"/>
      <c r="I381" s="122" t="str">
        <f>VLOOKUP($C381&amp;$F381,'MARCH - VISIT DATA'!A:J, 9, FALSE)</f>
        <v>#N/A</v>
      </c>
      <c r="J381" s="85" t="str">
        <f>VLOOKUP(C381&amp;F381,'MARCH - VISIT DATA'!A:O,10,FALSE)</f>
        <v>#N/A</v>
      </c>
      <c r="K381" s="86"/>
      <c r="L381" s="86"/>
      <c r="M381" s="86"/>
      <c r="N381" s="86"/>
      <c r="O381" s="121" t="str">
        <f t="shared" si="2"/>
        <v>X</v>
      </c>
      <c r="P381" s="79" t="str">
        <f t="shared" si="3"/>
        <v>#N/A</v>
      </c>
      <c r="Q381" s="123" t="str">
        <f t="shared" si="4"/>
        <v>#N/A</v>
      </c>
      <c r="R381" s="124" t="str">
        <f t="shared" si="5"/>
        <v>#N/A</v>
      </c>
      <c r="S381" s="125" t="str">
        <f t="shared" si="6"/>
        <v>#N/A</v>
      </c>
      <c r="T381" s="125" t="str">
        <f t="shared" si="7"/>
        <v>#N/A</v>
      </c>
      <c r="U381" s="83">
        <f t="shared" si="8"/>
        <v>0</v>
      </c>
      <c r="V381" s="88" t="str">
        <f>ifs($N381="",VLOOKUP($C381&amp;$F381,'MARCH - VISIT DATA'!$A$2:$J600,7,FALSE), $N381="SWAB","OUTSA-RW",$N381="SWQU","OUTSA-SaQu", AND($L381="X",$M381="X",$N381="QUEST"),"OUT-UAQPre",$N381="QUEST","OUT-UAQ", $N381="Walk in","ColUATele")</f>
        <v>#N/A</v>
      </c>
      <c r="W381" s="70" t="str">
        <f t="shared" si="9"/>
        <v>#N/A</v>
      </c>
      <c r="X381" s="64" t="str">
        <f t="shared" si="10"/>
        <v/>
      </c>
      <c r="Y381" s="64" t="str">
        <f t="shared" si="11"/>
        <v/>
      </c>
      <c r="Z381" s="66" t="str">
        <f t="shared" si="12"/>
        <v> </v>
      </c>
      <c r="AA381" s="71"/>
    </row>
    <row r="382" ht="15.75" customHeight="1">
      <c r="A382" s="56" t="str">
        <f t="shared" si="1"/>
        <v/>
      </c>
      <c r="B382" s="56" t="str">
        <f>IFS($C382=FALSE,"",$C382,VLOOKUP($C382,'PATIENT DATA (072721)'!A:C, 2, 0))</f>
        <v/>
      </c>
      <c r="C382" s="57"/>
      <c r="D382" s="127" t="str">
        <f>IF(COUNTIF('PATIENT DATA (072721)'!A:A, C382)=0, "X","✓")</f>
        <v>X</v>
      </c>
      <c r="E382" s="79"/>
      <c r="F382" s="80"/>
      <c r="G382" s="81" t="str">
        <f>ifs($C382="","",$C382, VLOOKUP($C382&amp;$F382, 'MARCH - VISIT DATA'!A:O,3,0))</f>
        <v/>
      </c>
      <c r="H382" s="83"/>
      <c r="I382" s="122" t="str">
        <f>VLOOKUP($C382&amp;$F382,'MARCH - VISIT DATA'!A:J, 9, FALSE)</f>
        <v>#N/A</v>
      </c>
      <c r="J382" s="85" t="str">
        <f>VLOOKUP(C382&amp;F382,'MARCH - VISIT DATA'!A:O,10,FALSE)</f>
        <v>#N/A</v>
      </c>
      <c r="K382" s="86"/>
      <c r="L382" s="86"/>
      <c r="M382" s="86"/>
      <c r="N382" s="86"/>
      <c r="O382" s="121" t="str">
        <f t="shared" si="2"/>
        <v>X</v>
      </c>
      <c r="P382" s="79" t="str">
        <f t="shared" si="3"/>
        <v>#N/A</v>
      </c>
      <c r="Q382" s="123" t="str">
        <f t="shared" si="4"/>
        <v>#N/A</v>
      </c>
      <c r="R382" s="124" t="str">
        <f t="shared" si="5"/>
        <v>#N/A</v>
      </c>
      <c r="S382" s="125" t="str">
        <f t="shared" si="6"/>
        <v>#N/A</v>
      </c>
      <c r="T382" s="125" t="str">
        <f t="shared" si="7"/>
        <v>#N/A</v>
      </c>
      <c r="U382" s="83">
        <f t="shared" si="8"/>
        <v>0</v>
      </c>
      <c r="V382" s="88" t="str">
        <f>ifs($N382="",VLOOKUP($C382&amp;$F382,'MARCH - VISIT DATA'!$A$2:$J600,7,FALSE), $N382="SWAB","OUTSA-RW",$N382="SWQU","OUTSA-SaQu", AND($L382="X",$M382="X",$N382="QUEST"),"OUT-UAQPre",$N382="QUEST","OUT-UAQ", $N382="Walk in","ColUATele")</f>
        <v>#N/A</v>
      </c>
      <c r="W382" s="70" t="str">
        <f t="shared" si="9"/>
        <v>#N/A</v>
      </c>
      <c r="X382" s="64" t="str">
        <f t="shared" si="10"/>
        <v/>
      </c>
      <c r="Y382" s="64" t="str">
        <f t="shared" si="11"/>
        <v/>
      </c>
      <c r="Z382" s="66" t="str">
        <f t="shared" si="12"/>
        <v> </v>
      </c>
      <c r="AA382" s="71"/>
    </row>
    <row r="383" ht="15.75" customHeight="1">
      <c r="A383" s="56" t="str">
        <f t="shared" si="1"/>
        <v/>
      </c>
      <c r="B383" s="56" t="str">
        <f>IFS($C383=FALSE,"",$C383,VLOOKUP($C383,'PATIENT DATA (072721)'!A:C, 2, 0))</f>
        <v/>
      </c>
      <c r="C383" s="57"/>
      <c r="D383" s="127" t="str">
        <f>IF(COUNTIF('PATIENT DATA (072721)'!A:A, C383)=0, "X","✓")</f>
        <v>X</v>
      </c>
      <c r="E383" s="79"/>
      <c r="F383" s="80"/>
      <c r="G383" s="81" t="str">
        <f>ifs($C383="","",$C383, VLOOKUP($C383&amp;$F383, 'MARCH - VISIT DATA'!A:O,3,0))</f>
        <v/>
      </c>
      <c r="H383" s="83"/>
      <c r="I383" s="122" t="str">
        <f>VLOOKUP($C383&amp;$F383,'MARCH - VISIT DATA'!A:J, 9, FALSE)</f>
        <v>#N/A</v>
      </c>
      <c r="J383" s="85" t="str">
        <f>VLOOKUP(C383&amp;F383,'MARCH - VISIT DATA'!A:O,10,FALSE)</f>
        <v>#N/A</v>
      </c>
      <c r="K383" s="86"/>
      <c r="L383" s="86"/>
      <c r="M383" s="86"/>
      <c r="N383" s="86"/>
      <c r="O383" s="121" t="str">
        <f t="shared" si="2"/>
        <v>X</v>
      </c>
      <c r="P383" s="79" t="str">
        <f t="shared" si="3"/>
        <v>#N/A</v>
      </c>
      <c r="Q383" s="123" t="str">
        <f t="shared" si="4"/>
        <v>#N/A</v>
      </c>
      <c r="R383" s="124" t="str">
        <f t="shared" si="5"/>
        <v>#N/A</v>
      </c>
      <c r="S383" s="125" t="str">
        <f t="shared" si="6"/>
        <v>#N/A</v>
      </c>
      <c r="T383" s="125" t="str">
        <f t="shared" si="7"/>
        <v>#N/A</v>
      </c>
      <c r="U383" s="83">
        <f t="shared" si="8"/>
        <v>0</v>
      </c>
      <c r="V383" s="88" t="str">
        <f>ifs($N383="",VLOOKUP($C383&amp;$F383,'MARCH - VISIT DATA'!$A$2:$J600,7,FALSE), $N383="SWAB","OUTSA-RW",$N383="SWQU","OUTSA-SaQu", AND($L383="X",$M383="X",$N383="QUEST"),"OUT-UAQPre",$N383="QUEST","OUT-UAQ", $N383="Walk in","ColUATele")</f>
        <v>#N/A</v>
      </c>
      <c r="W383" s="70" t="str">
        <f t="shared" si="9"/>
        <v>#N/A</v>
      </c>
      <c r="X383" s="64" t="str">
        <f t="shared" si="10"/>
        <v/>
      </c>
      <c r="Y383" s="64" t="str">
        <f t="shared" si="11"/>
        <v/>
      </c>
      <c r="Z383" s="66" t="str">
        <f t="shared" si="12"/>
        <v> </v>
      </c>
      <c r="AA383" s="71"/>
    </row>
    <row r="384" ht="15.75" customHeight="1">
      <c r="A384" s="56" t="str">
        <f t="shared" si="1"/>
        <v/>
      </c>
      <c r="B384" s="56" t="str">
        <f>IFS($C384=FALSE,"",$C384,VLOOKUP($C384,'PATIENT DATA (072721)'!A:C, 2, 0))</f>
        <v/>
      </c>
      <c r="C384" s="57"/>
      <c r="D384" s="127" t="str">
        <f>IF(COUNTIF('PATIENT DATA (072721)'!A:A, C384)=0, "X","✓")</f>
        <v>X</v>
      </c>
      <c r="E384" s="79"/>
      <c r="F384" s="80"/>
      <c r="G384" s="81" t="str">
        <f>ifs($C384="","",$C384, VLOOKUP($C384&amp;$F384, 'MARCH - VISIT DATA'!A:O,3,0))</f>
        <v/>
      </c>
      <c r="H384" s="83"/>
      <c r="I384" s="122" t="str">
        <f>VLOOKUP($C384&amp;$F384,'MARCH - VISIT DATA'!A:J, 9, FALSE)</f>
        <v>#N/A</v>
      </c>
      <c r="J384" s="85" t="str">
        <f>VLOOKUP(C384&amp;F384,'MARCH - VISIT DATA'!A:O,10,FALSE)</f>
        <v>#N/A</v>
      </c>
      <c r="K384" s="86"/>
      <c r="L384" s="86"/>
      <c r="M384" s="86"/>
      <c r="N384" s="86"/>
      <c r="O384" s="121" t="str">
        <f t="shared" si="2"/>
        <v>X</v>
      </c>
      <c r="P384" s="79" t="str">
        <f t="shared" si="3"/>
        <v>#N/A</v>
      </c>
      <c r="Q384" s="123" t="str">
        <f t="shared" si="4"/>
        <v>#N/A</v>
      </c>
      <c r="R384" s="124" t="str">
        <f t="shared" si="5"/>
        <v>#N/A</v>
      </c>
      <c r="S384" s="125" t="str">
        <f t="shared" si="6"/>
        <v>#N/A</v>
      </c>
      <c r="T384" s="125" t="str">
        <f t="shared" si="7"/>
        <v>#N/A</v>
      </c>
      <c r="U384" s="83">
        <f t="shared" si="8"/>
        <v>0</v>
      </c>
      <c r="V384" s="88" t="str">
        <f>ifs($N384="",VLOOKUP($C384&amp;$F384,'MARCH - VISIT DATA'!$A$2:$J600,7,FALSE), $N384="SWAB","OUTSA-RW",$N384="SWQU","OUTSA-SaQu", AND($L384="X",$M384="X",$N384="QUEST"),"OUT-UAQPre",$N384="QUEST","OUT-UAQ", $N384="Walk in","ColUATele")</f>
        <v>#N/A</v>
      </c>
      <c r="W384" s="70" t="str">
        <f t="shared" si="9"/>
        <v>#N/A</v>
      </c>
      <c r="X384" s="64" t="str">
        <f t="shared" si="10"/>
        <v/>
      </c>
      <c r="Y384" s="64" t="str">
        <f t="shared" si="11"/>
        <v/>
      </c>
      <c r="Z384" s="66" t="str">
        <f t="shared" si="12"/>
        <v> </v>
      </c>
      <c r="AA384" s="71"/>
    </row>
    <row r="385" ht="15.75" customHeight="1">
      <c r="A385" s="56" t="str">
        <f t="shared" si="1"/>
        <v/>
      </c>
      <c r="B385" s="56" t="str">
        <f>IFS($C385=FALSE,"",$C385,VLOOKUP($C385,'PATIENT DATA (072721)'!A:C, 2, 0))</f>
        <v/>
      </c>
      <c r="C385" s="57"/>
      <c r="D385" s="127" t="str">
        <f>IF(COUNTIF('PATIENT DATA (072721)'!A:A, C385)=0, "X","✓")</f>
        <v>X</v>
      </c>
      <c r="E385" s="79"/>
      <c r="F385" s="80"/>
      <c r="G385" s="81" t="str">
        <f>ifs($C385="","",$C385, VLOOKUP($C385&amp;$F385, 'MARCH - VISIT DATA'!A:O,3,0))</f>
        <v/>
      </c>
      <c r="H385" s="83"/>
      <c r="I385" s="122" t="str">
        <f>VLOOKUP($C385&amp;$F385,'MARCH - VISIT DATA'!A:J, 9, FALSE)</f>
        <v>#N/A</v>
      </c>
      <c r="J385" s="85" t="str">
        <f>VLOOKUP(C385&amp;F385,'MARCH - VISIT DATA'!A:O,10,FALSE)</f>
        <v>#N/A</v>
      </c>
      <c r="K385" s="86"/>
      <c r="L385" s="86"/>
      <c r="M385" s="86"/>
      <c r="N385" s="86"/>
      <c r="O385" s="121" t="str">
        <f t="shared" si="2"/>
        <v>X</v>
      </c>
      <c r="P385" s="79" t="str">
        <f t="shared" si="3"/>
        <v>#N/A</v>
      </c>
      <c r="Q385" s="123" t="str">
        <f t="shared" si="4"/>
        <v>#N/A</v>
      </c>
      <c r="R385" s="124" t="str">
        <f t="shared" si="5"/>
        <v>#N/A</v>
      </c>
      <c r="S385" s="125" t="str">
        <f t="shared" si="6"/>
        <v>#N/A</v>
      </c>
      <c r="T385" s="125" t="str">
        <f t="shared" si="7"/>
        <v>#N/A</v>
      </c>
      <c r="U385" s="83">
        <f t="shared" si="8"/>
        <v>0</v>
      </c>
      <c r="V385" s="88" t="str">
        <f>ifs($N385="",VLOOKUP($C385&amp;$F385,'MARCH - VISIT DATA'!$A$2:$J600,7,FALSE), $N385="SWAB","OUTSA-RW",$N385="SWQU","OUTSA-SaQu", AND($L385="X",$M385="X",$N385="QUEST"),"OUT-UAQPre",$N385="QUEST","OUT-UAQ", $N385="Walk in","ColUATele")</f>
        <v>#N/A</v>
      </c>
      <c r="W385" s="70" t="str">
        <f t="shared" si="9"/>
        <v>#N/A</v>
      </c>
      <c r="X385" s="64" t="str">
        <f t="shared" si="10"/>
        <v/>
      </c>
      <c r="Y385" s="64" t="str">
        <f t="shared" si="11"/>
        <v/>
      </c>
      <c r="Z385" s="66" t="str">
        <f t="shared" si="12"/>
        <v> </v>
      </c>
      <c r="AA385" s="71"/>
    </row>
    <row r="386" ht="15.75" customHeight="1">
      <c r="A386" s="56" t="str">
        <f t="shared" si="1"/>
        <v/>
      </c>
      <c r="B386" s="56" t="str">
        <f>IFS($C386=FALSE,"",$C386,VLOOKUP($C386,'PATIENT DATA (072721)'!A:C, 2, 0))</f>
        <v/>
      </c>
      <c r="C386" s="57"/>
      <c r="D386" s="127" t="str">
        <f>IF(COUNTIF('PATIENT DATA (072721)'!A:A, C386)=0, "X","✓")</f>
        <v>X</v>
      </c>
      <c r="E386" s="79"/>
      <c r="F386" s="80"/>
      <c r="G386" s="81" t="str">
        <f>ifs($C386="","",$C386, VLOOKUP($C386&amp;$F386, 'MARCH - VISIT DATA'!A:O,3,0))</f>
        <v/>
      </c>
      <c r="H386" s="83"/>
      <c r="I386" s="122" t="str">
        <f>VLOOKUP($C386&amp;$F386,'MARCH - VISIT DATA'!A:J, 9, FALSE)</f>
        <v>#N/A</v>
      </c>
      <c r="J386" s="85" t="str">
        <f>VLOOKUP(C386&amp;F386,'MARCH - VISIT DATA'!A:O,10,FALSE)</f>
        <v>#N/A</v>
      </c>
      <c r="K386" s="86"/>
      <c r="L386" s="86"/>
      <c r="M386" s="86"/>
      <c r="N386" s="86"/>
      <c r="O386" s="121" t="str">
        <f t="shared" si="2"/>
        <v>X</v>
      </c>
      <c r="P386" s="79" t="str">
        <f t="shared" si="3"/>
        <v>#N/A</v>
      </c>
      <c r="Q386" s="123" t="str">
        <f t="shared" si="4"/>
        <v>#N/A</v>
      </c>
      <c r="R386" s="124" t="str">
        <f t="shared" si="5"/>
        <v>#N/A</v>
      </c>
      <c r="S386" s="125" t="str">
        <f t="shared" si="6"/>
        <v>#N/A</v>
      </c>
      <c r="T386" s="125" t="str">
        <f t="shared" si="7"/>
        <v>#N/A</v>
      </c>
      <c r="U386" s="83">
        <f t="shared" si="8"/>
        <v>0</v>
      </c>
      <c r="V386" s="88" t="str">
        <f>ifs($N386="",VLOOKUP($C386&amp;$F386,'MARCH - VISIT DATA'!$A$2:$J600,7,FALSE), $N386="SWAB","OUTSA-RW",$N386="SWQU","OUTSA-SaQu", AND($L386="X",$M386="X",$N386="QUEST"),"OUT-UAQPre",$N386="QUEST","OUT-UAQ", $N386="Walk in","ColUATele")</f>
        <v>#N/A</v>
      </c>
      <c r="W386" s="70" t="str">
        <f t="shared" si="9"/>
        <v>#N/A</v>
      </c>
      <c r="X386" s="64" t="str">
        <f t="shared" si="10"/>
        <v/>
      </c>
      <c r="Y386" s="64" t="str">
        <f t="shared" si="11"/>
        <v/>
      </c>
      <c r="Z386" s="66" t="str">
        <f t="shared" si="12"/>
        <v> </v>
      </c>
      <c r="AA386" s="71"/>
    </row>
    <row r="387" ht="15.75" customHeight="1">
      <c r="A387" s="56" t="str">
        <f t="shared" si="1"/>
        <v/>
      </c>
      <c r="B387" s="56" t="str">
        <f>IFS($C387=FALSE,"",$C387,VLOOKUP($C387,'PATIENT DATA (072721)'!A:C, 2, 0))</f>
        <v/>
      </c>
      <c r="C387" s="57"/>
      <c r="D387" s="127" t="str">
        <f>IF(COUNTIF('PATIENT DATA (072721)'!A:A, C387)=0, "X","✓")</f>
        <v>X</v>
      </c>
      <c r="E387" s="79"/>
      <c r="F387" s="80"/>
      <c r="G387" s="81" t="str">
        <f>ifs($C387="","",$C387, VLOOKUP($C387&amp;$F387, 'MARCH - VISIT DATA'!A:O,3,0))</f>
        <v/>
      </c>
      <c r="H387" s="83"/>
      <c r="I387" s="122" t="str">
        <f>VLOOKUP($C387&amp;$F387,'MARCH - VISIT DATA'!A:J, 9, FALSE)</f>
        <v>#N/A</v>
      </c>
      <c r="J387" s="85" t="str">
        <f>VLOOKUP(C387&amp;F387,'MARCH - VISIT DATA'!A:O,10,FALSE)</f>
        <v>#N/A</v>
      </c>
      <c r="K387" s="86"/>
      <c r="L387" s="86"/>
      <c r="M387" s="86"/>
      <c r="N387" s="86"/>
      <c r="O387" s="121" t="str">
        <f t="shared" si="2"/>
        <v>X</v>
      </c>
      <c r="P387" s="79" t="str">
        <f t="shared" si="3"/>
        <v>#N/A</v>
      </c>
      <c r="Q387" s="123" t="str">
        <f t="shared" si="4"/>
        <v>#N/A</v>
      </c>
      <c r="R387" s="124" t="str">
        <f t="shared" si="5"/>
        <v>#N/A</v>
      </c>
      <c r="S387" s="125" t="str">
        <f t="shared" si="6"/>
        <v>#N/A</v>
      </c>
      <c r="T387" s="125" t="str">
        <f t="shared" si="7"/>
        <v>#N/A</v>
      </c>
      <c r="U387" s="83">
        <f t="shared" si="8"/>
        <v>0</v>
      </c>
      <c r="V387" s="88" t="str">
        <f>ifs($N387="",VLOOKUP($C387&amp;$F387,'MARCH - VISIT DATA'!$A$2:$J600,7,FALSE), $N387="SWAB","OUTSA-RW",$N387="SWQU","OUTSA-SaQu", AND($L387="X",$M387="X",$N387="QUEST"),"OUT-UAQPre",$N387="QUEST","OUT-UAQ", $N387="Walk in","ColUATele")</f>
        <v>#N/A</v>
      </c>
      <c r="W387" s="70" t="str">
        <f t="shared" si="9"/>
        <v>#N/A</v>
      </c>
      <c r="X387" s="64" t="str">
        <f t="shared" si="10"/>
        <v/>
      </c>
      <c r="Y387" s="64" t="str">
        <f t="shared" si="11"/>
        <v/>
      </c>
      <c r="Z387" s="66" t="str">
        <f t="shared" si="12"/>
        <v> </v>
      </c>
      <c r="AA387" s="71"/>
    </row>
    <row r="388" ht="15.75" customHeight="1">
      <c r="A388" s="56" t="str">
        <f t="shared" si="1"/>
        <v/>
      </c>
      <c r="B388" s="56" t="str">
        <f>IFS($C388=FALSE,"",$C388,VLOOKUP($C388,'PATIENT DATA (072721)'!A:C, 2, 0))</f>
        <v/>
      </c>
      <c r="C388" s="57"/>
      <c r="D388" s="127" t="str">
        <f>IF(COUNTIF('PATIENT DATA (072721)'!A:A, C388)=0, "X","✓")</f>
        <v>X</v>
      </c>
      <c r="E388" s="79"/>
      <c r="F388" s="80"/>
      <c r="G388" s="81" t="str">
        <f>ifs($C388="","",$C388, VLOOKUP($C388&amp;$F388, 'MARCH - VISIT DATA'!A:O,3,0))</f>
        <v/>
      </c>
      <c r="H388" s="83"/>
      <c r="I388" s="122" t="str">
        <f>VLOOKUP($C388&amp;$F388,'MARCH - VISIT DATA'!A:J, 9, FALSE)</f>
        <v>#N/A</v>
      </c>
      <c r="J388" s="85" t="str">
        <f>VLOOKUP(C388&amp;F388,'MARCH - VISIT DATA'!A:O,10,FALSE)</f>
        <v>#N/A</v>
      </c>
      <c r="K388" s="86"/>
      <c r="L388" s="86"/>
      <c r="M388" s="86"/>
      <c r="N388" s="86"/>
      <c r="O388" s="121" t="str">
        <f t="shared" si="2"/>
        <v>X</v>
      </c>
      <c r="P388" s="79" t="str">
        <f t="shared" si="3"/>
        <v>#N/A</v>
      </c>
      <c r="Q388" s="123" t="str">
        <f t="shared" si="4"/>
        <v>#N/A</v>
      </c>
      <c r="R388" s="124" t="str">
        <f t="shared" si="5"/>
        <v>#N/A</v>
      </c>
      <c r="S388" s="125" t="str">
        <f t="shared" si="6"/>
        <v>#N/A</v>
      </c>
      <c r="T388" s="125" t="str">
        <f t="shared" si="7"/>
        <v>#N/A</v>
      </c>
      <c r="U388" s="83">
        <f t="shared" si="8"/>
        <v>0</v>
      </c>
      <c r="V388" s="88" t="str">
        <f>ifs($N388="",VLOOKUP($C388&amp;$F388,'MARCH - VISIT DATA'!$A$2:$J600,7,FALSE), $N388="SWAB","OUTSA-RW",$N388="SWQU","OUTSA-SaQu", AND($L388="X",$M388="X",$N388="QUEST"),"OUT-UAQPre",$N388="QUEST","OUT-UAQ", $N388="Walk in","ColUATele")</f>
        <v>#N/A</v>
      </c>
      <c r="W388" s="70" t="str">
        <f t="shared" si="9"/>
        <v>#N/A</v>
      </c>
      <c r="X388" s="64" t="str">
        <f t="shared" si="10"/>
        <v/>
      </c>
      <c r="Y388" s="64" t="str">
        <f t="shared" si="11"/>
        <v/>
      </c>
      <c r="Z388" s="66" t="str">
        <f t="shared" si="12"/>
        <v> </v>
      </c>
      <c r="AA388" s="71"/>
    </row>
    <row r="389" ht="15.75" customHeight="1">
      <c r="A389" s="56" t="str">
        <f t="shared" si="1"/>
        <v/>
      </c>
      <c r="B389" s="56" t="str">
        <f>IFS($C389=FALSE,"",$C389,VLOOKUP($C389,'PATIENT DATA (072721)'!A:C, 2, 0))</f>
        <v/>
      </c>
      <c r="C389" s="57"/>
      <c r="D389" s="127" t="str">
        <f>IF(COUNTIF('PATIENT DATA (072721)'!A:A, C389)=0, "X","✓")</f>
        <v>X</v>
      </c>
      <c r="E389" s="79"/>
      <c r="F389" s="80"/>
      <c r="G389" s="81" t="str">
        <f>ifs($C389="","",$C389, VLOOKUP($C389&amp;$F389, 'MARCH - VISIT DATA'!A:O,3,0))</f>
        <v/>
      </c>
      <c r="H389" s="83"/>
      <c r="I389" s="122" t="str">
        <f>VLOOKUP($C389&amp;$F389,'MARCH - VISIT DATA'!A:J, 9, FALSE)</f>
        <v>#N/A</v>
      </c>
      <c r="J389" s="85" t="str">
        <f>VLOOKUP(C389&amp;F389,'MARCH - VISIT DATA'!A:O,10,FALSE)</f>
        <v>#N/A</v>
      </c>
      <c r="K389" s="86"/>
      <c r="L389" s="86"/>
      <c r="M389" s="86"/>
      <c r="N389" s="86"/>
      <c r="O389" s="121" t="str">
        <f t="shared" si="2"/>
        <v>X</v>
      </c>
      <c r="P389" s="79" t="str">
        <f t="shared" si="3"/>
        <v>#N/A</v>
      </c>
      <c r="Q389" s="123" t="str">
        <f t="shared" si="4"/>
        <v>#N/A</v>
      </c>
      <c r="R389" s="124" t="str">
        <f t="shared" si="5"/>
        <v>#N/A</v>
      </c>
      <c r="S389" s="125" t="str">
        <f t="shared" si="6"/>
        <v>#N/A</v>
      </c>
      <c r="T389" s="125" t="str">
        <f t="shared" si="7"/>
        <v>#N/A</v>
      </c>
      <c r="U389" s="83">
        <f t="shared" si="8"/>
        <v>0</v>
      </c>
      <c r="V389" s="88" t="str">
        <f>ifs($N389="",VLOOKUP($C389&amp;$F389,'MARCH - VISIT DATA'!$A$2:$J600,7,FALSE), $N389="SWAB","OUTSA-RW",$N389="SWQU","OUTSA-SaQu", AND($L389="X",$M389="X",$N389="QUEST"),"OUT-UAQPre",$N389="QUEST","OUT-UAQ", $N389="Walk in","ColUATele")</f>
        <v>#N/A</v>
      </c>
      <c r="W389" s="70" t="str">
        <f t="shared" si="9"/>
        <v>#N/A</v>
      </c>
      <c r="X389" s="64" t="str">
        <f t="shared" si="10"/>
        <v/>
      </c>
      <c r="Y389" s="64" t="str">
        <f t="shared" si="11"/>
        <v/>
      </c>
      <c r="Z389" s="66" t="str">
        <f t="shared" si="12"/>
        <v> </v>
      </c>
      <c r="AA389" s="71"/>
    </row>
    <row r="390" ht="15.75" customHeight="1">
      <c r="A390" s="56" t="str">
        <f t="shared" si="1"/>
        <v/>
      </c>
      <c r="B390" s="56" t="str">
        <f>IFS($C390=FALSE,"",$C390,VLOOKUP($C390,'PATIENT DATA (072721)'!A:C, 2, 0))</f>
        <v/>
      </c>
      <c r="C390" s="57"/>
      <c r="D390" s="127" t="str">
        <f>IF(COUNTIF('PATIENT DATA (072721)'!A:A, C390)=0, "X","✓")</f>
        <v>X</v>
      </c>
      <c r="E390" s="79"/>
      <c r="F390" s="80"/>
      <c r="G390" s="81" t="str">
        <f>ifs($C390="","",$C390, VLOOKUP($C390&amp;$F390, 'MARCH - VISIT DATA'!A:O,3,0))</f>
        <v/>
      </c>
      <c r="H390" s="83"/>
      <c r="I390" s="122" t="str">
        <f>VLOOKUP($C390&amp;$F390,'MARCH - VISIT DATA'!A:J, 9, FALSE)</f>
        <v>#N/A</v>
      </c>
      <c r="J390" s="85" t="str">
        <f>VLOOKUP(C390&amp;F390,'MARCH - VISIT DATA'!A:O,10,FALSE)</f>
        <v>#N/A</v>
      </c>
      <c r="K390" s="86"/>
      <c r="L390" s="86"/>
      <c r="M390" s="86"/>
      <c r="N390" s="86"/>
      <c r="O390" s="121" t="str">
        <f t="shared" si="2"/>
        <v>X</v>
      </c>
      <c r="P390" s="79" t="str">
        <f t="shared" si="3"/>
        <v>#N/A</v>
      </c>
      <c r="Q390" s="123" t="str">
        <f t="shared" si="4"/>
        <v>#N/A</v>
      </c>
      <c r="R390" s="124" t="str">
        <f t="shared" si="5"/>
        <v>#N/A</v>
      </c>
      <c r="S390" s="125" t="str">
        <f t="shared" si="6"/>
        <v>#N/A</v>
      </c>
      <c r="T390" s="125" t="str">
        <f t="shared" si="7"/>
        <v>#N/A</v>
      </c>
      <c r="U390" s="83">
        <f t="shared" si="8"/>
        <v>0</v>
      </c>
      <c r="V390" s="88" t="str">
        <f>ifs($N390="",VLOOKUP($C390&amp;$F390,'MARCH - VISIT DATA'!$A$2:$J600,7,FALSE), $N390="SWAB","OUTSA-RW",$N390="SWQU","OUTSA-SaQu", AND($L390="X",$M390="X",$N390="QUEST"),"OUT-UAQPre",$N390="QUEST","OUT-UAQ", $N390="Walk in","ColUATele")</f>
        <v>#N/A</v>
      </c>
      <c r="W390" s="70" t="str">
        <f t="shared" si="9"/>
        <v>#N/A</v>
      </c>
      <c r="X390" s="64" t="str">
        <f t="shared" si="10"/>
        <v/>
      </c>
      <c r="Y390" s="64" t="str">
        <f t="shared" si="11"/>
        <v/>
      </c>
      <c r="Z390" s="66" t="str">
        <f t="shared" si="12"/>
        <v> </v>
      </c>
      <c r="AA390" s="71"/>
    </row>
    <row r="391" ht="15.75" customHeight="1">
      <c r="A391" s="56" t="str">
        <f t="shared" si="1"/>
        <v/>
      </c>
      <c r="B391" s="56" t="str">
        <f>IFS($C391=FALSE,"",$C391,VLOOKUP($C391,'PATIENT DATA (072721)'!A:C, 2, 0))</f>
        <v/>
      </c>
      <c r="C391" s="57"/>
      <c r="D391" s="127" t="str">
        <f>IF(COUNTIF('PATIENT DATA (072721)'!A:A, C391)=0, "X","✓")</f>
        <v>X</v>
      </c>
      <c r="E391" s="79"/>
      <c r="F391" s="80"/>
      <c r="G391" s="81" t="str">
        <f>ifs($C391="","",$C391, VLOOKUP($C391&amp;$F391, 'MARCH - VISIT DATA'!A:O,3,0))</f>
        <v/>
      </c>
      <c r="H391" s="83"/>
      <c r="I391" s="122" t="str">
        <f>VLOOKUP($C391&amp;$F391,'MARCH - VISIT DATA'!A:J, 9, FALSE)</f>
        <v>#N/A</v>
      </c>
      <c r="J391" s="85" t="str">
        <f>VLOOKUP(C391&amp;F391,'MARCH - VISIT DATA'!A:O,10,FALSE)</f>
        <v>#N/A</v>
      </c>
      <c r="K391" s="86"/>
      <c r="L391" s="86"/>
      <c r="M391" s="86"/>
      <c r="N391" s="86"/>
      <c r="O391" s="121" t="str">
        <f t="shared" si="2"/>
        <v>X</v>
      </c>
      <c r="P391" s="79" t="str">
        <f t="shared" si="3"/>
        <v>#N/A</v>
      </c>
      <c r="Q391" s="123" t="str">
        <f t="shared" si="4"/>
        <v>#N/A</v>
      </c>
      <c r="R391" s="124" t="str">
        <f t="shared" si="5"/>
        <v>#N/A</v>
      </c>
      <c r="S391" s="125" t="str">
        <f t="shared" si="6"/>
        <v>#N/A</v>
      </c>
      <c r="T391" s="125" t="str">
        <f t="shared" si="7"/>
        <v>#N/A</v>
      </c>
      <c r="U391" s="83">
        <f t="shared" si="8"/>
        <v>0</v>
      </c>
      <c r="V391" s="88" t="str">
        <f>ifs($N391="",VLOOKUP($C391&amp;$F391,'MARCH - VISIT DATA'!$A$2:$J600,7,FALSE), $N391="SWAB","OUTSA-RW",$N391="SWQU","OUTSA-SaQu", AND($L391="X",$M391="X",$N391="QUEST"),"OUT-UAQPre",$N391="QUEST","OUT-UAQ", $N391="Walk in","ColUATele")</f>
        <v>#N/A</v>
      </c>
      <c r="W391" s="70" t="str">
        <f t="shared" si="9"/>
        <v>#N/A</v>
      </c>
      <c r="X391" s="64" t="str">
        <f t="shared" si="10"/>
        <v/>
      </c>
      <c r="Y391" s="64" t="str">
        <f t="shared" si="11"/>
        <v/>
      </c>
      <c r="Z391" s="66" t="str">
        <f t="shared" si="12"/>
        <v> </v>
      </c>
      <c r="AA391" s="71"/>
    </row>
    <row r="392" ht="15.75" customHeight="1">
      <c r="A392" s="56" t="str">
        <f t="shared" si="1"/>
        <v/>
      </c>
      <c r="B392" s="56" t="str">
        <f>IFS($C392=FALSE,"",$C392,VLOOKUP($C392,'PATIENT DATA (072721)'!A:C, 2, 0))</f>
        <v/>
      </c>
      <c r="C392" s="57"/>
      <c r="D392" s="127" t="str">
        <f>IF(COUNTIF('PATIENT DATA (072721)'!A:A, C392)=0, "X","✓")</f>
        <v>X</v>
      </c>
      <c r="E392" s="79"/>
      <c r="F392" s="80"/>
      <c r="G392" s="81" t="str">
        <f>ifs($C392="","",$C392, VLOOKUP($C392&amp;$F392, 'MARCH - VISIT DATA'!A:O,3,0))</f>
        <v/>
      </c>
      <c r="H392" s="83"/>
      <c r="I392" s="122" t="str">
        <f>VLOOKUP($C392&amp;$F392,'MARCH - VISIT DATA'!A:J, 9, FALSE)</f>
        <v>#N/A</v>
      </c>
      <c r="J392" s="85" t="str">
        <f>VLOOKUP(C392&amp;F392,'MARCH - VISIT DATA'!A:O,10,FALSE)</f>
        <v>#N/A</v>
      </c>
      <c r="K392" s="86"/>
      <c r="L392" s="86"/>
      <c r="M392" s="86"/>
      <c r="N392" s="86"/>
      <c r="O392" s="121" t="str">
        <f t="shared" si="2"/>
        <v>X</v>
      </c>
      <c r="P392" s="79" t="str">
        <f t="shared" si="3"/>
        <v>#N/A</v>
      </c>
      <c r="Q392" s="123" t="str">
        <f t="shared" si="4"/>
        <v>#N/A</v>
      </c>
      <c r="R392" s="124" t="str">
        <f t="shared" si="5"/>
        <v>#N/A</v>
      </c>
      <c r="S392" s="125" t="str">
        <f t="shared" si="6"/>
        <v>#N/A</v>
      </c>
      <c r="T392" s="125" t="str">
        <f t="shared" si="7"/>
        <v>#N/A</v>
      </c>
      <c r="U392" s="83">
        <f t="shared" si="8"/>
        <v>0</v>
      </c>
      <c r="V392" s="88" t="str">
        <f>ifs($N392="",VLOOKUP($C392&amp;$F392,'MARCH - VISIT DATA'!$A$2:$J600,7,FALSE), $N392="SWAB","OUTSA-RW",$N392="SWQU","OUTSA-SaQu", AND($L392="X",$M392="X",$N392="QUEST"),"OUT-UAQPre",$N392="QUEST","OUT-UAQ", $N392="Walk in","ColUATele")</f>
        <v>#N/A</v>
      </c>
      <c r="W392" s="70" t="str">
        <f t="shared" si="9"/>
        <v>#N/A</v>
      </c>
      <c r="X392" s="64" t="str">
        <f t="shared" si="10"/>
        <v/>
      </c>
      <c r="Y392" s="64" t="str">
        <f t="shared" si="11"/>
        <v/>
      </c>
      <c r="Z392" s="66" t="str">
        <f t="shared" si="12"/>
        <v> </v>
      </c>
      <c r="AA392" s="71"/>
    </row>
    <row r="393" ht="15.75" customHeight="1">
      <c r="A393" s="56" t="str">
        <f t="shared" si="1"/>
        <v/>
      </c>
      <c r="B393" s="56" t="str">
        <f>IFS($C393=FALSE,"",$C393,VLOOKUP($C393,'PATIENT DATA (072721)'!A:C, 2, 0))</f>
        <v/>
      </c>
      <c r="C393" s="57"/>
      <c r="D393" s="127" t="str">
        <f>IF(COUNTIF('PATIENT DATA (072721)'!A:A, C393)=0, "X","✓")</f>
        <v>X</v>
      </c>
      <c r="E393" s="79"/>
      <c r="F393" s="80"/>
      <c r="G393" s="81" t="str">
        <f>ifs($C393="","",$C393, VLOOKUP($C393&amp;$F393, 'MARCH - VISIT DATA'!A:O,3,0))</f>
        <v/>
      </c>
      <c r="H393" s="83"/>
      <c r="I393" s="122" t="str">
        <f>VLOOKUP($C393&amp;$F393,'MARCH - VISIT DATA'!A:J, 9, FALSE)</f>
        <v>#N/A</v>
      </c>
      <c r="J393" s="85" t="str">
        <f>VLOOKUP(C393&amp;F393,'MARCH - VISIT DATA'!A:O,10,FALSE)</f>
        <v>#N/A</v>
      </c>
      <c r="K393" s="86"/>
      <c r="L393" s="86"/>
      <c r="M393" s="86"/>
      <c r="N393" s="86"/>
      <c r="O393" s="121" t="str">
        <f t="shared" si="2"/>
        <v>X</v>
      </c>
      <c r="P393" s="79" t="str">
        <f t="shared" si="3"/>
        <v>#N/A</v>
      </c>
      <c r="Q393" s="123" t="str">
        <f t="shared" si="4"/>
        <v>#N/A</v>
      </c>
      <c r="R393" s="124" t="str">
        <f t="shared" si="5"/>
        <v>#N/A</v>
      </c>
      <c r="S393" s="125" t="str">
        <f t="shared" si="6"/>
        <v>#N/A</v>
      </c>
      <c r="T393" s="125" t="str">
        <f t="shared" si="7"/>
        <v>#N/A</v>
      </c>
      <c r="U393" s="83">
        <f t="shared" si="8"/>
        <v>0</v>
      </c>
      <c r="V393" s="88" t="str">
        <f>ifs($N393="",VLOOKUP($C393&amp;$F393,'MARCH - VISIT DATA'!$A$2:$J600,7,FALSE), $N393="SWAB","OUTSA-RW",$N393="SWQU","OUTSA-SaQu", AND($L393="X",$M393="X",$N393="QUEST"),"OUT-UAQPre",$N393="QUEST","OUT-UAQ", $N393="Walk in","ColUATele")</f>
        <v>#N/A</v>
      </c>
      <c r="W393" s="70" t="str">
        <f t="shared" si="9"/>
        <v>#N/A</v>
      </c>
      <c r="X393" s="64" t="str">
        <f t="shared" si="10"/>
        <v/>
      </c>
      <c r="Y393" s="64" t="str">
        <f t="shared" si="11"/>
        <v/>
      </c>
      <c r="Z393" s="66" t="str">
        <f t="shared" si="12"/>
        <v> </v>
      </c>
      <c r="AA393" s="71"/>
    </row>
    <row r="394" ht="15.75" customHeight="1">
      <c r="A394" s="56" t="str">
        <f t="shared" si="1"/>
        <v/>
      </c>
      <c r="B394" s="56" t="str">
        <f>IFS($C394=FALSE,"",$C394,VLOOKUP($C394,'PATIENT DATA (072721)'!A:C, 2, 0))</f>
        <v/>
      </c>
      <c r="C394" s="57"/>
      <c r="D394" s="127" t="str">
        <f>IF(COUNTIF('PATIENT DATA (072721)'!A:A, C394)=0, "X","✓")</f>
        <v>X</v>
      </c>
      <c r="E394" s="79"/>
      <c r="F394" s="80"/>
      <c r="G394" s="81" t="str">
        <f>ifs($C394="","",$C394, VLOOKUP($C394&amp;$F394, 'MARCH - VISIT DATA'!A:O,3,0))</f>
        <v/>
      </c>
      <c r="H394" s="83"/>
      <c r="I394" s="122" t="str">
        <f>VLOOKUP($C394&amp;$F394,'MARCH - VISIT DATA'!A:J, 9, FALSE)</f>
        <v>#N/A</v>
      </c>
      <c r="J394" s="85" t="str">
        <f>VLOOKUP(C394&amp;F394,'MARCH - VISIT DATA'!A:O,10,FALSE)</f>
        <v>#N/A</v>
      </c>
      <c r="K394" s="86"/>
      <c r="L394" s="86"/>
      <c r="M394" s="86"/>
      <c r="N394" s="86"/>
      <c r="O394" s="121" t="str">
        <f t="shared" si="2"/>
        <v>X</v>
      </c>
      <c r="P394" s="79" t="str">
        <f t="shared" si="3"/>
        <v>#N/A</v>
      </c>
      <c r="Q394" s="123" t="str">
        <f t="shared" si="4"/>
        <v>#N/A</v>
      </c>
      <c r="R394" s="124" t="str">
        <f t="shared" si="5"/>
        <v>#N/A</v>
      </c>
      <c r="S394" s="125" t="str">
        <f t="shared" si="6"/>
        <v>#N/A</v>
      </c>
      <c r="T394" s="125" t="str">
        <f t="shared" si="7"/>
        <v>#N/A</v>
      </c>
      <c r="U394" s="83">
        <f t="shared" si="8"/>
        <v>0</v>
      </c>
      <c r="V394" s="88" t="str">
        <f>ifs($N394="",VLOOKUP($C394&amp;$F394,'MARCH - VISIT DATA'!$A$2:$J600,7,FALSE), $N394="SWAB","OUTSA-RW",$N394="SWQU","OUTSA-SaQu", AND($L394="X",$M394="X",$N394="QUEST"),"OUT-UAQPre",$N394="QUEST","OUT-UAQ", $N394="Walk in","ColUATele")</f>
        <v>#N/A</v>
      </c>
      <c r="W394" s="70" t="str">
        <f t="shared" si="9"/>
        <v>#N/A</v>
      </c>
      <c r="X394" s="64" t="str">
        <f t="shared" si="10"/>
        <v/>
      </c>
      <c r="Y394" s="64" t="str">
        <f t="shared" si="11"/>
        <v/>
      </c>
      <c r="Z394" s="66" t="str">
        <f t="shared" si="12"/>
        <v> </v>
      </c>
      <c r="AA394" s="71"/>
    </row>
    <row r="395" ht="15.75" customHeight="1">
      <c r="A395" s="56" t="str">
        <f t="shared" si="1"/>
        <v/>
      </c>
      <c r="B395" s="56" t="str">
        <f>IFS($C395=FALSE,"",$C395,VLOOKUP($C395,'PATIENT DATA (072721)'!A:C, 2, 0))</f>
        <v/>
      </c>
      <c r="C395" s="57"/>
      <c r="D395" s="127" t="str">
        <f>IF(COUNTIF('PATIENT DATA (072721)'!A:A, C395)=0, "X","✓")</f>
        <v>X</v>
      </c>
      <c r="E395" s="79"/>
      <c r="F395" s="80"/>
      <c r="G395" s="81" t="str">
        <f>ifs($C395="","",$C395, VLOOKUP($C395&amp;$F395, 'MARCH - VISIT DATA'!A:O,3,0))</f>
        <v/>
      </c>
      <c r="H395" s="83"/>
      <c r="I395" s="122" t="str">
        <f>VLOOKUP($C395&amp;$F395,'MARCH - VISIT DATA'!A:J, 9, FALSE)</f>
        <v>#N/A</v>
      </c>
      <c r="J395" s="85" t="str">
        <f>VLOOKUP(C395&amp;F395,'MARCH - VISIT DATA'!A:O,10,FALSE)</f>
        <v>#N/A</v>
      </c>
      <c r="K395" s="86"/>
      <c r="L395" s="86"/>
      <c r="M395" s="86"/>
      <c r="N395" s="86"/>
      <c r="O395" s="121" t="str">
        <f t="shared" si="2"/>
        <v>X</v>
      </c>
      <c r="P395" s="79" t="str">
        <f t="shared" si="3"/>
        <v>#N/A</v>
      </c>
      <c r="Q395" s="123" t="str">
        <f t="shared" si="4"/>
        <v>#N/A</v>
      </c>
      <c r="R395" s="124" t="str">
        <f t="shared" si="5"/>
        <v>#N/A</v>
      </c>
      <c r="S395" s="125" t="str">
        <f t="shared" si="6"/>
        <v>#N/A</v>
      </c>
      <c r="T395" s="125" t="str">
        <f t="shared" si="7"/>
        <v>#N/A</v>
      </c>
      <c r="U395" s="83">
        <f t="shared" si="8"/>
        <v>0</v>
      </c>
      <c r="V395" s="88" t="str">
        <f>ifs($N395="",VLOOKUP($C395&amp;$F395,'MARCH - VISIT DATA'!$A$2:$J600,7,FALSE), $N395="SWAB","OUTSA-RW",$N395="SWQU","OUTSA-SaQu", AND($L395="X",$M395="X",$N395="QUEST"),"OUT-UAQPre",$N395="QUEST","OUT-UAQ", $N395="Walk in","ColUATele")</f>
        <v>#N/A</v>
      </c>
      <c r="W395" s="70" t="str">
        <f t="shared" si="9"/>
        <v>#N/A</v>
      </c>
      <c r="X395" s="64" t="str">
        <f t="shared" si="10"/>
        <v/>
      </c>
      <c r="Y395" s="64" t="str">
        <f t="shared" si="11"/>
        <v/>
      </c>
      <c r="Z395" s="66" t="str">
        <f t="shared" si="12"/>
        <v> </v>
      </c>
      <c r="AA395" s="71"/>
    </row>
    <row r="396" ht="15.75" customHeight="1">
      <c r="A396" s="56" t="str">
        <f t="shared" si="1"/>
        <v/>
      </c>
      <c r="B396" s="56" t="str">
        <f>IFS($C396=FALSE,"",$C396,VLOOKUP($C396,'PATIENT DATA (072721)'!A:C, 2, 0))</f>
        <v/>
      </c>
      <c r="C396" s="57"/>
      <c r="D396" s="127" t="str">
        <f>IF(COUNTIF('PATIENT DATA (072721)'!A:A, C396)=0, "X","✓")</f>
        <v>X</v>
      </c>
      <c r="E396" s="79"/>
      <c r="F396" s="80"/>
      <c r="G396" s="81" t="str">
        <f>ifs($C396="","",$C396, VLOOKUP($C396&amp;$F396, 'MARCH - VISIT DATA'!A:O,3,0))</f>
        <v/>
      </c>
      <c r="H396" s="83"/>
      <c r="I396" s="122" t="str">
        <f>VLOOKUP($C396&amp;$F396,'MARCH - VISIT DATA'!A:J, 9, FALSE)</f>
        <v>#N/A</v>
      </c>
      <c r="J396" s="85" t="str">
        <f>VLOOKUP(C396&amp;F396,'MARCH - VISIT DATA'!A:O,10,FALSE)</f>
        <v>#N/A</v>
      </c>
      <c r="K396" s="86"/>
      <c r="L396" s="86"/>
      <c r="M396" s="86"/>
      <c r="N396" s="86"/>
      <c r="O396" s="121" t="str">
        <f t="shared" si="2"/>
        <v>X</v>
      </c>
      <c r="P396" s="79" t="str">
        <f t="shared" si="3"/>
        <v>#N/A</v>
      </c>
      <c r="Q396" s="123" t="str">
        <f t="shared" si="4"/>
        <v>#N/A</v>
      </c>
      <c r="R396" s="124" t="str">
        <f t="shared" si="5"/>
        <v>#N/A</v>
      </c>
      <c r="S396" s="125" t="str">
        <f t="shared" si="6"/>
        <v>#N/A</v>
      </c>
      <c r="T396" s="125" t="str">
        <f t="shared" si="7"/>
        <v>#N/A</v>
      </c>
      <c r="U396" s="83">
        <f t="shared" si="8"/>
        <v>0</v>
      </c>
      <c r="V396" s="88" t="str">
        <f>ifs($N396="",VLOOKUP($C396&amp;$F396,'MARCH - VISIT DATA'!$A$2:$J600,7,FALSE), $N396="SWAB","OUTSA-RW",$N396="SWQU","OUTSA-SaQu", AND($L396="X",$M396="X",$N396="QUEST"),"OUT-UAQPre",$N396="QUEST","OUT-UAQ", $N396="Walk in","ColUATele")</f>
        <v>#N/A</v>
      </c>
      <c r="W396" s="70" t="str">
        <f t="shared" si="9"/>
        <v>#N/A</v>
      </c>
      <c r="X396" s="64" t="str">
        <f t="shared" si="10"/>
        <v/>
      </c>
      <c r="Y396" s="64" t="str">
        <f t="shared" si="11"/>
        <v/>
      </c>
      <c r="Z396" s="66" t="str">
        <f t="shared" si="12"/>
        <v> </v>
      </c>
      <c r="AA396" s="71"/>
    </row>
    <row r="397" ht="15.75" customHeight="1">
      <c r="A397" s="56" t="str">
        <f t="shared" si="1"/>
        <v/>
      </c>
      <c r="B397" s="56" t="str">
        <f>IFS($C397=FALSE,"",$C397,VLOOKUP($C397,'PATIENT DATA (072721)'!A:C, 2, 0))</f>
        <v/>
      </c>
      <c r="C397" s="57"/>
      <c r="D397" s="127" t="str">
        <f>IF(COUNTIF('PATIENT DATA (072721)'!A:A, C397)=0, "X","✓")</f>
        <v>X</v>
      </c>
      <c r="E397" s="79"/>
      <c r="F397" s="80"/>
      <c r="G397" s="81" t="str">
        <f>ifs($C397="","",$C397, VLOOKUP($C397&amp;$F397, 'MARCH - VISIT DATA'!A:O,3,0))</f>
        <v/>
      </c>
      <c r="H397" s="83"/>
      <c r="I397" s="122" t="str">
        <f>VLOOKUP($C397&amp;$F397,'MARCH - VISIT DATA'!A:J, 9, FALSE)</f>
        <v>#N/A</v>
      </c>
      <c r="J397" s="85" t="str">
        <f>VLOOKUP(C397&amp;F397,'MARCH - VISIT DATA'!A:O,10,FALSE)</f>
        <v>#N/A</v>
      </c>
      <c r="K397" s="86"/>
      <c r="L397" s="86"/>
      <c r="M397" s="86"/>
      <c r="N397" s="86"/>
      <c r="O397" s="121" t="str">
        <f t="shared" si="2"/>
        <v>X</v>
      </c>
      <c r="P397" s="79" t="str">
        <f t="shared" si="3"/>
        <v>#N/A</v>
      </c>
      <c r="Q397" s="123" t="str">
        <f t="shared" si="4"/>
        <v>#N/A</v>
      </c>
      <c r="R397" s="124" t="str">
        <f t="shared" si="5"/>
        <v>#N/A</v>
      </c>
      <c r="S397" s="125" t="str">
        <f t="shared" si="6"/>
        <v>#N/A</v>
      </c>
      <c r="T397" s="125" t="str">
        <f t="shared" si="7"/>
        <v>#N/A</v>
      </c>
      <c r="U397" s="83">
        <f t="shared" si="8"/>
        <v>0</v>
      </c>
      <c r="V397" s="88" t="str">
        <f>ifs($N397="",VLOOKUP($C397&amp;$F397,'MARCH - VISIT DATA'!$A$2:$J600,7,FALSE), $N397="SWAB","OUTSA-RW",$N397="SWQU","OUTSA-SaQu", AND($L397="X",$M397="X",$N397="QUEST"),"OUT-UAQPre",$N397="QUEST","OUT-UAQ", $N397="Walk in","ColUATele")</f>
        <v>#N/A</v>
      </c>
      <c r="W397" s="70" t="str">
        <f t="shared" si="9"/>
        <v>#N/A</v>
      </c>
      <c r="X397" s="64" t="str">
        <f t="shared" si="10"/>
        <v/>
      </c>
      <c r="Y397" s="64" t="str">
        <f t="shared" si="11"/>
        <v/>
      </c>
      <c r="Z397" s="66" t="str">
        <f t="shared" si="12"/>
        <v> </v>
      </c>
      <c r="AA397" s="71"/>
    </row>
    <row r="398" ht="15.75" customHeight="1">
      <c r="A398" s="56" t="str">
        <f t="shared" si="1"/>
        <v/>
      </c>
      <c r="B398" s="56" t="str">
        <f>IFS($C398=FALSE,"",$C398,VLOOKUP($C398,'PATIENT DATA (072721)'!A:C, 2, 0))</f>
        <v/>
      </c>
      <c r="C398" s="57"/>
      <c r="D398" s="127" t="str">
        <f>IF(COUNTIF('PATIENT DATA (072721)'!A:A, C398)=0, "X","✓")</f>
        <v>X</v>
      </c>
      <c r="E398" s="79"/>
      <c r="F398" s="80"/>
      <c r="G398" s="81" t="str">
        <f>ifs($C398="","",$C398, VLOOKUP($C398&amp;$F398, 'MARCH - VISIT DATA'!A:O,3,0))</f>
        <v/>
      </c>
      <c r="H398" s="83"/>
      <c r="I398" s="122" t="str">
        <f>VLOOKUP($C398&amp;$F398,'MARCH - VISIT DATA'!A:J, 9, FALSE)</f>
        <v>#N/A</v>
      </c>
      <c r="J398" s="85" t="str">
        <f>VLOOKUP(C398&amp;F398,'MARCH - VISIT DATA'!A:O,10,FALSE)</f>
        <v>#N/A</v>
      </c>
      <c r="K398" s="86"/>
      <c r="L398" s="86"/>
      <c r="M398" s="86"/>
      <c r="N398" s="86"/>
      <c r="O398" s="121" t="str">
        <f t="shared" si="2"/>
        <v>X</v>
      </c>
      <c r="P398" s="79" t="str">
        <f t="shared" si="3"/>
        <v>#N/A</v>
      </c>
      <c r="Q398" s="123" t="str">
        <f t="shared" si="4"/>
        <v>#N/A</v>
      </c>
      <c r="R398" s="124" t="str">
        <f t="shared" si="5"/>
        <v>#N/A</v>
      </c>
      <c r="S398" s="125" t="str">
        <f t="shared" si="6"/>
        <v>#N/A</v>
      </c>
      <c r="T398" s="125" t="str">
        <f t="shared" si="7"/>
        <v>#N/A</v>
      </c>
      <c r="U398" s="83">
        <f t="shared" si="8"/>
        <v>0</v>
      </c>
      <c r="V398" s="88" t="str">
        <f>ifs($N398="",VLOOKUP($C398&amp;$F398,'MARCH - VISIT DATA'!$A$2:$J600,7,FALSE), $N398="SWAB","OUTSA-RW",$N398="SWQU","OUTSA-SaQu", AND($L398="X",$M398="X",$N398="QUEST"),"OUT-UAQPre",$N398="QUEST","OUT-UAQ", $N398="Walk in","ColUATele")</f>
        <v>#N/A</v>
      </c>
      <c r="W398" s="70" t="str">
        <f t="shared" si="9"/>
        <v>#N/A</v>
      </c>
      <c r="X398" s="64" t="str">
        <f t="shared" si="10"/>
        <v/>
      </c>
      <c r="Y398" s="64" t="str">
        <f t="shared" si="11"/>
        <v/>
      </c>
      <c r="Z398" s="66" t="str">
        <f t="shared" si="12"/>
        <v> </v>
      </c>
      <c r="AA398" s="71"/>
    </row>
    <row r="399" ht="15.75" customHeight="1">
      <c r="A399" s="56" t="str">
        <f t="shared" si="1"/>
        <v/>
      </c>
      <c r="B399" s="56" t="str">
        <f>IFS($C399=FALSE,"",$C399,VLOOKUP($C399,'PATIENT DATA (072721)'!A:C, 2, 0))</f>
        <v/>
      </c>
      <c r="C399" s="57"/>
      <c r="D399" s="127" t="str">
        <f>IF(COUNTIF('PATIENT DATA (072721)'!A:A, C399)=0, "X","✓")</f>
        <v>X</v>
      </c>
      <c r="E399" s="79"/>
      <c r="F399" s="80"/>
      <c r="G399" s="81" t="str">
        <f>ifs($C399="","",$C399, VLOOKUP($C399&amp;$F399, 'MARCH - VISIT DATA'!A:O,3,0))</f>
        <v/>
      </c>
      <c r="H399" s="83"/>
      <c r="I399" s="122" t="str">
        <f>VLOOKUP($C399&amp;$F399,'MARCH - VISIT DATA'!A:J, 9, FALSE)</f>
        <v>#N/A</v>
      </c>
      <c r="J399" s="85" t="str">
        <f>VLOOKUP(C399&amp;F399,'MARCH - VISIT DATA'!A:O,10,FALSE)</f>
        <v>#N/A</v>
      </c>
      <c r="K399" s="86"/>
      <c r="L399" s="86"/>
      <c r="M399" s="86"/>
      <c r="N399" s="86"/>
      <c r="O399" s="121" t="str">
        <f t="shared" si="2"/>
        <v>X</v>
      </c>
      <c r="P399" s="79" t="str">
        <f t="shared" si="3"/>
        <v>#N/A</v>
      </c>
      <c r="Q399" s="123" t="str">
        <f t="shared" si="4"/>
        <v>#N/A</v>
      </c>
      <c r="R399" s="124" t="str">
        <f t="shared" si="5"/>
        <v>#N/A</v>
      </c>
      <c r="S399" s="125" t="str">
        <f t="shared" si="6"/>
        <v>#N/A</v>
      </c>
      <c r="T399" s="125" t="str">
        <f t="shared" si="7"/>
        <v>#N/A</v>
      </c>
      <c r="U399" s="83">
        <f t="shared" si="8"/>
        <v>0</v>
      </c>
      <c r="V399" s="88" t="str">
        <f>ifs($N399="",VLOOKUP($C399&amp;$F399,'MARCH - VISIT DATA'!$A$2:$J600,7,FALSE), $N399="SWAB","OUTSA-RW",$N399="SWQU","OUTSA-SaQu", AND($L399="X",$M399="X",$N399="QUEST"),"OUT-UAQPre",$N399="QUEST","OUT-UAQ", $N399="Walk in","ColUATele")</f>
        <v>#N/A</v>
      </c>
      <c r="W399" s="70" t="str">
        <f t="shared" si="9"/>
        <v>#N/A</v>
      </c>
      <c r="X399" s="64" t="str">
        <f t="shared" si="10"/>
        <v/>
      </c>
      <c r="Y399" s="64" t="str">
        <f t="shared" si="11"/>
        <v/>
      </c>
      <c r="Z399" s="66" t="str">
        <f t="shared" si="12"/>
        <v> </v>
      </c>
      <c r="AA399" s="71"/>
    </row>
    <row r="400" ht="15.75" customHeight="1">
      <c r="A400" s="56" t="str">
        <f t="shared" si="1"/>
        <v/>
      </c>
      <c r="B400" s="56" t="str">
        <f>IFS($C400=FALSE,"",$C400,VLOOKUP($C400,'PATIENT DATA (072721)'!A:C, 2, 0))</f>
        <v/>
      </c>
      <c r="C400" s="57"/>
      <c r="D400" s="127" t="str">
        <f>IF(COUNTIF('PATIENT DATA (072721)'!A:A, C400)=0, "X","✓")</f>
        <v>X</v>
      </c>
      <c r="E400" s="79"/>
      <c r="F400" s="80"/>
      <c r="G400" s="81" t="str">
        <f>ifs($C400="","",$C400, VLOOKUP($C400&amp;$F400, 'MARCH - VISIT DATA'!A:O,3,0))</f>
        <v/>
      </c>
      <c r="H400" s="83"/>
      <c r="I400" s="122" t="str">
        <f>VLOOKUP($C400&amp;$F400,'MARCH - VISIT DATA'!A:J, 9, FALSE)</f>
        <v>#N/A</v>
      </c>
      <c r="J400" s="85" t="str">
        <f>VLOOKUP(C400&amp;F400,'MARCH - VISIT DATA'!A:O,10,FALSE)</f>
        <v>#N/A</v>
      </c>
      <c r="K400" s="86"/>
      <c r="L400" s="86"/>
      <c r="M400" s="86"/>
      <c r="N400" s="86"/>
      <c r="O400" s="121" t="str">
        <f t="shared" si="2"/>
        <v>X</v>
      </c>
      <c r="P400" s="79" t="str">
        <f t="shared" si="3"/>
        <v>#N/A</v>
      </c>
      <c r="Q400" s="123" t="str">
        <f t="shared" si="4"/>
        <v>#N/A</v>
      </c>
      <c r="R400" s="124" t="str">
        <f t="shared" si="5"/>
        <v>#N/A</v>
      </c>
      <c r="S400" s="125" t="str">
        <f t="shared" si="6"/>
        <v>#N/A</v>
      </c>
      <c r="T400" s="125" t="str">
        <f t="shared" si="7"/>
        <v>#N/A</v>
      </c>
      <c r="U400" s="83">
        <f t="shared" si="8"/>
        <v>0</v>
      </c>
      <c r="V400" s="88" t="str">
        <f>ifs($N400="",VLOOKUP($C400&amp;$F400,'MARCH - VISIT DATA'!$A$2:$J600,7,FALSE), $N400="SWAB","OUTSA-RW",$N400="SWQU","OUTSA-SaQu", AND($L400="X",$M400="X",$N400="QUEST"),"OUT-UAQPre",$N400="QUEST","OUT-UAQ", $N400="Walk in","ColUATele")</f>
        <v>#N/A</v>
      </c>
      <c r="W400" s="70" t="str">
        <f t="shared" si="9"/>
        <v>#N/A</v>
      </c>
      <c r="X400" s="64" t="str">
        <f t="shared" si="10"/>
        <v/>
      </c>
      <c r="Y400" s="64" t="str">
        <f t="shared" si="11"/>
        <v/>
      </c>
      <c r="Z400" s="66" t="str">
        <f t="shared" si="12"/>
        <v> </v>
      </c>
      <c r="AA400" s="71"/>
    </row>
    <row r="401" ht="15.75" customHeight="1">
      <c r="A401" s="56" t="str">
        <f t="shared" si="1"/>
        <v/>
      </c>
      <c r="B401" s="56" t="str">
        <f>IFS($C401=FALSE,"",$C401,VLOOKUP($C401,'PATIENT DATA (072721)'!A:C, 2, 0))</f>
        <v/>
      </c>
      <c r="C401" s="57"/>
      <c r="D401" s="127" t="str">
        <f>IF(COUNTIF('PATIENT DATA (072721)'!A:A, C401)=0, "X","✓")</f>
        <v>X</v>
      </c>
      <c r="E401" s="79"/>
      <c r="F401" s="80"/>
      <c r="G401" s="81" t="str">
        <f>ifs($C401="","",$C401, VLOOKUP($C401&amp;$F401, 'MARCH - VISIT DATA'!A:O,3,0))</f>
        <v/>
      </c>
      <c r="H401" s="83"/>
      <c r="I401" s="122" t="str">
        <f>VLOOKUP($C401&amp;$F401,'MARCH - VISIT DATA'!A:J, 9, FALSE)</f>
        <v>#N/A</v>
      </c>
      <c r="J401" s="85" t="str">
        <f>VLOOKUP(C401&amp;F401,'MARCH - VISIT DATA'!A:O,10,FALSE)</f>
        <v>#N/A</v>
      </c>
      <c r="K401" s="86"/>
      <c r="L401" s="86"/>
      <c r="M401" s="86"/>
      <c r="N401" s="86"/>
      <c r="O401" s="121" t="str">
        <f t="shared" si="2"/>
        <v>X</v>
      </c>
      <c r="P401" s="79" t="str">
        <f t="shared" si="3"/>
        <v>#N/A</v>
      </c>
      <c r="Q401" s="123" t="str">
        <f t="shared" si="4"/>
        <v>#N/A</v>
      </c>
      <c r="R401" s="124" t="str">
        <f t="shared" si="5"/>
        <v>#N/A</v>
      </c>
      <c r="S401" s="125" t="str">
        <f t="shared" si="6"/>
        <v>#N/A</v>
      </c>
      <c r="T401" s="125" t="str">
        <f t="shared" si="7"/>
        <v>#N/A</v>
      </c>
      <c r="U401" s="83">
        <f t="shared" si="8"/>
        <v>0</v>
      </c>
      <c r="V401" s="88" t="str">
        <f>ifs($N401="",VLOOKUP($C401&amp;$F401,'MARCH - VISIT DATA'!$A$2:$J600,7,FALSE), $N401="SWAB","OUTSA-RW",$N401="SWQU","OUTSA-SaQu", AND($L401="X",$M401="X",$N401="QUEST"),"OUT-UAQPre",$N401="QUEST","OUT-UAQ", $N401="Walk in","ColUATele")</f>
        <v>#N/A</v>
      </c>
      <c r="W401" s="70" t="str">
        <f t="shared" si="9"/>
        <v>#N/A</v>
      </c>
      <c r="X401" s="64" t="str">
        <f t="shared" si="10"/>
        <v/>
      </c>
      <c r="Y401" s="64" t="str">
        <f t="shared" si="11"/>
        <v/>
      </c>
      <c r="Z401" s="66" t="str">
        <f t="shared" si="12"/>
        <v> </v>
      </c>
      <c r="AA401" s="71"/>
    </row>
    <row r="402" ht="15.75" customHeight="1">
      <c r="A402" s="56" t="str">
        <f t="shared" si="1"/>
        <v/>
      </c>
      <c r="B402" s="56" t="str">
        <f>IFS($C402=FALSE,"",$C402,VLOOKUP($C402,'PATIENT DATA (072721)'!A:C, 2, 0))</f>
        <v/>
      </c>
      <c r="C402" s="57"/>
      <c r="D402" s="127" t="str">
        <f>IF(COUNTIF('PATIENT DATA (072721)'!A:A, C402)=0, "X","✓")</f>
        <v>X</v>
      </c>
      <c r="E402" s="79"/>
      <c r="F402" s="80"/>
      <c r="G402" s="81" t="str">
        <f>ifs($C402="","",$C402, VLOOKUP($C402&amp;$F402, 'MARCH - VISIT DATA'!A:O,3,0))</f>
        <v/>
      </c>
      <c r="H402" s="83"/>
      <c r="I402" s="122" t="str">
        <f>VLOOKUP($C402&amp;$F402,'MARCH - VISIT DATA'!A:J, 9, FALSE)</f>
        <v>#N/A</v>
      </c>
      <c r="J402" s="85" t="str">
        <f>VLOOKUP(C402&amp;F402,'MARCH - VISIT DATA'!A:O,10,FALSE)</f>
        <v>#N/A</v>
      </c>
      <c r="K402" s="86"/>
      <c r="L402" s="86"/>
      <c r="M402" s="86"/>
      <c r="N402" s="86"/>
      <c r="O402" s="121" t="str">
        <f t="shared" si="2"/>
        <v>X</v>
      </c>
      <c r="P402" s="79" t="str">
        <f t="shared" si="3"/>
        <v>#N/A</v>
      </c>
      <c r="Q402" s="123" t="str">
        <f t="shared" si="4"/>
        <v>#N/A</v>
      </c>
      <c r="R402" s="124" t="str">
        <f t="shared" si="5"/>
        <v>#N/A</v>
      </c>
      <c r="S402" s="125" t="str">
        <f t="shared" si="6"/>
        <v>#N/A</v>
      </c>
      <c r="T402" s="125" t="str">
        <f t="shared" si="7"/>
        <v>#N/A</v>
      </c>
      <c r="U402" s="83">
        <f t="shared" si="8"/>
        <v>0</v>
      </c>
      <c r="V402" s="88" t="str">
        <f>ifs($N402="",VLOOKUP($C402&amp;$F402,'MARCH - VISIT DATA'!$A$2:$J600,7,FALSE), $N402="SWAB","OUTSA-RW",$N402="SWQU","OUTSA-SaQu", AND($L402="X",$M402="X",$N402="QUEST"),"OUT-UAQPre",$N402="QUEST","OUT-UAQ", $N402="Walk in","ColUATele")</f>
        <v>#N/A</v>
      </c>
      <c r="W402" s="70" t="str">
        <f t="shared" si="9"/>
        <v>#N/A</v>
      </c>
      <c r="X402" s="64" t="str">
        <f t="shared" si="10"/>
        <v/>
      </c>
      <c r="Y402" s="64" t="str">
        <f t="shared" si="11"/>
        <v/>
      </c>
      <c r="Z402" s="66" t="str">
        <f t="shared" si="12"/>
        <v> </v>
      </c>
      <c r="AA402" s="71"/>
    </row>
    <row r="403" ht="15.75" customHeight="1">
      <c r="A403" s="56" t="str">
        <f t="shared" si="1"/>
        <v/>
      </c>
      <c r="B403" s="56" t="str">
        <f>IFS($C403=FALSE,"",$C403,VLOOKUP($C403,'PATIENT DATA (072721)'!A:C, 2, 0))</f>
        <v/>
      </c>
      <c r="C403" s="57"/>
      <c r="D403" s="127" t="str">
        <f>IF(COUNTIF('PATIENT DATA (072721)'!A:A, C403)=0, "X","✓")</f>
        <v>X</v>
      </c>
      <c r="E403" s="79"/>
      <c r="F403" s="80"/>
      <c r="G403" s="81" t="str">
        <f>ifs($C403="","",$C403, VLOOKUP($C403&amp;$F403, 'MARCH - VISIT DATA'!A:O,3,0))</f>
        <v/>
      </c>
      <c r="H403" s="83"/>
      <c r="I403" s="122" t="str">
        <f>VLOOKUP($C403&amp;$F403,'MARCH - VISIT DATA'!A:J, 9, FALSE)</f>
        <v>#N/A</v>
      </c>
      <c r="J403" s="85" t="str">
        <f>VLOOKUP(C403&amp;F403,'MARCH - VISIT DATA'!A:O,10,FALSE)</f>
        <v>#N/A</v>
      </c>
      <c r="K403" s="86"/>
      <c r="L403" s="86"/>
      <c r="M403" s="86"/>
      <c r="N403" s="86"/>
      <c r="O403" s="121" t="str">
        <f t="shared" si="2"/>
        <v>X</v>
      </c>
      <c r="P403" s="79" t="str">
        <f t="shared" si="3"/>
        <v>#N/A</v>
      </c>
      <c r="Q403" s="123" t="str">
        <f t="shared" si="4"/>
        <v>#N/A</v>
      </c>
      <c r="R403" s="124" t="str">
        <f t="shared" si="5"/>
        <v>#N/A</v>
      </c>
      <c r="S403" s="125" t="str">
        <f t="shared" si="6"/>
        <v>#N/A</v>
      </c>
      <c r="T403" s="125" t="str">
        <f t="shared" si="7"/>
        <v>#N/A</v>
      </c>
      <c r="U403" s="83">
        <f t="shared" si="8"/>
        <v>0</v>
      </c>
      <c r="V403" s="88" t="str">
        <f>ifs($N403="",VLOOKUP($C403&amp;$F403,'MARCH - VISIT DATA'!$A$2:$J600,7,FALSE), $N403="SWAB","OUTSA-RW",$N403="SWQU","OUTSA-SaQu", AND($L403="X",$M403="X",$N403="QUEST"),"OUT-UAQPre",$N403="QUEST","OUT-UAQ", $N403="Walk in","ColUATele")</f>
        <v>#N/A</v>
      </c>
      <c r="W403" s="70" t="str">
        <f t="shared" si="9"/>
        <v>#N/A</v>
      </c>
      <c r="X403" s="64" t="str">
        <f t="shared" si="10"/>
        <v/>
      </c>
      <c r="Y403" s="64" t="str">
        <f t="shared" si="11"/>
        <v/>
      </c>
      <c r="Z403" s="66" t="str">
        <f t="shared" si="12"/>
        <v> </v>
      </c>
      <c r="AA403" s="71"/>
    </row>
    <row r="404" ht="15.75" customHeight="1">
      <c r="A404" s="56" t="str">
        <f t="shared" si="1"/>
        <v/>
      </c>
      <c r="B404" s="56" t="str">
        <f>IFS($C404=FALSE,"",$C404,VLOOKUP($C404,'PATIENT DATA (072721)'!A:C, 2, 0))</f>
        <v/>
      </c>
      <c r="C404" s="57"/>
      <c r="D404" s="127" t="str">
        <f>IF(COUNTIF('PATIENT DATA (072721)'!A:A, C404)=0, "X","✓")</f>
        <v>X</v>
      </c>
      <c r="E404" s="79"/>
      <c r="F404" s="80"/>
      <c r="G404" s="81" t="str">
        <f>ifs($C404="","",$C404, VLOOKUP($C404&amp;$F404, 'MARCH - VISIT DATA'!A:O,3,0))</f>
        <v/>
      </c>
      <c r="H404" s="83"/>
      <c r="I404" s="122" t="str">
        <f>VLOOKUP($C404&amp;$F404,'MARCH - VISIT DATA'!A:J, 9, FALSE)</f>
        <v>#N/A</v>
      </c>
      <c r="J404" s="85" t="str">
        <f>VLOOKUP(C404&amp;F404,'MARCH - VISIT DATA'!A:O,10,FALSE)</f>
        <v>#N/A</v>
      </c>
      <c r="K404" s="86"/>
      <c r="L404" s="86"/>
      <c r="M404" s="86"/>
      <c r="N404" s="86"/>
      <c r="O404" s="121" t="str">
        <f t="shared" si="2"/>
        <v>X</v>
      </c>
      <c r="P404" s="79" t="str">
        <f t="shared" si="3"/>
        <v>#N/A</v>
      </c>
      <c r="Q404" s="123" t="str">
        <f t="shared" si="4"/>
        <v>#N/A</v>
      </c>
      <c r="R404" s="124" t="str">
        <f t="shared" si="5"/>
        <v>#N/A</v>
      </c>
      <c r="S404" s="125" t="str">
        <f t="shared" si="6"/>
        <v>#N/A</v>
      </c>
      <c r="T404" s="125" t="str">
        <f t="shared" si="7"/>
        <v>#N/A</v>
      </c>
      <c r="U404" s="83">
        <f t="shared" si="8"/>
        <v>0</v>
      </c>
      <c r="V404" s="88" t="str">
        <f>ifs($N404="",VLOOKUP($C404&amp;$F404,'MARCH - VISIT DATA'!$A$2:$J600,7,FALSE), $N404="SWAB","OUTSA-RW",$N404="SWQU","OUTSA-SaQu", AND($L404="X",$M404="X",$N404="QUEST"),"OUT-UAQPre",$N404="QUEST","OUT-UAQ", $N404="Walk in","ColUATele")</f>
        <v>#N/A</v>
      </c>
      <c r="W404" s="70" t="str">
        <f t="shared" si="9"/>
        <v>#N/A</v>
      </c>
      <c r="X404" s="64" t="str">
        <f t="shared" si="10"/>
        <v/>
      </c>
      <c r="Y404" s="64" t="str">
        <f t="shared" si="11"/>
        <v/>
      </c>
      <c r="Z404" s="66" t="str">
        <f t="shared" si="12"/>
        <v> </v>
      </c>
      <c r="AA404" s="71"/>
    </row>
    <row r="405" ht="15.75" customHeight="1">
      <c r="A405" s="56" t="str">
        <f t="shared" si="1"/>
        <v/>
      </c>
      <c r="B405" s="56" t="str">
        <f>IFS($C405=FALSE,"",$C405,VLOOKUP($C405,'PATIENT DATA (072721)'!A:C, 2, 0))</f>
        <v/>
      </c>
      <c r="C405" s="57"/>
      <c r="D405" s="127" t="str">
        <f>IF(COUNTIF('PATIENT DATA (072721)'!A:A, C405)=0, "X","✓")</f>
        <v>X</v>
      </c>
      <c r="E405" s="79"/>
      <c r="F405" s="80"/>
      <c r="G405" s="81" t="str">
        <f>ifs($C405="","",$C405, VLOOKUP($C405&amp;$F405, 'MARCH - VISIT DATA'!A:O,3,0))</f>
        <v/>
      </c>
      <c r="H405" s="83"/>
      <c r="I405" s="122" t="str">
        <f>VLOOKUP($C405&amp;$F405,'MARCH - VISIT DATA'!A:J, 9, FALSE)</f>
        <v>#N/A</v>
      </c>
      <c r="J405" s="85" t="str">
        <f>VLOOKUP(C405&amp;F405,'MARCH - VISIT DATA'!A:O,10,FALSE)</f>
        <v>#N/A</v>
      </c>
      <c r="K405" s="86"/>
      <c r="L405" s="86"/>
      <c r="M405" s="86"/>
      <c r="N405" s="86"/>
      <c r="O405" s="121" t="str">
        <f t="shared" si="2"/>
        <v>X</v>
      </c>
      <c r="P405" s="79" t="str">
        <f t="shared" si="3"/>
        <v>#N/A</v>
      </c>
      <c r="Q405" s="123" t="str">
        <f t="shared" si="4"/>
        <v>#N/A</v>
      </c>
      <c r="R405" s="124" t="str">
        <f t="shared" si="5"/>
        <v>#N/A</v>
      </c>
      <c r="S405" s="125" t="str">
        <f t="shared" si="6"/>
        <v>#N/A</v>
      </c>
      <c r="T405" s="125" t="str">
        <f t="shared" si="7"/>
        <v>#N/A</v>
      </c>
      <c r="U405" s="83">
        <f t="shared" si="8"/>
        <v>0</v>
      </c>
      <c r="V405" s="88" t="str">
        <f>ifs($N405="",VLOOKUP($C405&amp;$F405,'MARCH - VISIT DATA'!$A$2:$J600,7,FALSE), $N405="SWAB","OUTSA-RW",$N405="SWQU","OUTSA-SaQu", AND($L405="X",$M405="X",$N405="QUEST"),"OUT-UAQPre",$N405="QUEST","OUT-UAQ", $N405="Walk in","ColUATele")</f>
        <v>#N/A</v>
      </c>
      <c r="W405" s="70" t="str">
        <f t="shared" si="9"/>
        <v>#N/A</v>
      </c>
      <c r="X405" s="64" t="str">
        <f t="shared" si="10"/>
        <v/>
      </c>
      <c r="Y405" s="64" t="str">
        <f t="shared" si="11"/>
        <v/>
      </c>
      <c r="Z405" s="66" t="str">
        <f t="shared" si="12"/>
        <v> </v>
      </c>
      <c r="AA405" s="71"/>
    </row>
    <row r="406" ht="15.75" customHeight="1">
      <c r="A406" s="56" t="str">
        <f t="shared" si="1"/>
        <v/>
      </c>
      <c r="B406" s="56" t="str">
        <f>IFS($C406=FALSE,"",$C406,VLOOKUP($C406,'PATIENT DATA (072721)'!A:C, 2, 0))</f>
        <v/>
      </c>
      <c r="C406" s="57"/>
      <c r="D406" s="127" t="str">
        <f>IF(COUNTIF('PATIENT DATA (072721)'!A:A, C406)=0, "X","✓")</f>
        <v>X</v>
      </c>
      <c r="E406" s="79"/>
      <c r="F406" s="80"/>
      <c r="G406" s="81" t="str">
        <f>ifs($C406="","",$C406, VLOOKUP($C406&amp;$F406, 'MARCH - VISIT DATA'!A:O,3,0))</f>
        <v/>
      </c>
      <c r="H406" s="83"/>
      <c r="I406" s="122" t="str">
        <f>VLOOKUP($C406&amp;$F406,'MARCH - VISIT DATA'!A:J, 9, FALSE)</f>
        <v>#N/A</v>
      </c>
      <c r="J406" s="85" t="str">
        <f>VLOOKUP(C406&amp;F406,'MARCH - VISIT DATA'!A:O,10,FALSE)</f>
        <v>#N/A</v>
      </c>
      <c r="K406" s="86"/>
      <c r="L406" s="86"/>
      <c r="M406" s="86"/>
      <c r="N406" s="86"/>
      <c r="O406" s="121" t="str">
        <f t="shared" si="2"/>
        <v>X</v>
      </c>
      <c r="P406" s="79" t="str">
        <f t="shared" si="3"/>
        <v>#N/A</v>
      </c>
      <c r="Q406" s="123" t="str">
        <f t="shared" si="4"/>
        <v>#N/A</v>
      </c>
      <c r="R406" s="124" t="str">
        <f t="shared" si="5"/>
        <v>#N/A</v>
      </c>
      <c r="S406" s="125" t="str">
        <f t="shared" si="6"/>
        <v>#N/A</v>
      </c>
      <c r="T406" s="125" t="str">
        <f t="shared" si="7"/>
        <v>#N/A</v>
      </c>
      <c r="U406" s="83">
        <f t="shared" si="8"/>
        <v>0</v>
      </c>
      <c r="V406" s="88" t="str">
        <f>ifs($N406="",VLOOKUP($C406&amp;$F406,'MARCH - VISIT DATA'!$A$2:$J600,7,FALSE), $N406="SWAB","OUTSA-RW",$N406="SWQU","OUTSA-SaQu", AND($L406="X",$M406="X",$N406="QUEST"),"OUT-UAQPre",$N406="QUEST","OUT-UAQ", $N406="Walk in","ColUATele")</f>
        <v>#N/A</v>
      </c>
      <c r="W406" s="70" t="str">
        <f t="shared" si="9"/>
        <v>#N/A</v>
      </c>
      <c r="X406" s="64" t="str">
        <f t="shared" si="10"/>
        <v/>
      </c>
      <c r="Y406" s="64" t="str">
        <f t="shared" si="11"/>
        <v/>
      </c>
      <c r="Z406" s="66" t="str">
        <f t="shared" si="12"/>
        <v> </v>
      </c>
      <c r="AA406" s="71"/>
    </row>
    <row r="407" ht="15.75" customHeight="1">
      <c r="A407" s="56" t="str">
        <f t="shared" si="1"/>
        <v/>
      </c>
      <c r="B407" s="56" t="str">
        <f>IFS($C407=FALSE,"",$C407,VLOOKUP($C407,'PATIENT DATA (072721)'!A:C, 2, 0))</f>
        <v/>
      </c>
      <c r="C407" s="57"/>
      <c r="D407" s="127" t="str">
        <f>IF(COUNTIF('PATIENT DATA (072721)'!A:A, C407)=0, "X","✓")</f>
        <v>X</v>
      </c>
      <c r="E407" s="79"/>
      <c r="F407" s="80"/>
      <c r="G407" s="81" t="str">
        <f>ifs($C407="","",$C407, VLOOKUP($C407&amp;$F407, 'MARCH - VISIT DATA'!A:O,3,0))</f>
        <v/>
      </c>
      <c r="H407" s="83"/>
      <c r="I407" s="122" t="str">
        <f>VLOOKUP($C407&amp;$F407,'MARCH - VISIT DATA'!A:J, 9, FALSE)</f>
        <v>#N/A</v>
      </c>
      <c r="J407" s="85" t="str">
        <f>VLOOKUP(C407&amp;F407,'MARCH - VISIT DATA'!A:O,10,FALSE)</f>
        <v>#N/A</v>
      </c>
      <c r="K407" s="86"/>
      <c r="L407" s="86"/>
      <c r="M407" s="86"/>
      <c r="N407" s="86"/>
      <c r="O407" s="121" t="str">
        <f t="shared" si="2"/>
        <v>X</v>
      </c>
      <c r="P407" s="79" t="str">
        <f t="shared" si="3"/>
        <v>#N/A</v>
      </c>
      <c r="Q407" s="123" t="str">
        <f t="shared" si="4"/>
        <v>#N/A</v>
      </c>
      <c r="R407" s="124" t="str">
        <f t="shared" si="5"/>
        <v>#N/A</v>
      </c>
      <c r="S407" s="125" t="str">
        <f t="shared" si="6"/>
        <v>#N/A</v>
      </c>
      <c r="T407" s="125" t="str">
        <f t="shared" si="7"/>
        <v>#N/A</v>
      </c>
      <c r="U407" s="83">
        <f t="shared" si="8"/>
        <v>0</v>
      </c>
      <c r="V407" s="88" t="str">
        <f>ifs($N407="",VLOOKUP($C407&amp;$F407,'MARCH - VISIT DATA'!$A$2:$J600,7,FALSE), $N407="SWAB","OUTSA-RW",$N407="SWQU","OUTSA-SaQu", AND($L407="X",$M407="X",$N407="QUEST"),"OUT-UAQPre",$N407="QUEST","OUT-UAQ", $N407="Walk in","ColUATele")</f>
        <v>#N/A</v>
      </c>
      <c r="W407" s="70" t="str">
        <f t="shared" si="9"/>
        <v>#N/A</v>
      </c>
      <c r="X407" s="64" t="str">
        <f t="shared" si="10"/>
        <v/>
      </c>
      <c r="Y407" s="64" t="str">
        <f t="shared" si="11"/>
        <v/>
      </c>
      <c r="Z407" s="66" t="str">
        <f t="shared" si="12"/>
        <v> </v>
      </c>
      <c r="AA407" s="71"/>
    </row>
    <row r="408" ht="15.75" customHeight="1">
      <c r="A408" s="56" t="str">
        <f t="shared" si="1"/>
        <v/>
      </c>
      <c r="B408" s="56" t="str">
        <f>IFS($C408=FALSE,"",$C408,VLOOKUP($C408,'PATIENT DATA (072721)'!A:C, 2, 0))</f>
        <v/>
      </c>
      <c r="C408" s="57"/>
      <c r="D408" s="127" t="str">
        <f>IF(COUNTIF('PATIENT DATA (072721)'!A:A, C408)=0, "X","✓")</f>
        <v>X</v>
      </c>
      <c r="E408" s="79"/>
      <c r="F408" s="80"/>
      <c r="G408" s="81" t="str">
        <f>ifs($C408="","",$C408, VLOOKUP($C408&amp;$F408, 'MARCH - VISIT DATA'!A:O,3,0))</f>
        <v/>
      </c>
      <c r="H408" s="83"/>
      <c r="I408" s="122" t="str">
        <f>VLOOKUP($C408&amp;$F408,'MARCH - VISIT DATA'!A:J, 9, FALSE)</f>
        <v>#N/A</v>
      </c>
      <c r="J408" s="85" t="str">
        <f>VLOOKUP(C408&amp;F408,'MARCH - VISIT DATA'!A:O,10,FALSE)</f>
        <v>#N/A</v>
      </c>
      <c r="K408" s="86"/>
      <c r="L408" s="86"/>
      <c r="M408" s="86"/>
      <c r="N408" s="86"/>
      <c r="O408" s="121" t="str">
        <f t="shared" si="2"/>
        <v>X</v>
      </c>
      <c r="P408" s="79" t="str">
        <f t="shared" si="3"/>
        <v>#N/A</v>
      </c>
      <c r="Q408" s="123" t="str">
        <f t="shared" si="4"/>
        <v>#N/A</v>
      </c>
      <c r="R408" s="124" t="str">
        <f t="shared" si="5"/>
        <v>#N/A</v>
      </c>
      <c r="S408" s="125" t="str">
        <f t="shared" si="6"/>
        <v>#N/A</v>
      </c>
      <c r="T408" s="125" t="str">
        <f t="shared" si="7"/>
        <v>#N/A</v>
      </c>
      <c r="U408" s="83">
        <f t="shared" si="8"/>
        <v>0</v>
      </c>
      <c r="V408" s="88" t="str">
        <f>ifs($N408="",VLOOKUP($C408&amp;$F408,'MARCH - VISIT DATA'!$A$2:$J600,7,FALSE), $N408="SWAB","OUTSA-RW",$N408="SWQU","OUTSA-SaQu", AND($L408="X",$M408="X",$N408="QUEST"),"OUT-UAQPre",$N408="QUEST","OUT-UAQ", $N408="Walk in","ColUATele")</f>
        <v>#N/A</v>
      </c>
      <c r="W408" s="70" t="str">
        <f t="shared" si="9"/>
        <v>#N/A</v>
      </c>
      <c r="X408" s="64" t="str">
        <f t="shared" si="10"/>
        <v/>
      </c>
      <c r="Y408" s="64" t="str">
        <f t="shared" si="11"/>
        <v/>
      </c>
      <c r="Z408" s="66" t="str">
        <f t="shared" si="12"/>
        <v> </v>
      </c>
      <c r="AA408" s="71"/>
    </row>
    <row r="409" ht="15.75" customHeight="1">
      <c r="A409" s="56" t="str">
        <f t="shared" si="1"/>
        <v/>
      </c>
      <c r="B409" s="56" t="str">
        <f>IFS($C409=FALSE,"",$C409,VLOOKUP($C409,'PATIENT DATA (072721)'!A:C, 2, 0))</f>
        <v/>
      </c>
      <c r="C409" s="57"/>
      <c r="D409" s="127" t="str">
        <f>IF(COUNTIF('PATIENT DATA (072721)'!A:A, C409)=0, "X","✓")</f>
        <v>X</v>
      </c>
      <c r="E409" s="79"/>
      <c r="F409" s="80"/>
      <c r="G409" s="81" t="str">
        <f>ifs($C409="","",$C409, VLOOKUP($C409&amp;$F409, 'MARCH - VISIT DATA'!A:O,3,0))</f>
        <v/>
      </c>
      <c r="H409" s="83"/>
      <c r="I409" s="122" t="str">
        <f>VLOOKUP($C409&amp;$F409,'MARCH - VISIT DATA'!A:J, 9, FALSE)</f>
        <v>#N/A</v>
      </c>
      <c r="J409" s="85" t="str">
        <f>VLOOKUP(C409&amp;F409,'MARCH - VISIT DATA'!A:O,10,FALSE)</f>
        <v>#N/A</v>
      </c>
      <c r="K409" s="86"/>
      <c r="L409" s="86"/>
      <c r="M409" s="86"/>
      <c r="N409" s="86"/>
      <c r="O409" s="121" t="str">
        <f t="shared" si="2"/>
        <v>X</v>
      </c>
      <c r="P409" s="79" t="str">
        <f t="shared" si="3"/>
        <v>#N/A</v>
      </c>
      <c r="Q409" s="123" t="str">
        <f t="shared" si="4"/>
        <v>#N/A</v>
      </c>
      <c r="R409" s="124" t="str">
        <f t="shared" si="5"/>
        <v>#N/A</v>
      </c>
      <c r="S409" s="125" t="str">
        <f t="shared" si="6"/>
        <v>#N/A</v>
      </c>
      <c r="T409" s="125" t="str">
        <f t="shared" si="7"/>
        <v>#N/A</v>
      </c>
      <c r="U409" s="83">
        <f t="shared" si="8"/>
        <v>0</v>
      </c>
      <c r="V409" s="88" t="str">
        <f>ifs($N409="",VLOOKUP($C409&amp;$F409,'MARCH - VISIT DATA'!$A$2:$J600,7,FALSE), $N409="SWAB","OUTSA-RW",$N409="SWQU","OUTSA-SaQu", AND($L409="X",$M409="X",$N409="QUEST"),"OUT-UAQPre",$N409="QUEST","OUT-UAQ", $N409="Walk in","ColUATele")</f>
        <v>#N/A</v>
      </c>
      <c r="W409" s="70" t="str">
        <f t="shared" si="9"/>
        <v>#N/A</v>
      </c>
      <c r="X409" s="64" t="str">
        <f t="shared" si="10"/>
        <v/>
      </c>
      <c r="Y409" s="64" t="str">
        <f t="shared" si="11"/>
        <v/>
      </c>
      <c r="Z409" s="66" t="str">
        <f t="shared" si="12"/>
        <v> </v>
      </c>
      <c r="AA409" s="71"/>
    </row>
    <row r="410" ht="15.75" customHeight="1">
      <c r="A410" s="56" t="str">
        <f t="shared" si="1"/>
        <v/>
      </c>
      <c r="B410" s="56" t="str">
        <f>IFS($C410=FALSE,"",$C410,VLOOKUP($C410,'PATIENT DATA (072721)'!A:C, 2, 0))</f>
        <v/>
      </c>
      <c r="C410" s="57"/>
      <c r="D410" s="127" t="str">
        <f>IF(COUNTIF('PATIENT DATA (072721)'!A:A, C410)=0, "X","✓")</f>
        <v>X</v>
      </c>
      <c r="E410" s="79"/>
      <c r="F410" s="80"/>
      <c r="G410" s="81" t="str">
        <f>ifs($C410="","",$C410, VLOOKUP($C410&amp;$F410, 'MARCH - VISIT DATA'!A:O,3,0))</f>
        <v/>
      </c>
      <c r="H410" s="83"/>
      <c r="I410" s="122" t="str">
        <f>VLOOKUP($C410&amp;$F410,'MARCH - VISIT DATA'!A:J, 9, FALSE)</f>
        <v>#N/A</v>
      </c>
      <c r="J410" s="85" t="str">
        <f>VLOOKUP(C410&amp;F410,'MARCH - VISIT DATA'!A:O,10,FALSE)</f>
        <v>#N/A</v>
      </c>
      <c r="K410" s="86"/>
      <c r="L410" s="86"/>
      <c r="M410" s="86"/>
      <c r="N410" s="86"/>
      <c r="O410" s="121" t="str">
        <f t="shared" si="2"/>
        <v>X</v>
      </c>
      <c r="P410" s="79" t="str">
        <f t="shared" si="3"/>
        <v>#N/A</v>
      </c>
      <c r="Q410" s="123" t="str">
        <f t="shared" si="4"/>
        <v>#N/A</v>
      </c>
      <c r="R410" s="124" t="str">
        <f t="shared" si="5"/>
        <v>#N/A</v>
      </c>
      <c r="S410" s="125" t="str">
        <f t="shared" si="6"/>
        <v>#N/A</v>
      </c>
      <c r="T410" s="125" t="str">
        <f t="shared" si="7"/>
        <v>#N/A</v>
      </c>
      <c r="U410" s="83">
        <f t="shared" si="8"/>
        <v>0</v>
      </c>
      <c r="V410" s="88" t="str">
        <f>ifs($N410="",VLOOKUP($C410&amp;$F410,'MARCH - VISIT DATA'!$A$2:$J600,7,FALSE), $N410="SWAB","OUTSA-RW",$N410="SWQU","OUTSA-SaQu", AND($L410="X",$M410="X",$N410="QUEST"),"OUT-UAQPre",$N410="QUEST","OUT-UAQ", $N410="Walk in","ColUATele")</f>
        <v>#N/A</v>
      </c>
      <c r="W410" s="70" t="str">
        <f t="shared" si="9"/>
        <v>#N/A</v>
      </c>
      <c r="X410" s="64" t="str">
        <f t="shared" si="10"/>
        <v/>
      </c>
      <c r="Y410" s="64" t="str">
        <f t="shared" si="11"/>
        <v/>
      </c>
      <c r="Z410" s="66" t="str">
        <f t="shared" si="12"/>
        <v> </v>
      </c>
      <c r="AA410" s="71"/>
    </row>
    <row r="411" ht="15.75" customHeight="1">
      <c r="A411" s="56" t="str">
        <f t="shared" si="1"/>
        <v/>
      </c>
      <c r="B411" s="56" t="str">
        <f>IFS($C411=FALSE,"",$C411,VLOOKUP($C411,'PATIENT DATA (072721)'!A:C, 2, 0))</f>
        <v/>
      </c>
      <c r="C411" s="57"/>
      <c r="D411" s="127" t="str">
        <f>IF(COUNTIF('PATIENT DATA (072721)'!A:A, C411)=0, "X","✓")</f>
        <v>X</v>
      </c>
      <c r="E411" s="79"/>
      <c r="F411" s="80"/>
      <c r="G411" s="81" t="str">
        <f>ifs($C411="","",$C411, VLOOKUP($C411&amp;$F411, 'MARCH - VISIT DATA'!A:O,3,0))</f>
        <v/>
      </c>
      <c r="H411" s="83"/>
      <c r="I411" s="122" t="str">
        <f>VLOOKUP($C411&amp;$F411,'MARCH - VISIT DATA'!A:J, 9, FALSE)</f>
        <v>#N/A</v>
      </c>
      <c r="J411" s="85" t="str">
        <f>VLOOKUP(C411&amp;F411,'MARCH - VISIT DATA'!A:O,10,FALSE)</f>
        <v>#N/A</v>
      </c>
      <c r="K411" s="86"/>
      <c r="L411" s="86"/>
      <c r="M411" s="86"/>
      <c r="N411" s="86"/>
      <c r="O411" s="121" t="str">
        <f t="shared" si="2"/>
        <v>X</v>
      </c>
      <c r="P411" s="79" t="str">
        <f t="shared" si="3"/>
        <v>#N/A</v>
      </c>
      <c r="Q411" s="123" t="str">
        <f t="shared" si="4"/>
        <v>#N/A</v>
      </c>
      <c r="R411" s="124" t="str">
        <f t="shared" si="5"/>
        <v>#N/A</v>
      </c>
      <c r="S411" s="125" t="str">
        <f t="shared" si="6"/>
        <v>#N/A</v>
      </c>
      <c r="T411" s="125" t="str">
        <f t="shared" si="7"/>
        <v>#N/A</v>
      </c>
      <c r="U411" s="83">
        <f t="shared" si="8"/>
        <v>0</v>
      </c>
      <c r="V411" s="88" t="str">
        <f>ifs($N411="",VLOOKUP($C411&amp;$F411,'MARCH - VISIT DATA'!$A$2:$J600,7,FALSE), $N411="SWAB","OUTSA-RW",$N411="SWQU","OUTSA-SaQu", AND($L411="X",$M411="X",$N411="QUEST"),"OUT-UAQPre",$N411="QUEST","OUT-UAQ", $N411="Walk in","ColUATele")</f>
        <v>#N/A</v>
      </c>
      <c r="W411" s="70" t="str">
        <f t="shared" si="9"/>
        <v>#N/A</v>
      </c>
      <c r="X411" s="64" t="str">
        <f t="shared" si="10"/>
        <v/>
      </c>
      <c r="Y411" s="64" t="str">
        <f t="shared" si="11"/>
        <v/>
      </c>
      <c r="Z411" s="66" t="str">
        <f t="shared" si="12"/>
        <v> </v>
      </c>
      <c r="AA411" s="71"/>
    </row>
    <row r="412" ht="15.75" customHeight="1">
      <c r="A412" s="56" t="str">
        <f t="shared" si="1"/>
        <v/>
      </c>
      <c r="B412" s="56" t="str">
        <f>IFS($C412=FALSE,"",$C412,VLOOKUP($C412,'PATIENT DATA (072721)'!A:C, 2, 0))</f>
        <v/>
      </c>
      <c r="C412" s="57"/>
      <c r="D412" s="127" t="str">
        <f>IF(COUNTIF('PATIENT DATA (072721)'!A:A, C412)=0, "X","✓")</f>
        <v>X</v>
      </c>
      <c r="E412" s="79"/>
      <c r="F412" s="80"/>
      <c r="G412" s="81" t="str">
        <f>ifs($C412="","",$C412, VLOOKUP($C412&amp;$F412, 'MARCH - VISIT DATA'!A:O,3,0))</f>
        <v/>
      </c>
      <c r="H412" s="83"/>
      <c r="I412" s="122" t="str">
        <f>VLOOKUP($C412&amp;$F412,'MARCH - VISIT DATA'!A:J, 9, FALSE)</f>
        <v>#N/A</v>
      </c>
      <c r="J412" s="85" t="str">
        <f>VLOOKUP(C412&amp;F412,'MARCH - VISIT DATA'!A:O,10,FALSE)</f>
        <v>#N/A</v>
      </c>
      <c r="K412" s="86"/>
      <c r="L412" s="86"/>
      <c r="M412" s="86"/>
      <c r="N412" s="86"/>
      <c r="O412" s="121" t="str">
        <f t="shared" si="2"/>
        <v>X</v>
      </c>
      <c r="P412" s="79" t="str">
        <f t="shared" si="3"/>
        <v>#N/A</v>
      </c>
      <c r="Q412" s="123" t="str">
        <f t="shared" si="4"/>
        <v>#N/A</v>
      </c>
      <c r="R412" s="124" t="str">
        <f t="shared" si="5"/>
        <v>#N/A</v>
      </c>
      <c r="S412" s="125" t="str">
        <f t="shared" si="6"/>
        <v>#N/A</v>
      </c>
      <c r="T412" s="125" t="str">
        <f t="shared" si="7"/>
        <v>#N/A</v>
      </c>
      <c r="U412" s="83">
        <f t="shared" si="8"/>
        <v>0</v>
      </c>
      <c r="V412" s="88" t="str">
        <f>ifs($N412="",VLOOKUP($C412&amp;$F412,'MARCH - VISIT DATA'!$A$2:$J600,7,FALSE), $N412="SWAB","OUTSA-RW",$N412="SWQU","OUTSA-SaQu", AND($L412="X",$M412="X",$N412="QUEST"),"OUT-UAQPre",$N412="QUEST","OUT-UAQ", $N412="Walk in","ColUATele")</f>
        <v>#N/A</v>
      </c>
      <c r="W412" s="70" t="str">
        <f t="shared" si="9"/>
        <v>#N/A</v>
      </c>
      <c r="X412" s="64" t="str">
        <f t="shared" si="10"/>
        <v/>
      </c>
      <c r="Y412" s="64" t="str">
        <f t="shared" si="11"/>
        <v/>
      </c>
      <c r="Z412" s="66" t="str">
        <f t="shared" si="12"/>
        <v> </v>
      </c>
      <c r="AA412" s="71"/>
    </row>
    <row r="413" ht="15.75" customHeight="1">
      <c r="A413" s="56" t="str">
        <f t="shared" si="1"/>
        <v/>
      </c>
      <c r="B413" s="56" t="str">
        <f>IFS($C413=FALSE,"",$C413,VLOOKUP($C413,'PATIENT DATA (072721)'!A:C, 2, 0))</f>
        <v/>
      </c>
      <c r="C413" s="57"/>
      <c r="D413" s="127" t="str">
        <f>IF(COUNTIF('PATIENT DATA (072721)'!A:A, C413)=0, "X","✓")</f>
        <v>X</v>
      </c>
      <c r="E413" s="79"/>
      <c r="F413" s="80"/>
      <c r="G413" s="81" t="str">
        <f>ifs($C413="","",$C413, VLOOKUP($C413&amp;$F413, 'MARCH - VISIT DATA'!A:O,3,0))</f>
        <v/>
      </c>
      <c r="H413" s="83"/>
      <c r="I413" s="122" t="str">
        <f>VLOOKUP($C413&amp;$F413,'MARCH - VISIT DATA'!A:J, 9, FALSE)</f>
        <v>#N/A</v>
      </c>
      <c r="J413" s="85" t="str">
        <f>VLOOKUP(C413&amp;F413,'MARCH - VISIT DATA'!A:O,10,FALSE)</f>
        <v>#N/A</v>
      </c>
      <c r="K413" s="86"/>
      <c r="L413" s="86"/>
      <c r="M413" s="86"/>
      <c r="N413" s="86"/>
      <c r="O413" s="121" t="str">
        <f t="shared" si="2"/>
        <v>X</v>
      </c>
      <c r="P413" s="79" t="str">
        <f t="shared" si="3"/>
        <v>#N/A</v>
      </c>
      <c r="Q413" s="123" t="str">
        <f t="shared" si="4"/>
        <v>#N/A</v>
      </c>
      <c r="R413" s="124" t="str">
        <f t="shared" si="5"/>
        <v>#N/A</v>
      </c>
      <c r="S413" s="125" t="str">
        <f t="shared" si="6"/>
        <v>#N/A</v>
      </c>
      <c r="T413" s="125" t="str">
        <f t="shared" si="7"/>
        <v>#N/A</v>
      </c>
      <c r="U413" s="83">
        <f t="shared" si="8"/>
        <v>0</v>
      </c>
      <c r="V413" s="88" t="str">
        <f>ifs($N413="",VLOOKUP($C413&amp;$F413,'MARCH - VISIT DATA'!$A$2:$J600,7,FALSE), $N413="SWAB","OUTSA-RW",$N413="SWQU","OUTSA-SaQu", AND($L413="X",$M413="X",$N413="QUEST"),"OUT-UAQPre",$N413="QUEST","OUT-UAQ", $N413="Walk in","ColUATele")</f>
        <v>#N/A</v>
      </c>
      <c r="W413" s="70" t="str">
        <f t="shared" si="9"/>
        <v>#N/A</v>
      </c>
      <c r="X413" s="64" t="str">
        <f t="shared" si="10"/>
        <v/>
      </c>
      <c r="Y413" s="64" t="str">
        <f t="shared" si="11"/>
        <v/>
      </c>
      <c r="Z413" s="66" t="str">
        <f t="shared" si="12"/>
        <v> </v>
      </c>
      <c r="AA413" s="71"/>
    </row>
    <row r="414" ht="15.75" customHeight="1">
      <c r="A414" s="56" t="str">
        <f t="shared" si="1"/>
        <v/>
      </c>
      <c r="B414" s="56" t="str">
        <f>IFS($C414=FALSE,"",$C414,VLOOKUP($C414,'PATIENT DATA (072721)'!A:C, 2, 0))</f>
        <v/>
      </c>
      <c r="C414" s="57"/>
      <c r="D414" s="127" t="str">
        <f>IF(COUNTIF('PATIENT DATA (072721)'!A:A, C414)=0, "X","✓")</f>
        <v>X</v>
      </c>
      <c r="E414" s="79"/>
      <c r="F414" s="80"/>
      <c r="G414" s="81" t="str">
        <f>ifs($C414="","",$C414, VLOOKUP($C414&amp;$F414, 'MARCH - VISIT DATA'!A:O,3,0))</f>
        <v/>
      </c>
      <c r="H414" s="83"/>
      <c r="I414" s="122" t="str">
        <f>VLOOKUP($C414&amp;$F414,'MARCH - VISIT DATA'!A:J, 9, FALSE)</f>
        <v>#N/A</v>
      </c>
      <c r="J414" s="85" t="str">
        <f>VLOOKUP(C414&amp;F414,'MARCH - VISIT DATA'!A:O,10,FALSE)</f>
        <v>#N/A</v>
      </c>
      <c r="K414" s="86"/>
      <c r="L414" s="86"/>
      <c r="M414" s="86"/>
      <c r="N414" s="86"/>
      <c r="O414" s="121" t="str">
        <f t="shared" si="2"/>
        <v>X</v>
      </c>
      <c r="P414" s="79" t="str">
        <f t="shared" si="3"/>
        <v>#N/A</v>
      </c>
      <c r="Q414" s="123" t="str">
        <f t="shared" si="4"/>
        <v>#N/A</v>
      </c>
      <c r="R414" s="124" t="str">
        <f t="shared" si="5"/>
        <v>#N/A</v>
      </c>
      <c r="S414" s="125" t="str">
        <f t="shared" si="6"/>
        <v>#N/A</v>
      </c>
      <c r="T414" s="125" t="str">
        <f t="shared" si="7"/>
        <v>#N/A</v>
      </c>
      <c r="U414" s="83">
        <f t="shared" si="8"/>
        <v>0</v>
      </c>
      <c r="V414" s="88" t="str">
        <f>ifs($N414="",VLOOKUP($C414&amp;$F414,'MARCH - VISIT DATA'!$A$2:$J600,7,FALSE), $N414="SWAB","OUTSA-RW",$N414="SWQU","OUTSA-SaQu", AND($L414="X",$M414="X",$N414="QUEST"),"OUT-UAQPre",$N414="QUEST","OUT-UAQ", $N414="Walk in","ColUATele")</f>
        <v>#N/A</v>
      </c>
      <c r="W414" s="70" t="str">
        <f t="shared" si="9"/>
        <v>#N/A</v>
      </c>
      <c r="X414" s="64" t="str">
        <f t="shared" si="10"/>
        <v/>
      </c>
      <c r="Y414" s="64" t="str">
        <f t="shared" si="11"/>
        <v/>
      </c>
      <c r="Z414" s="66" t="str">
        <f t="shared" si="12"/>
        <v> </v>
      </c>
      <c r="AA414" s="71"/>
    </row>
    <row r="415" ht="15.75" customHeight="1">
      <c r="A415" s="56" t="str">
        <f t="shared" si="1"/>
        <v/>
      </c>
      <c r="B415" s="56" t="str">
        <f>IFS($C415=FALSE,"",$C415,VLOOKUP($C415,'PATIENT DATA (072721)'!A:C, 2, 0))</f>
        <v/>
      </c>
      <c r="C415" s="57"/>
      <c r="D415" s="127" t="str">
        <f>IF(COUNTIF('PATIENT DATA (072721)'!A:A, C415)=0, "X","✓")</f>
        <v>X</v>
      </c>
      <c r="E415" s="79"/>
      <c r="F415" s="80"/>
      <c r="G415" s="81" t="str">
        <f>ifs($C415="","",$C415, VLOOKUP($C415&amp;$F415, 'MARCH - VISIT DATA'!A:O,3,0))</f>
        <v/>
      </c>
      <c r="H415" s="83"/>
      <c r="I415" s="122" t="str">
        <f>VLOOKUP($C415&amp;$F415,'MARCH - VISIT DATA'!A:J, 9, FALSE)</f>
        <v>#N/A</v>
      </c>
      <c r="J415" s="85" t="str">
        <f>VLOOKUP(C415&amp;F415,'MARCH - VISIT DATA'!A:O,10,FALSE)</f>
        <v>#N/A</v>
      </c>
      <c r="K415" s="86"/>
      <c r="L415" s="86"/>
      <c r="M415" s="86"/>
      <c r="N415" s="86"/>
      <c r="O415" s="121" t="str">
        <f t="shared" si="2"/>
        <v>X</v>
      </c>
      <c r="P415" s="79" t="str">
        <f t="shared" si="3"/>
        <v>#N/A</v>
      </c>
      <c r="Q415" s="123" t="str">
        <f t="shared" si="4"/>
        <v>#N/A</v>
      </c>
      <c r="R415" s="124" t="str">
        <f t="shared" si="5"/>
        <v>#N/A</v>
      </c>
      <c r="S415" s="125" t="str">
        <f t="shared" si="6"/>
        <v>#N/A</v>
      </c>
      <c r="T415" s="125" t="str">
        <f t="shared" si="7"/>
        <v>#N/A</v>
      </c>
      <c r="U415" s="83">
        <f t="shared" si="8"/>
        <v>0</v>
      </c>
      <c r="V415" s="88" t="str">
        <f>ifs($N415="",VLOOKUP($C415&amp;$F415,'MARCH - VISIT DATA'!$A$2:$J600,7,FALSE), $N415="SWAB","OUTSA-RW",$N415="SWQU","OUTSA-SaQu", AND($L415="X",$M415="X",$N415="QUEST"),"OUT-UAQPre",$N415="QUEST","OUT-UAQ", $N415="Walk in","ColUATele")</f>
        <v>#N/A</v>
      </c>
      <c r="W415" s="70" t="str">
        <f t="shared" si="9"/>
        <v>#N/A</v>
      </c>
      <c r="X415" s="64" t="str">
        <f t="shared" si="10"/>
        <v/>
      </c>
      <c r="Y415" s="64" t="str">
        <f t="shared" si="11"/>
        <v/>
      </c>
      <c r="Z415" s="66" t="str">
        <f t="shared" si="12"/>
        <v> </v>
      </c>
      <c r="AA415" s="71"/>
    </row>
    <row r="416" ht="15.75" customHeight="1">
      <c r="A416" s="56" t="str">
        <f t="shared" si="1"/>
        <v/>
      </c>
      <c r="B416" s="56" t="str">
        <f>IFS($C416=FALSE,"",$C416,VLOOKUP($C416,'PATIENT DATA (072721)'!A:C, 2, 0))</f>
        <v/>
      </c>
      <c r="C416" s="57"/>
      <c r="D416" s="127" t="str">
        <f>IF(COUNTIF('PATIENT DATA (072721)'!A:A, C416)=0, "X","✓")</f>
        <v>X</v>
      </c>
      <c r="E416" s="79"/>
      <c r="F416" s="80"/>
      <c r="G416" s="81" t="str">
        <f>ifs($C416="","",$C416, VLOOKUP($C416&amp;$F416, 'MARCH - VISIT DATA'!A:O,3,0))</f>
        <v/>
      </c>
      <c r="H416" s="83"/>
      <c r="I416" s="122" t="str">
        <f>VLOOKUP($C416&amp;$F416,'MARCH - VISIT DATA'!A:J, 9, FALSE)</f>
        <v>#N/A</v>
      </c>
      <c r="J416" s="85" t="str">
        <f>VLOOKUP(C416&amp;F416,'MARCH - VISIT DATA'!A:O,10,FALSE)</f>
        <v>#N/A</v>
      </c>
      <c r="K416" s="86"/>
      <c r="L416" s="86"/>
      <c r="M416" s="86"/>
      <c r="N416" s="86"/>
      <c r="O416" s="121" t="str">
        <f t="shared" si="2"/>
        <v>X</v>
      </c>
      <c r="P416" s="79" t="str">
        <f t="shared" si="3"/>
        <v>#N/A</v>
      </c>
      <c r="Q416" s="123" t="str">
        <f t="shared" si="4"/>
        <v>#N/A</v>
      </c>
      <c r="R416" s="124" t="str">
        <f t="shared" si="5"/>
        <v>#N/A</v>
      </c>
      <c r="S416" s="125" t="str">
        <f t="shared" si="6"/>
        <v>#N/A</v>
      </c>
      <c r="T416" s="125" t="str">
        <f t="shared" si="7"/>
        <v>#N/A</v>
      </c>
      <c r="U416" s="83">
        <f t="shared" si="8"/>
        <v>0</v>
      </c>
      <c r="V416" s="88" t="str">
        <f>ifs($N416="",VLOOKUP($C416&amp;$F416,'MARCH - VISIT DATA'!$A$2:$J600,7,FALSE), $N416="SWAB","OUTSA-RW",$N416="SWQU","OUTSA-SaQu", AND($L416="X",$M416="X",$N416="QUEST"),"OUT-UAQPre",$N416="QUEST","OUT-UAQ", $N416="Walk in","ColUATele")</f>
        <v>#N/A</v>
      </c>
      <c r="W416" s="70" t="str">
        <f t="shared" si="9"/>
        <v>#N/A</v>
      </c>
      <c r="X416" s="64" t="str">
        <f t="shared" si="10"/>
        <v/>
      </c>
      <c r="Y416" s="64" t="str">
        <f t="shared" si="11"/>
        <v/>
      </c>
      <c r="Z416" s="66" t="str">
        <f t="shared" si="12"/>
        <v> </v>
      </c>
      <c r="AA416" s="71"/>
    </row>
    <row r="417" ht="15.75" customHeight="1">
      <c r="A417" s="56" t="str">
        <f t="shared" si="1"/>
        <v/>
      </c>
      <c r="B417" s="56" t="str">
        <f>IFS($C417=FALSE,"",$C417,VLOOKUP($C417,'PATIENT DATA (072721)'!A:C, 2, 0))</f>
        <v/>
      </c>
      <c r="C417" s="57"/>
      <c r="D417" s="127" t="str">
        <f>IF(COUNTIF('PATIENT DATA (072721)'!A:A, C417)=0, "X","✓")</f>
        <v>X</v>
      </c>
      <c r="E417" s="79"/>
      <c r="F417" s="80"/>
      <c r="G417" s="81" t="str">
        <f>ifs($C417="","",$C417, VLOOKUP($C417&amp;$F417, 'MARCH - VISIT DATA'!A:O,3,0))</f>
        <v/>
      </c>
      <c r="H417" s="83"/>
      <c r="I417" s="122" t="str">
        <f>VLOOKUP($C417&amp;$F417,'MARCH - VISIT DATA'!A:J, 9, FALSE)</f>
        <v>#N/A</v>
      </c>
      <c r="J417" s="85" t="str">
        <f>VLOOKUP(C417&amp;F417,'MARCH - VISIT DATA'!A:O,10,FALSE)</f>
        <v>#N/A</v>
      </c>
      <c r="K417" s="86"/>
      <c r="L417" s="86"/>
      <c r="M417" s="86"/>
      <c r="N417" s="86"/>
      <c r="O417" s="121" t="str">
        <f t="shared" si="2"/>
        <v>X</v>
      </c>
      <c r="P417" s="79" t="str">
        <f t="shared" si="3"/>
        <v>#N/A</v>
      </c>
      <c r="Q417" s="123" t="str">
        <f t="shared" si="4"/>
        <v>#N/A</v>
      </c>
      <c r="R417" s="124" t="str">
        <f t="shared" si="5"/>
        <v>#N/A</v>
      </c>
      <c r="S417" s="125" t="str">
        <f t="shared" si="6"/>
        <v>#N/A</v>
      </c>
      <c r="T417" s="125" t="str">
        <f t="shared" si="7"/>
        <v>#N/A</v>
      </c>
      <c r="U417" s="83">
        <f t="shared" si="8"/>
        <v>0</v>
      </c>
      <c r="V417" s="88" t="str">
        <f>ifs($N417="",VLOOKUP($C417&amp;$F417,'MARCH - VISIT DATA'!$A$2:$J600,7,FALSE), $N417="SWAB","OUTSA-RW",$N417="SWQU","OUTSA-SaQu", AND($L417="X",$M417="X",$N417="QUEST"),"OUT-UAQPre",$N417="QUEST","OUT-UAQ", $N417="Walk in","ColUATele")</f>
        <v>#N/A</v>
      </c>
      <c r="W417" s="70" t="str">
        <f t="shared" si="9"/>
        <v>#N/A</v>
      </c>
      <c r="X417" s="64" t="str">
        <f t="shared" si="10"/>
        <v/>
      </c>
      <c r="Y417" s="64" t="str">
        <f t="shared" si="11"/>
        <v/>
      </c>
      <c r="Z417" s="66" t="str">
        <f t="shared" si="12"/>
        <v> </v>
      </c>
      <c r="AA417" s="71"/>
    </row>
    <row r="418" ht="15.75" customHeight="1">
      <c r="A418" s="56" t="str">
        <f t="shared" si="1"/>
        <v/>
      </c>
      <c r="B418" s="56" t="str">
        <f>IFS($C418=FALSE,"",$C418,VLOOKUP($C418,'PATIENT DATA (072721)'!A:C, 2, 0))</f>
        <v/>
      </c>
      <c r="C418" s="57"/>
      <c r="D418" s="127" t="str">
        <f>IF(COUNTIF('PATIENT DATA (072721)'!A:A, C418)=0, "X","✓")</f>
        <v>X</v>
      </c>
      <c r="E418" s="79"/>
      <c r="F418" s="80"/>
      <c r="G418" s="81" t="str">
        <f>ifs($C418="","",$C418, VLOOKUP($C418&amp;$F418, 'MARCH - VISIT DATA'!A:O,3,0))</f>
        <v/>
      </c>
      <c r="H418" s="83"/>
      <c r="I418" s="122" t="str">
        <f>VLOOKUP($C418&amp;$F418,'MARCH - VISIT DATA'!A:J, 9, FALSE)</f>
        <v>#N/A</v>
      </c>
      <c r="J418" s="85" t="str">
        <f>VLOOKUP(C418&amp;F418,'MARCH - VISIT DATA'!A:O,10,FALSE)</f>
        <v>#N/A</v>
      </c>
      <c r="K418" s="86"/>
      <c r="L418" s="86"/>
      <c r="M418" s="86"/>
      <c r="N418" s="86"/>
      <c r="O418" s="121" t="str">
        <f t="shared" si="2"/>
        <v>X</v>
      </c>
      <c r="P418" s="79" t="str">
        <f t="shared" si="3"/>
        <v>#N/A</v>
      </c>
      <c r="Q418" s="123" t="str">
        <f t="shared" si="4"/>
        <v>#N/A</v>
      </c>
      <c r="R418" s="124" t="str">
        <f t="shared" si="5"/>
        <v>#N/A</v>
      </c>
      <c r="S418" s="125" t="str">
        <f t="shared" si="6"/>
        <v>#N/A</v>
      </c>
      <c r="T418" s="125" t="str">
        <f t="shared" si="7"/>
        <v>#N/A</v>
      </c>
      <c r="U418" s="83">
        <f t="shared" si="8"/>
        <v>0</v>
      </c>
      <c r="V418" s="88" t="str">
        <f>ifs($N418="",VLOOKUP($C418&amp;$F418,'MARCH - VISIT DATA'!$A$2:$J600,7,FALSE), $N418="SWAB","OUTSA-RW",$N418="SWQU","OUTSA-SaQu", AND($L418="X",$M418="X",$N418="QUEST"),"OUT-UAQPre",$N418="QUEST","OUT-UAQ", $N418="Walk in","ColUATele")</f>
        <v>#N/A</v>
      </c>
      <c r="W418" s="70" t="str">
        <f t="shared" si="9"/>
        <v>#N/A</v>
      </c>
      <c r="X418" s="64" t="str">
        <f t="shared" si="10"/>
        <v/>
      </c>
      <c r="Y418" s="64" t="str">
        <f t="shared" si="11"/>
        <v/>
      </c>
      <c r="Z418" s="66" t="str">
        <f t="shared" si="12"/>
        <v> </v>
      </c>
      <c r="AA418" s="71"/>
    </row>
    <row r="419" ht="15.75" customHeight="1">
      <c r="A419" s="56" t="str">
        <f t="shared" si="1"/>
        <v/>
      </c>
      <c r="B419" s="56" t="str">
        <f>IFS($C419=FALSE,"",$C419,VLOOKUP($C419,'PATIENT DATA (072721)'!A:C, 2, 0))</f>
        <v/>
      </c>
      <c r="C419" s="57"/>
      <c r="D419" s="127" t="str">
        <f>IF(COUNTIF('PATIENT DATA (072721)'!A:A, C419)=0, "X","✓")</f>
        <v>X</v>
      </c>
      <c r="E419" s="79"/>
      <c r="F419" s="80"/>
      <c r="G419" s="81" t="str">
        <f>ifs($C419="","",$C419, VLOOKUP($C419&amp;$F419, 'MARCH - VISIT DATA'!A:O,3,0))</f>
        <v/>
      </c>
      <c r="H419" s="83"/>
      <c r="I419" s="122" t="str">
        <f>VLOOKUP($C419&amp;$F419,'MARCH - VISIT DATA'!A:J, 9, FALSE)</f>
        <v>#N/A</v>
      </c>
      <c r="J419" s="85" t="str">
        <f>VLOOKUP(C419&amp;F419,'MARCH - VISIT DATA'!A:O,10,FALSE)</f>
        <v>#N/A</v>
      </c>
      <c r="K419" s="86"/>
      <c r="L419" s="86"/>
      <c r="M419" s="86"/>
      <c r="N419" s="86"/>
      <c r="O419" s="121" t="str">
        <f t="shared" si="2"/>
        <v>X</v>
      </c>
      <c r="P419" s="79" t="str">
        <f t="shared" si="3"/>
        <v>#N/A</v>
      </c>
      <c r="Q419" s="123" t="str">
        <f t="shared" si="4"/>
        <v>#N/A</v>
      </c>
      <c r="R419" s="124" t="str">
        <f t="shared" si="5"/>
        <v>#N/A</v>
      </c>
      <c r="S419" s="125" t="str">
        <f t="shared" si="6"/>
        <v>#N/A</v>
      </c>
      <c r="T419" s="125" t="str">
        <f t="shared" si="7"/>
        <v>#N/A</v>
      </c>
      <c r="U419" s="83">
        <f t="shared" si="8"/>
        <v>0</v>
      </c>
      <c r="V419" s="88" t="str">
        <f>ifs($N419="",VLOOKUP($C419&amp;$F419,'MARCH - VISIT DATA'!$A$2:$J600,7,FALSE), $N419="SWAB","OUTSA-RW",$N419="SWQU","OUTSA-SaQu", AND($L419="X",$M419="X",$N419="QUEST"),"OUT-UAQPre",$N419="QUEST","OUT-UAQ", $N419="Walk in","ColUATele")</f>
        <v>#N/A</v>
      </c>
      <c r="W419" s="70" t="str">
        <f t="shared" si="9"/>
        <v>#N/A</v>
      </c>
      <c r="X419" s="64" t="str">
        <f t="shared" si="10"/>
        <v/>
      </c>
      <c r="Y419" s="64" t="str">
        <f t="shared" si="11"/>
        <v/>
      </c>
      <c r="Z419" s="66" t="str">
        <f t="shared" si="12"/>
        <v> </v>
      </c>
      <c r="AA419" s="71"/>
    </row>
    <row r="420" ht="15.75" customHeight="1">
      <c r="A420" s="56" t="str">
        <f t="shared" si="1"/>
        <v/>
      </c>
      <c r="B420" s="56" t="str">
        <f>IFS($C420=FALSE,"",$C420,VLOOKUP($C420,'PATIENT DATA (072721)'!A:C, 2, 0))</f>
        <v/>
      </c>
      <c r="C420" s="57"/>
      <c r="D420" s="127" t="str">
        <f>IF(COUNTIF('PATIENT DATA (072721)'!A:A, C420)=0, "X","✓")</f>
        <v>X</v>
      </c>
      <c r="E420" s="79"/>
      <c r="F420" s="80"/>
      <c r="G420" s="81" t="str">
        <f>ifs($C420="","",$C420, VLOOKUP($C420&amp;$F420, 'MARCH - VISIT DATA'!A:O,3,0))</f>
        <v/>
      </c>
      <c r="H420" s="83"/>
      <c r="I420" s="122" t="str">
        <f>VLOOKUP($C420&amp;$F420,'MARCH - VISIT DATA'!A:J, 9, FALSE)</f>
        <v>#N/A</v>
      </c>
      <c r="J420" s="85" t="str">
        <f>VLOOKUP(C420&amp;F420,'MARCH - VISIT DATA'!A:O,10,FALSE)</f>
        <v>#N/A</v>
      </c>
      <c r="K420" s="86"/>
      <c r="L420" s="86"/>
      <c r="M420" s="86"/>
      <c r="N420" s="86"/>
      <c r="O420" s="121" t="str">
        <f t="shared" si="2"/>
        <v>X</v>
      </c>
      <c r="P420" s="79" t="str">
        <f t="shared" si="3"/>
        <v>#N/A</v>
      </c>
      <c r="Q420" s="123" t="str">
        <f t="shared" si="4"/>
        <v>#N/A</v>
      </c>
      <c r="R420" s="124" t="str">
        <f t="shared" si="5"/>
        <v>#N/A</v>
      </c>
      <c r="S420" s="125" t="str">
        <f t="shared" si="6"/>
        <v>#N/A</v>
      </c>
      <c r="T420" s="125" t="str">
        <f t="shared" si="7"/>
        <v>#N/A</v>
      </c>
      <c r="U420" s="83">
        <f t="shared" si="8"/>
        <v>0</v>
      </c>
      <c r="V420" s="88" t="str">
        <f>ifs($N420="",VLOOKUP($C420&amp;$F420,'MARCH - VISIT DATA'!$A$2:$J600,7,FALSE), $N420="SWAB","OUTSA-RW",$N420="SWQU","OUTSA-SaQu", AND($L420="X",$M420="X",$N420="QUEST"),"OUT-UAQPre",$N420="QUEST","OUT-UAQ", $N420="Walk in","ColUATele")</f>
        <v>#N/A</v>
      </c>
      <c r="W420" s="70" t="str">
        <f t="shared" si="9"/>
        <v>#N/A</v>
      </c>
      <c r="X420" s="64" t="str">
        <f t="shared" si="10"/>
        <v/>
      </c>
      <c r="Y420" s="64" t="str">
        <f t="shared" si="11"/>
        <v/>
      </c>
      <c r="Z420" s="66" t="str">
        <f t="shared" si="12"/>
        <v> </v>
      </c>
      <c r="AA420" s="71"/>
    </row>
    <row r="421" ht="15.75" customHeight="1">
      <c r="A421" s="56" t="str">
        <f t="shared" si="1"/>
        <v/>
      </c>
      <c r="B421" s="56" t="str">
        <f>IFS($C421=FALSE,"",$C421,VLOOKUP($C421,'PATIENT DATA (072721)'!A:C, 2, 0))</f>
        <v/>
      </c>
      <c r="C421" s="57"/>
      <c r="D421" s="127" t="str">
        <f>IF(COUNTIF('PATIENT DATA (072721)'!A:A, C421)=0, "X","✓")</f>
        <v>X</v>
      </c>
      <c r="E421" s="79"/>
      <c r="F421" s="80"/>
      <c r="G421" s="81" t="str">
        <f>ifs($C421="","",$C421, VLOOKUP($C421&amp;$F421, 'MARCH - VISIT DATA'!A:O,3,0))</f>
        <v/>
      </c>
      <c r="H421" s="83"/>
      <c r="I421" s="122" t="str">
        <f>VLOOKUP($C421&amp;$F421,'MARCH - VISIT DATA'!A:J, 9, FALSE)</f>
        <v>#N/A</v>
      </c>
      <c r="J421" s="85" t="str">
        <f>VLOOKUP(C421&amp;F421,'MARCH - VISIT DATA'!A:O,10,FALSE)</f>
        <v>#N/A</v>
      </c>
      <c r="K421" s="86"/>
      <c r="L421" s="86"/>
      <c r="M421" s="86"/>
      <c r="N421" s="86"/>
      <c r="O421" s="121" t="str">
        <f t="shared" si="2"/>
        <v>X</v>
      </c>
      <c r="P421" s="79" t="str">
        <f t="shared" si="3"/>
        <v>#N/A</v>
      </c>
      <c r="Q421" s="123" t="str">
        <f t="shared" si="4"/>
        <v>#N/A</v>
      </c>
      <c r="R421" s="124" t="str">
        <f t="shared" si="5"/>
        <v>#N/A</v>
      </c>
      <c r="S421" s="125" t="str">
        <f t="shared" si="6"/>
        <v>#N/A</v>
      </c>
      <c r="T421" s="125" t="str">
        <f t="shared" si="7"/>
        <v>#N/A</v>
      </c>
      <c r="U421" s="83">
        <f t="shared" si="8"/>
        <v>0</v>
      </c>
      <c r="V421" s="88" t="str">
        <f>ifs($N421="",VLOOKUP($C421&amp;$F421,'MARCH - VISIT DATA'!$A$2:$J600,7,FALSE), $N421="SWAB","OUTSA-RW",$N421="SWQU","OUTSA-SaQu", AND($L421="X",$M421="X",$N421="QUEST"),"OUT-UAQPre",$N421="QUEST","OUT-UAQ", $N421="Walk in","ColUATele")</f>
        <v>#N/A</v>
      </c>
      <c r="W421" s="70" t="str">
        <f t="shared" si="9"/>
        <v>#N/A</v>
      </c>
      <c r="X421" s="64" t="str">
        <f t="shared" si="10"/>
        <v/>
      </c>
      <c r="Y421" s="64" t="str">
        <f t="shared" si="11"/>
        <v/>
      </c>
      <c r="Z421" s="66" t="str">
        <f t="shared" si="12"/>
        <v> </v>
      </c>
      <c r="AA421" s="71"/>
    </row>
    <row r="422" ht="15.75" customHeight="1">
      <c r="A422" s="56" t="str">
        <f t="shared" si="1"/>
        <v/>
      </c>
      <c r="B422" s="56" t="str">
        <f>IFS($C422=FALSE,"",$C422,VLOOKUP($C422,'PATIENT DATA (072721)'!A:C, 2, 0))</f>
        <v/>
      </c>
      <c r="C422" s="57"/>
      <c r="D422" s="127" t="str">
        <f>IF(COUNTIF('PATIENT DATA (072721)'!A:A, C422)=0, "X","✓")</f>
        <v>X</v>
      </c>
      <c r="E422" s="79"/>
      <c r="F422" s="80"/>
      <c r="G422" s="81" t="str">
        <f>ifs($C422="","",$C422, VLOOKUP($C422&amp;$F422, 'MARCH - VISIT DATA'!A:O,3,0))</f>
        <v/>
      </c>
      <c r="H422" s="83"/>
      <c r="I422" s="122" t="str">
        <f>VLOOKUP($C422&amp;$F422,'MARCH - VISIT DATA'!A:J, 9, FALSE)</f>
        <v>#N/A</v>
      </c>
      <c r="J422" s="85" t="str">
        <f>VLOOKUP(C422&amp;F422,'MARCH - VISIT DATA'!A:O,10,FALSE)</f>
        <v>#N/A</v>
      </c>
      <c r="K422" s="86"/>
      <c r="L422" s="86"/>
      <c r="M422" s="86"/>
      <c r="N422" s="86"/>
      <c r="O422" s="121" t="str">
        <f t="shared" si="2"/>
        <v>X</v>
      </c>
      <c r="P422" s="79" t="str">
        <f t="shared" si="3"/>
        <v>#N/A</v>
      </c>
      <c r="Q422" s="123" t="str">
        <f t="shared" si="4"/>
        <v>#N/A</v>
      </c>
      <c r="R422" s="124" t="str">
        <f t="shared" si="5"/>
        <v>#N/A</v>
      </c>
      <c r="S422" s="125" t="str">
        <f t="shared" si="6"/>
        <v>#N/A</v>
      </c>
      <c r="T422" s="125" t="str">
        <f t="shared" si="7"/>
        <v>#N/A</v>
      </c>
      <c r="U422" s="83">
        <f t="shared" si="8"/>
        <v>0</v>
      </c>
      <c r="V422" s="88" t="str">
        <f>ifs($N422="",VLOOKUP($C422&amp;$F422,'MARCH - VISIT DATA'!$A$2:$J600,7,FALSE), $N422="SWAB","OUTSA-RW",$N422="SWQU","OUTSA-SaQu", AND($L422="X",$M422="X",$N422="QUEST"),"OUT-UAQPre",$N422="QUEST","OUT-UAQ", $N422="Walk in","ColUATele")</f>
        <v>#N/A</v>
      </c>
      <c r="W422" s="70" t="str">
        <f t="shared" si="9"/>
        <v>#N/A</v>
      </c>
      <c r="X422" s="64" t="str">
        <f t="shared" si="10"/>
        <v/>
      </c>
      <c r="Y422" s="64" t="str">
        <f t="shared" si="11"/>
        <v/>
      </c>
      <c r="Z422" s="66" t="str">
        <f t="shared" si="12"/>
        <v> </v>
      </c>
      <c r="AA422" s="71"/>
    </row>
    <row r="423" ht="15.75" customHeight="1">
      <c r="A423" s="56" t="str">
        <f t="shared" si="1"/>
        <v/>
      </c>
      <c r="B423" s="56" t="str">
        <f>IFS($C423=FALSE,"",$C423,VLOOKUP($C423,'PATIENT DATA (072721)'!A:C, 2, 0))</f>
        <v/>
      </c>
      <c r="C423" s="57"/>
      <c r="D423" s="127" t="str">
        <f>IF(COUNTIF('PATIENT DATA (072721)'!A:A, C423)=0, "X","✓")</f>
        <v>X</v>
      </c>
      <c r="E423" s="79"/>
      <c r="F423" s="80"/>
      <c r="G423" s="81" t="str">
        <f>ifs($C423="","",$C423, VLOOKUP($C423&amp;$F423, 'MARCH - VISIT DATA'!A:O,3,0))</f>
        <v/>
      </c>
      <c r="H423" s="83"/>
      <c r="I423" s="122" t="str">
        <f>VLOOKUP($C423&amp;$F423,'MARCH - VISIT DATA'!A:J, 9, FALSE)</f>
        <v>#N/A</v>
      </c>
      <c r="J423" s="85" t="str">
        <f>VLOOKUP(C423&amp;F423,'MARCH - VISIT DATA'!A:O,10,FALSE)</f>
        <v>#N/A</v>
      </c>
      <c r="K423" s="86"/>
      <c r="L423" s="86"/>
      <c r="M423" s="86"/>
      <c r="N423" s="86"/>
      <c r="O423" s="121" t="str">
        <f t="shared" si="2"/>
        <v>X</v>
      </c>
      <c r="P423" s="79" t="str">
        <f t="shared" si="3"/>
        <v>#N/A</v>
      </c>
      <c r="Q423" s="123" t="str">
        <f t="shared" si="4"/>
        <v>#N/A</v>
      </c>
      <c r="R423" s="124" t="str">
        <f t="shared" si="5"/>
        <v>#N/A</v>
      </c>
      <c r="S423" s="125" t="str">
        <f t="shared" si="6"/>
        <v>#N/A</v>
      </c>
      <c r="T423" s="125" t="str">
        <f t="shared" si="7"/>
        <v>#N/A</v>
      </c>
      <c r="U423" s="83">
        <f t="shared" si="8"/>
        <v>0</v>
      </c>
      <c r="V423" s="88" t="str">
        <f>ifs($N423="",VLOOKUP($C423&amp;$F423,'MARCH - VISIT DATA'!$A$2:$J600,7,FALSE), $N423="SWAB","OUTSA-RW",$N423="SWQU","OUTSA-SaQu", AND($L423="X",$M423="X",$N423="QUEST"),"OUT-UAQPre",$N423="QUEST","OUT-UAQ", $N423="Walk in","ColUATele")</f>
        <v>#N/A</v>
      </c>
      <c r="W423" s="70" t="str">
        <f t="shared" si="9"/>
        <v>#N/A</v>
      </c>
      <c r="X423" s="64" t="str">
        <f t="shared" si="10"/>
        <v/>
      </c>
      <c r="Y423" s="64" t="str">
        <f t="shared" si="11"/>
        <v/>
      </c>
      <c r="Z423" s="66" t="str">
        <f t="shared" si="12"/>
        <v> </v>
      </c>
      <c r="AA423" s="71"/>
    </row>
    <row r="424" ht="15.75" customHeight="1">
      <c r="A424" s="56" t="str">
        <f t="shared" si="1"/>
        <v/>
      </c>
      <c r="B424" s="56" t="str">
        <f>IFS($C424=FALSE,"",$C424,VLOOKUP($C424,'PATIENT DATA (072721)'!A:C, 2, 0))</f>
        <v/>
      </c>
      <c r="C424" s="57"/>
      <c r="D424" s="127" t="str">
        <f>IF(COUNTIF('PATIENT DATA (072721)'!A:A, C424)=0, "X","✓")</f>
        <v>X</v>
      </c>
      <c r="E424" s="79"/>
      <c r="F424" s="80"/>
      <c r="G424" s="81" t="str">
        <f>ifs($C424="","",$C424, VLOOKUP($C424&amp;$F424, 'MARCH - VISIT DATA'!A:O,3,0))</f>
        <v/>
      </c>
      <c r="H424" s="83"/>
      <c r="I424" s="122" t="str">
        <f>VLOOKUP($C424&amp;$F424,'MARCH - VISIT DATA'!A:J, 9, FALSE)</f>
        <v>#N/A</v>
      </c>
      <c r="J424" s="85" t="str">
        <f>VLOOKUP(C424&amp;F424,'MARCH - VISIT DATA'!A:O,10,FALSE)</f>
        <v>#N/A</v>
      </c>
      <c r="K424" s="86"/>
      <c r="L424" s="86"/>
      <c r="M424" s="86"/>
      <c r="N424" s="86"/>
      <c r="O424" s="121" t="str">
        <f t="shared" si="2"/>
        <v>X</v>
      </c>
      <c r="P424" s="79" t="str">
        <f t="shared" si="3"/>
        <v>#N/A</v>
      </c>
      <c r="Q424" s="123" t="str">
        <f t="shared" si="4"/>
        <v>#N/A</v>
      </c>
      <c r="R424" s="124" t="str">
        <f t="shared" si="5"/>
        <v>#N/A</v>
      </c>
      <c r="S424" s="125" t="str">
        <f t="shared" si="6"/>
        <v>#N/A</v>
      </c>
      <c r="T424" s="125" t="str">
        <f t="shared" si="7"/>
        <v>#N/A</v>
      </c>
      <c r="U424" s="83">
        <f t="shared" si="8"/>
        <v>0</v>
      </c>
      <c r="V424" s="88" t="str">
        <f>ifs($N424="",VLOOKUP($C424&amp;$F424,'MARCH - VISIT DATA'!$A$2:$J600,7,FALSE), $N424="SWAB","OUTSA-RW",$N424="SWQU","OUTSA-SaQu", AND($L424="X",$M424="X",$N424="QUEST"),"OUT-UAQPre",$N424="QUEST","OUT-UAQ", $N424="Walk in","ColUATele")</f>
        <v>#N/A</v>
      </c>
      <c r="W424" s="70" t="str">
        <f t="shared" si="9"/>
        <v>#N/A</v>
      </c>
      <c r="X424" s="64" t="str">
        <f t="shared" si="10"/>
        <v/>
      </c>
      <c r="Y424" s="64" t="str">
        <f t="shared" si="11"/>
        <v/>
      </c>
      <c r="Z424" s="66" t="str">
        <f t="shared" si="12"/>
        <v> </v>
      </c>
      <c r="AA424" s="71"/>
    </row>
    <row r="425" ht="15.75" customHeight="1">
      <c r="A425" s="56" t="str">
        <f t="shared" si="1"/>
        <v/>
      </c>
      <c r="B425" s="56" t="str">
        <f>IFS($C425=FALSE,"",$C425,VLOOKUP($C425,'PATIENT DATA (072721)'!A:C, 2, 0))</f>
        <v/>
      </c>
      <c r="C425" s="57"/>
      <c r="D425" s="127" t="str">
        <f>IF(COUNTIF('PATIENT DATA (072721)'!A:A, C425)=0, "X","✓")</f>
        <v>X</v>
      </c>
      <c r="E425" s="79"/>
      <c r="F425" s="80"/>
      <c r="G425" s="81" t="str">
        <f>ifs($C425="","",$C425, VLOOKUP($C425&amp;$F425, 'MARCH - VISIT DATA'!A:O,3,0))</f>
        <v/>
      </c>
      <c r="H425" s="83"/>
      <c r="I425" s="122" t="str">
        <f>VLOOKUP($C425&amp;$F425,'MARCH - VISIT DATA'!A:J, 9, FALSE)</f>
        <v>#N/A</v>
      </c>
      <c r="J425" s="85" t="str">
        <f>VLOOKUP(C425&amp;F425,'MARCH - VISIT DATA'!A:O,10,FALSE)</f>
        <v>#N/A</v>
      </c>
      <c r="K425" s="86"/>
      <c r="L425" s="86"/>
      <c r="M425" s="86"/>
      <c r="N425" s="86"/>
      <c r="O425" s="121" t="str">
        <f t="shared" si="2"/>
        <v>X</v>
      </c>
      <c r="P425" s="79" t="str">
        <f t="shared" si="3"/>
        <v>#N/A</v>
      </c>
      <c r="Q425" s="123" t="str">
        <f t="shared" si="4"/>
        <v>#N/A</v>
      </c>
      <c r="R425" s="124" t="str">
        <f t="shared" si="5"/>
        <v>#N/A</v>
      </c>
      <c r="S425" s="125" t="str">
        <f t="shared" si="6"/>
        <v>#N/A</v>
      </c>
      <c r="T425" s="125" t="str">
        <f t="shared" si="7"/>
        <v>#N/A</v>
      </c>
      <c r="U425" s="83">
        <f t="shared" si="8"/>
        <v>0</v>
      </c>
      <c r="V425" s="88" t="str">
        <f>ifs($N425="",VLOOKUP($C425&amp;$F425,'MARCH - VISIT DATA'!$A$2:$J600,7,FALSE), $N425="SWAB","OUTSA-RW",$N425="SWQU","OUTSA-SaQu", AND($L425="X",$M425="X",$N425="QUEST"),"OUT-UAQPre",$N425="QUEST","OUT-UAQ", $N425="Walk in","ColUATele")</f>
        <v>#N/A</v>
      </c>
      <c r="W425" s="70" t="str">
        <f t="shared" si="9"/>
        <v>#N/A</v>
      </c>
      <c r="X425" s="64" t="str">
        <f t="shared" si="10"/>
        <v/>
      </c>
      <c r="Y425" s="64" t="str">
        <f t="shared" si="11"/>
        <v/>
      </c>
      <c r="Z425" s="66" t="str">
        <f t="shared" si="12"/>
        <v> </v>
      </c>
      <c r="AA425" s="71"/>
    </row>
    <row r="426" ht="15.75" customHeight="1">
      <c r="A426" s="56" t="str">
        <f t="shared" si="1"/>
        <v/>
      </c>
      <c r="B426" s="56" t="str">
        <f>IFS($C426=FALSE,"",$C426,VLOOKUP($C426,'PATIENT DATA (072721)'!A:C, 2, 0))</f>
        <v/>
      </c>
      <c r="C426" s="57"/>
      <c r="D426" s="127" t="str">
        <f>IF(COUNTIF('PATIENT DATA (072721)'!A:A, C426)=0, "X","✓")</f>
        <v>X</v>
      </c>
      <c r="E426" s="79"/>
      <c r="F426" s="80"/>
      <c r="G426" s="81" t="str">
        <f>ifs($C426="","",$C426, VLOOKUP($C426&amp;$F426, 'MARCH - VISIT DATA'!A:O,3,0))</f>
        <v/>
      </c>
      <c r="H426" s="83"/>
      <c r="I426" s="122" t="str">
        <f>VLOOKUP($C426&amp;$F426,'MARCH - VISIT DATA'!A:J, 9, FALSE)</f>
        <v>#N/A</v>
      </c>
      <c r="J426" s="85" t="str">
        <f>VLOOKUP(C426&amp;F426,'MARCH - VISIT DATA'!A:O,10,FALSE)</f>
        <v>#N/A</v>
      </c>
      <c r="K426" s="86"/>
      <c r="L426" s="86"/>
      <c r="M426" s="86"/>
      <c r="N426" s="86"/>
      <c r="O426" s="121" t="str">
        <f t="shared" si="2"/>
        <v>X</v>
      </c>
      <c r="P426" s="79" t="str">
        <f t="shared" si="3"/>
        <v>#N/A</v>
      </c>
      <c r="Q426" s="123" t="str">
        <f t="shared" si="4"/>
        <v>#N/A</v>
      </c>
      <c r="R426" s="124" t="str">
        <f t="shared" si="5"/>
        <v>#N/A</v>
      </c>
      <c r="S426" s="125" t="str">
        <f t="shared" si="6"/>
        <v>#N/A</v>
      </c>
      <c r="T426" s="125" t="str">
        <f t="shared" si="7"/>
        <v>#N/A</v>
      </c>
      <c r="U426" s="83">
        <f t="shared" si="8"/>
        <v>0</v>
      </c>
      <c r="V426" s="88" t="str">
        <f>ifs($N426="",VLOOKUP($C426&amp;$F426,'MARCH - VISIT DATA'!$A$2:$J600,7,FALSE), $N426="SWAB","OUTSA-RW",$N426="SWQU","OUTSA-SaQu", AND($L426="X",$M426="X",$N426="QUEST"),"OUT-UAQPre",$N426="QUEST","OUT-UAQ", $N426="Walk in","ColUATele")</f>
        <v>#N/A</v>
      </c>
      <c r="W426" s="70" t="str">
        <f t="shared" si="9"/>
        <v>#N/A</v>
      </c>
      <c r="X426" s="64" t="str">
        <f t="shared" si="10"/>
        <v/>
      </c>
      <c r="Y426" s="64" t="str">
        <f t="shared" si="11"/>
        <v/>
      </c>
      <c r="Z426" s="66" t="str">
        <f t="shared" si="12"/>
        <v> </v>
      </c>
      <c r="AA426" s="71"/>
    </row>
    <row r="427" ht="15.75" customHeight="1">
      <c r="A427" s="56" t="str">
        <f t="shared" si="1"/>
        <v/>
      </c>
      <c r="B427" s="56" t="str">
        <f>IFS($C427=FALSE,"",$C427,VLOOKUP($C427,'PATIENT DATA (072721)'!A:C, 2, 0))</f>
        <v/>
      </c>
      <c r="C427" s="57"/>
      <c r="D427" s="127" t="str">
        <f>IF(COUNTIF('PATIENT DATA (072721)'!A:A, C427)=0, "X","✓")</f>
        <v>X</v>
      </c>
      <c r="E427" s="79"/>
      <c r="F427" s="80"/>
      <c r="G427" s="81" t="str">
        <f>ifs($C427="","",$C427, VLOOKUP($C427&amp;$F427, 'MARCH - VISIT DATA'!A:O,3,0))</f>
        <v/>
      </c>
      <c r="H427" s="83"/>
      <c r="I427" s="122" t="str">
        <f>VLOOKUP($C427&amp;$F427,'MARCH - VISIT DATA'!A:J, 9, FALSE)</f>
        <v>#N/A</v>
      </c>
      <c r="J427" s="85" t="str">
        <f>VLOOKUP(C427&amp;F427,'MARCH - VISIT DATA'!A:O,10,FALSE)</f>
        <v>#N/A</v>
      </c>
      <c r="K427" s="86"/>
      <c r="L427" s="86"/>
      <c r="M427" s="86"/>
      <c r="N427" s="86"/>
      <c r="O427" s="121" t="str">
        <f t="shared" si="2"/>
        <v>X</v>
      </c>
      <c r="P427" s="79" t="str">
        <f t="shared" si="3"/>
        <v>#N/A</v>
      </c>
      <c r="Q427" s="123" t="str">
        <f t="shared" si="4"/>
        <v>#N/A</v>
      </c>
      <c r="R427" s="124" t="str">
        <f t="shared" si="5"/>
        <v>#N/A</v>
      </c>
      <c r="S427" s="125" t="str">
        <f t="shared" si="6"/>
        <v>#N/A</v>
      </c>
      <c r="T427" s="125" t="str">
        <f t="shared" si="7"/>
        <v>#N/A</v>
      </c>
      <c r="U427" s="83">
        <f t="shared" si="8"/>
        <v>0</v>
      </c>
      <c r="V427" s="88" t="str">
        <f>ifs($N427="",VLOOKUP($C427&amp;$F427,'MARCH - VISIT DATA'!$A$2:$J600,7,FALSE), $N427="SWAB","OUTSA-RW",$N427="SWQU","OUTSA-SaQu", AND($L427="X",$M427="X",$N427="QUEST"),"OUT-UAQPre",$N427="QUEST","OUT-UAQ", $N427="Walk in","ColUATele")</f>
        <v>#N/A</v>
      </c>
      <c r="W427" s="70" t="str">
        <f t="shared" si="9"/>
        <v>#N/A</v>
      </c>
      <c r="X427" s="64" t="str">
        <f t="shared" si="10"/>
        <v/>
      </c>
      <c r="Y427" s="64" t="str">
        <f t="shared" si="11"/>
        <v/>
      </c>
      <c r="Z427" s="66" t="str">
        <f t="shared" si="12"/>
        <v> </v>
      </c>
      <c r="AA427" s="71"/>
    </row>
    <row r="428" ht="15.75" customHeight="1">
      <c r="A428" s="56" t="str">
        <f t="shared" si="1"/>
        <v/>
      </c>
      <c r="B428" s="56" t="str">
        <f>IFS($C428=FALSE,"",$C428,VLOOKUP($C428,'PATIENT DATA (072721)'!A:C, 2, 0))</f>
        <v/>
      </c>
      <c r="C428" s="57"/>
      <c r="D428" s="127" t="str">
        <f>IF(COUNTIF('PATIENT DATA (072721)'!A:A, C428)=0, "X","✓")</f>
        <v>X</v>
      </c>
      <c r="E428" s="79"/>
      <c r="F428" s="80"/>
      <c r="G428" s="81" t="str">
        <f>ifs($C428="","",$C428, VLOOKUP($C428&amp;$F428, 'MARCH - VISIT DATA'!A:O,3,0))</f>
        <v/>
      </c>
      <c r="H428" s="83"/>
      <c r="I428" s="122" t="str">
        <f>VLOOKUP($C428&amp;$F428,'MARCH - VISIT DATA'!A:J, 9, FALSE)</f>
        <v>#N/A</v>
      </c>
      <c r="J428" s="85" t="str">
        <f>VLOOKUP(C428&amp;F428,'MARCH - VISIT DATA'!A:O,10,FALSE)</f>
        <v>#N/A</v>
      </c>
      <c r="K428" s="86"/>
      <c r="L428" s="86"/>
      <c r="M428" s="86"/>
      <c r="N428" s="86"/>
      <c r="O428" s="121" t="str">
        <f t="shared" si="2"/>
        <v>X</v>
      </c>
      <c r="P428" s="79" t="str">
        <f t="shared" si="3"/>
        <v>#N/A</v>
      </c>
      <c r="Q428" s="123" t="str">
        <f t="shared" si="4"/>
        <v>#N/A</v>
      </c>
      <c r="R428" s="124" t="str">
        <f t="shared" si="5"/>
        <v>#N/A</v>
      </c>
      <c r="S428" s="125" t="str">
        <f t="shared" si="6"/>
        <v>#N/A</v>
      </c>
      <c r="T428" s="125" t="str">
        <f t="shared" si="7"/>
        <v>#N/A</v>
      </c>
      <c r="U428" s="83">
        <f t="shared" si="8"/>
        <v>0</v>
      </c>
      <c r="V428" s="88" t="str">
        <f>ifs($N428="",VLOOKUP($C428&amp;$F428,'MARCH - VISIT DATA'!$A$2:$J600,7,FALSE), $N428="SWAB","OUTSA-RW",$N428="SWQU","OUTSA-SaQu", AND($L428="X",$M428="X",$N428="QUEST"),"OUT-UAQPre",$N428="QUEST","OUT-UAQ", $N428="Walk in","ColUATele")</f>
        <v>#N/A</v>
      </c>
      <c r="W428" s="70" t="str">
        <f t="shared" si="9"/>
        <v>#N/A</v>
      </c>
      <c r="X428" s="64" t="str">
        <f t="shared" si="10"/>
        <v/>
      </c>
      <c r="Y428" s="64" t="str">
        <f t="shared" si="11"/>
        <v/>
      </c>
      <c r="Z428" s="66" t="str">
        <f t="shared" si="12"/>
        <v> </v>
      </c>
      <c r="AA428" s="71"/>
    </row>
    <row r="429" ht="15.75" customHeight="1">
      <c r="A429" s="56" t="str">
        <f t="shared" si="1"/>
        <v/>
      </c>
      <c r="B429" s="56" t="str">
        <f>IFS($C429=FALSE,"",$C429,VLOOKUP($C429,'PATIENT DATA (072721)'!A:C, 2, 0))</f>
        <v/>
      </c>
      <c r="C429" s="57"/>
      <c r="D429" s="127" t="str">
        <f>IF(COUNTIF('PATIENT DATA (072721)'!A:A, C429)=0, "X","✓")</f>
        <v>X</v>
      </c>
      <c r="E429" s="79"/>
      <c r="F429" s="80"/>
      <c r="G429" s="81" t="str">
        <f>ifs($C429="","",$C429, VLOOKUP($C429&amp;$F429, 'MARCH - VISIT DATA'!A:O,3,0))</f>
        <v/>
      </c>
      <c r="H429" s="83"/>
      <c r="I429" s="122" t="str">
        <f>VLOOKUP($C429&amp;$F429,'MARCH - VISIT DATA'!A:J, 9, FALSE)</f>
        <v>#N/A</v>
      </c>
      <c r="J429" s="85" t="str">
        <f>VLOOKUP(C429&amp;F429,'MARCH - VISIT DATA'!A:O,10,FALSE)</f>
        <v>#N/A</v>
      </c>
      <c r="K429" s="86"/>
      <c r="L429" s="86"/>
      <c r="M429" s="86"/>
      <c r="N429" s="86"/>
      <c r="O429" s="121" t="str">
        <f t="shared" si="2"/>
        <v>X</v>
      </c>
      <c r="P429" s="79" t="str">
        <f t="shared" si="3"/>
        <v>#N/A</v>
      </c>
      <c r="Q429" s="123" t="str">
        <f t="shared" si="4"/>
        <v>#N/A</v>
      </c>
      <c r="R429" s="124" t="str">
        <f t="shared" si="5"/>
        <v>#N/A</v>
      </c>
      <c r="S429" s="125" t="str">
        <f t="shared" si="6"/>
        <v>#N/A</v>
      </c>
      <c r="T429" s="125" t="str">
        <f t="shared" si="7"/>
        <v>#N/A</v>
      </c>
      <c r="U429" s="83">
        <f t="shared" si="8"/>
        <v>0</v>
      </c>
      <c r="V429" s="88" t="str">
        <f>ifs($N429="",VLOOKUP($C429&amp;$F429,'MARCH - VISIT DATA'!$A$2:$J600,7,FALSE), $N429="SWAB","OUTSA-RW",$N429="SWQU","OUTSA-SaQu", AND($L429="X",$M429="X",$N429="QUEST"),"OUT-UAQPre",$N429="QUEST","OUT-UAQ", $N429="Walk in","ColUATele")</f>
        <v>#N/A</v>
      </c>
      <c r="W429" s="70" t="str">
        <f t="shared" si="9"/>
        <v>#N/A</v>
      </c>
      <c r="X429" s="64" t="str">
        <f t="shared" si="10"/>
        <v/>
      </c>
      <c r="Y429" s="64" t="str">
        <f t="shared" si="11"/>
        <v/>
      </c>
      <c r="Z429" s="66" t="str">
        <f t="shared" si="12"/>
        <v> </v>
      </c>
      <c r="AA429" s="71"/>
    </row>
    <row r="430" ht="15.75" customHeight="1">
      <c r="A430" s="56" t="str">
        <f t="shared" si="1"/>
        <v/>
      </c>
      <c r="B430" s="56" t="str">
        <f>IFS($C430=FALSE,"",$C430,VLOOKUP($C430,'PATIENT DATA (072721)'!A:C, 2, 0))</f>
        <v/>
      </c>
      <c r="C430" s="57"/>
      <c r="D430" s="127" t="str">
        <f>IF(COUNTIF('PATIENT DATA (072721)'!A:A, C430)=0, "X","✓")</f>
        <v>X</v>
      </c>
      <c r="E430" s="79"/>
      <c r="F430" s="80"/>
      <c r="G430" s="81" t="str">
        <f>ifs($C430="","",$C430, VLOOKUP($C430&amp;$F430, 'MARCH - VISIT DATA'!A:O,3,0))</f>
        <v/>
      </c>
      <c r="H430" s="83"/>
      <c r="I430" s="122" t="str">
        <f>VLOOKUP($C430&amp;$F430,'MARCH - VISIT DATA'!A:J, 9, FALSE)</f>
        <v>#N/A</v>
      </c>
      <c r="J430" s="85" t="str">
        <f>VLOOKUP(C430&amp;F430,'MARCH - VISIT DATA'!A:O,10,FALSE)</f>
        <v>#N/A</v>
      </c>
      <c r="K430" s="86"/>
      <c r="L430" s="86"/>
      <c r="M430" s="86"/>
      <c r="N430" s="86"/>
      <c r="O430" s="121" t="str">
        <f t="shared" si="2"/>
        <v>X</v>
      </c>
      <c r="P430" s="79" t="str">
        <f t="shared" si="3"/>
        <v>#N/A</v>
      </c>
      <c r="Q430" s="123" t="str">
        <f t="shared" si="4"/>
        <v>#N/A</v>
      </c>
      <c r="R430" s="124" t="str">
        <f t="shared" si="5"/>
        <v>#N/A</v>
      </c>
      <c r="S430" s="125" t="str">
        <f t="shared" si="6"/>
        <v>#N/A</v>
      </c>
      <c r="T430" s="125" t="str">
        <f t="shared" si="7"/>
        <v>#N/A</v>
      </c>
      <c r="U430" s="83">
        <f t="shared" si="8"/>
        <v>0</v>
      </c>
      <c r="V430" s="88" t="str">
        <f>ifs($N430="",VLOOKUP($C430&amp;$F430,'MARCH - VISIT DATA'!$A$2:$J600,7,FALSE), $N430="SWAB","OUTSA-RW",$N430="SWQU","OUTSA-SaQu", AND($L430="X",$M430="X",$N430="QUEST"),"OUT-UAQPre",$N430="QUEST","OUT-UAQ", $N430="Walk in","ColUATele")</f>
        <v>#N/A</v>
      </c>
      <c r="W430" s="70" t="str">
        <f t="shared" si="9"/>
        <v>#N/A</v>
      </c>
      <c r="X430" s="64" t="str">
        <f t="shared" si="10"/>
        <v/>
      </c>
      <c r="Y430" s="64" t="str">
        <f t="shared" si="11"/>
        <v/>
      </c>
      <c r="Z430" s="66" t="str">
        <f t="shared" si="12"/>
        <v> </v>
      </c>
      <c r="AA430" s="71"/>
    </row>
    <row r="431" ht="15.75" customHeight="1">
      <c r="A431" s="56" t="str">
        <f t="shared" si="1"/>
        <v/>
      </c>
      <c r="B431" s="56" t="str">
        <f>IFS($C431=FALSE,"",$C431,VLOOKUP($C431,'PATIENT DATA (072721)'!A:C, 2, 0))</f>
        <v/>
      </c>
      <c r="C431" s="57"/>
      <c r="D431" s="127" t="str">
        <f>IF(COUNTIF('PATIENT DATA (072721)'!A:A, C431)=0, "X","✓")</f>
        <v>X</v>
      </c>
      <c r="E431" s="79"/>
      <c r="F431" s="80"/>
      <c r="G431" s="81" t="str">
        <f>ifs($C431="","",$C431, VLOOKUP($C431&amp;$F431, 'MARCH - VISIT DATA'!A:O,3,0))</f>
        <v/>
      </c>
      <c r="H431" s="83"/>
      <c r="I431" s="122" t="str">
        <f>VLOOKUP($C431&amp;$F431,'MARCH - VISIT DATA'!A:J, 9, FALSE)</f>
        <v>#N/A</v>
      </c>
      <c r="J431" s="85" t="str">
        <f>VLOOKUP(C431&amp;F431,'MARCH - VISIT DATA'!A:O,10,FALSE)</f>
        <v>#N/A</v>
      </c>
      <c r="K431" s="86"/>
      <c r="L431" s="86"/>
      <c r="M431" s="86"/>
      <c r="N431" s="86"/>
      <c r="O431" s="121" t="str">
        <f t="shared" si="2"/>
        <v>X</v>
      </c>
      <c r="P431" s="79" t="str">
        <f t="shared" si="3"/>
        <v>#N/A</v>
      </c>
      <c r="Q431" s="123" t="str">
        <f t="shared" si="4"/>
        <v>#N/A</v>
      </c>
      <c r="R431" s="124" t="str">
        <f t="shared" si="5"/>
        <v>#N/A</v>
      </c>
      <c r="S431" s="125" t="str">
        <f t="shared" si="6"/>
        <v>#N/A</v>
      </c>
      <c r="T431" s="125" t="str">
        <f t="shared" si="7"/>
        <v>#N/A</v>
      </c>
      <c r="U431" s="83">
        <f t="shared" si="8"/>
        <v>0</v>
      </c>
      <c r="V431" s="88" t="str">
        <f>ifs($N431="",VLOOKUP($C431&amp;$F431,'MARCH - VISIT DATA'!$A$2:$J600,7,FALSE), $N431="SWAB","OUTSA-RW",$N431="SWQU","OUTSA-SaQu", AND($L431="X",$M431="X",$N431="QUEST"),"OUT-UAQPre",$N431="QUEST","OUT-UAQ", $N431="Walk in","ColUATele")</f>
        <v>#N/A</v>
      </c>
      <c r="W431" s="70" t="str">
        <f t="shared" si="9"/>
        <v>#N/A</v>
      </c>
      <c r="X431" s="64" t="str">
        <f t="shared" si="10"/>
        <v/>
      </c>
      <c r="Y431" s="64" t="str">
        <f t="shared" si="11"/>
        <v/>
      </c>
      <c r="Z431" s="66" t="str">
        <f t="shared" si="12"/>
        <v> </v>
      </c>
      <c r="AA431" s="71"/>
    </row>
    <row r="432" ht="15.75" customHeight="1">
      <c r="A432" s="56" t="str">
        <f t="shared" si="1"/>
        <v/>
      </c>
      <c r="B432" s="56" t="str">
        <f>IFS($C432=FALSE,"",$C432,VLOOKUP($C432,'PATIENT DATA (072721)'!A:C, 2, 0))</f>
        <v/>
      </c>
      <c r="C432" s="57"/>
      <c r="D432" s="127" t="str">
        <f>IF(COUNTIF('PATIENT DATA (072721)'!A:A, C432)=0, "X","✓")</f>
        <v>X</v>
      </c>
      <c r="E432" s="79"/>
      <c r="F432" s="80"/>
      <c r="G432" s="81" t="str">
        <f>ifs($C432="","",$C432, VLOOKUP($C432&amp;$F432, 'MARCH - VISIT DATA'!A:O,3,0))</f>
        <v/>
      </c>
      <c r="H432" s="83"/>
      <c r="I432" s="122" t="str">
        <f>VLOOKUP($C432&amp;$F432,'MARCH - VISIT DATA'!A:J, 9, FALSE)</f>
        <v>#N/A</v>
      </c>
      <c r="J432" s="85" t="str">
        <f>VLOOKUP(C432&amp;F432,'MARCH - VISIT DATA'!A:O,10,FALSE)</f>
        <v>#N/A</v>
      </c>
      <c r="K432" s="86"/>
      <c r="L432" s="86"/>
      <c r="M432" s="86"/>
      <c r="N432" s="86"/>
      <c r="O432" s="121" t="str">
        <f t="shared" si="2"/>
        <v>X</v>
      </c>
      <c r="P432" s="79" t="str">
        <f t="shared" si="3"/>
        <v>#N/A</v>
      </c>
      <c r="Q432" s="123" t="str">
        <f t="shared" si="4"/>
        <v>#N/A</v>
      </c>
      <c r="R432" s="124" t="str">
        <f t="shared" si="5"/>
        <v>#N/A</v>
      </c>
      <c r="S432" s="125" t="str">
        <f t="shared" si="6"/>
        <v>#N/A</v>
      </c>
      <c r="T432" s="125" t="str">
        <f t="shared" si="7"/>
        <v>#N/A</v>
      </c>
      <c r="U432" s="83">
        <f t="shared" si="8"/>
        <v>0</v>
      </c>
      <c r="V432" s="88" t="str">
        <f>ifs($N432="",VLOOKUP($C432&amp;$F432,'MARCH - VISIT DATA'!$A$2:$J600,7,FALSE), $N432="SWAB","OUTSA-RW",$N432="SWQU","OUTSA-SaQu", AND($L432="X",$M432="X",$N432="QUEST"),"OUT-UAQPre",$N432="QUEST","OUT-UAQ", $N432="Walk in","ColUATele")</f>
        <v>#N/A</v>
      </c>
      <c r="W432" s="70" t="str">
        <f t="shared" si="9"/>
        <v>#N/A</v>
      </c>
      <c r="X432" s="64" t="str">
        <f t="shared" si="10"/>
        <v/>
      </c>
      <c r="Y432" s="64" t="str">
        <f t="shared" si="11"/>
        <v/>
      </c>
      <c r="Z432" s="66" t="str">
        <f t="shared" si="12"/>
        <v> </v>
      </c>
      <c r="AA432" s="71"/>
    </row>
    <row r="433" ht="15.75" customHeight="1">
      <c r="A433" s="56" t="str">
        <f t="shared" si="1"/>
        <v/>
      </c>
      <c r="B433" s="56" t="str">
        <f>IFS($C433=FALSE,"",$C433,VLOOKUP($C433,'PATIENT DATA (072721)'!A:C, 2, 0))</f>
        <v/>
      </c>
      <c r="C433" s="57"/>
      <c r="D433" s="127" t="str">
        <f>IF(COUNTIF('PATIENT DATA (072721)'!A:A, C433)=0, "X","✓")</f>
        <v>X</v>
      </c>
      <c r="E433" s="79"/>
      <c r="F433" s="80"/>
      <c r="G433" s="81" t="str">
        <f>ifs($C433="","",$C433, VLOOKUP($C433&amp;$F433, 'MARCH - VISIT DATA'!A:O,3,0))</f>
        <v/>
      </c>
      <c r="H433" s="83"/>
      <c r="I433" s="122" t="str">
        <f>VLOOKUP($C433&amp;$F433,'MARCH - VISIT DATA'!A:J, 9, FALSE)</f>
        <v>#N/A</v>
      </c>
      <c r="J433" s="85" t="str">
        <f>VLOOKUP(C433&amp;F433,'MARCH - VISIT DATA'!A:O,10,FALSE)</f>
        <v>#N/A</v>
      </c>
      <c r="K433" s="86"/>
      <c r="L433" s="86"/>
      <c r="M433" s="86"/>
      <c r="N433" s="86"/>
      <c r="O433" s="121" t="str">
        <f t="shared" si="2"/>
        <v>X</v>
      </c>
      <c r="P433" s="79" t="str">
        <f t="shared" si="3"/>
        <v>#N/A</v>
      </c>
      <c r="Q433" s="123" t="str">
        <f t="shared" si="4"/>
        <v>#N/A</v>
      </c>
      <c r="R433" s="124" t="str">
        <f t="shared" si="5"/>
        <v>#N/A</v>
      </c>
      <c r="S433" s="125" t="str">
        <f t="shared" si="6"/>
        <v>#N/A</v>
      </c>
      <c r="T433" s="125" t="str">
        <f t="shared" si="7"/>
        <v>#N/A</v>
      </c>
      <c r="U433" s="83">
        <f t="shared" si="8"/>
        <v>0</v>
      </c>
      <c r="V433" s="88" t="str">
        <f>ifs($N433="",VLOOKUP($C433&amp;$F433,'MARCH - VISIT DATA'!$A$2:$J600,7,FALSE), $N433="SWAB","OUTSA-RW",$N433="SWQU","OUTSA-SaQu", AND($L433="X",$M433="X",$N433="QUEST"),"OUT-UAQPre",$N433="QUEST","OUT-UAQ", $N433="Walk in","ColUATele")</f>
        <v>#N/A</v>
      </c>
      <c r="W433" s="70" t="str">
        <f t="shared" si="9"/>
        <v>#N/A</v>
      </c>
      <c r="X433" s="64" t="str">
        <f t="shared" si="10"/>
        <v/>
      </c>
      <c r="Y433" s="64" t="str">
        <f t="shared" si="11"/>
        <v/>
      </c>
      <c r="Z433" s="66" t="str">
        <f t="shared" si="12"/>
        <v> </v>
      </c>
      <c r="AA433" s="71"/>
    </row>
    <row r="434" ht="15.75" customHeight="1">
      <c r="A434" s="56" t="str">
        <f t="shared" si="1"/>
        <v/>
      </c>
      <c r="B434" s="56" t="str">
        <f>IFS($C434=FALSE,"",$C434,VLOOKUP($C434,'PATIENT DATA (072721)'!A:C, 2, 0))</f>
        <v/>
      </c>
      <c r="C434" s="57"/>
      <c r="D434" s="127" t="str">
        <f>IF(COUNTIF('PATIENT DATA (072721)'!A:A, C434)=0, "X","✓")</f>
        <v>X</v>
      </c>
      <c r="E434" s="79"/>
      <c r="F434" s="80"/>
      <c r="G434" s="81" t="str">
        <f>ifs($C434="","",$C434, VLOOKUP($C434&amp;$F434, 'MARCH - VISIT DATA'!A:O,3,0))</f>
        <v/>
      </c>
      <c r="H434" s="83"/>
      <c r="I434" s="122" t="str">
        <f>VLOOKUP($C434&amp;$F434,'MARCH - VISIT DATA'!A:J, 9, FALSE)</f>
        <v>#N/A</v>
      </c>
      <c r="J434" s="85" t="str">
        <f>VLOOKUP(C434&amp;F434,'MARCH - VISIT DATA'!A:O,10,FALSE)</f>
        <v>#N/A</v>
      </c>
      <c r="K434" s="86"/>
      <c r="L434" s="86"/>
      <c r="M434" s="86"/>
      <c r="N434" s="86"/>
      <c r="O434" s="121" t="str">
        <f t="shared" si="2"/>
        <v>X</v>
      </c>
      <c r="P434" s="79" t="str">
        <f t="shared" si="3"/>
        <v>#N/A</v>
      </c>
      <c r="Q434" s="123" t="str">
        <f t="shared" si="4"/>
        <v>#N/A</v>
      </c>
      <c r="R434" s="124" t="str">
        <f t="shared" si="5"/>
        <v>#N/A</v>
      </c>
      <c r="S434" s="125" t="str">
        <f t="shared" si="6"/>
        <v>#N/A</v>
      </c>
      <c r="T434" s="125" t="str">
        <f t="shared" si="7"/>
        <v>#N/A</v>
      </c>
      <c r="U434" s="83">
        <f t="shared" si="8"/>
        <v>0</v>
      </c>
      <c r="V434" s="88" t="str">
        <f>ifs($N434="",VLOOKUP($C434&amp;$F434,'MARCH - VISIT DATA'!$A$2:$J600,7,FALSE), $N434="SWAB","OUTSA-RW",$N434="SWQU","OUTSA-SaQu", AND($L434="X",$M434="X",$N434="QUEST"),"OUT-UAQPre",$N434="QUEST","OUT-UAQ", $N434="Walk in","ColUATele")</f>
        <v>#N/A</v>
      </c>
      <c r="W434" s="70" t="str">
        <f t="shared" si="9"/>
        <v>#N/A</v>
      </c>
      <c r="X434" s="64" t="str">
        <f t="shared" si="10"/>
        <v/>
      </c>
      <c r="Y434" s="64" t="str">
        <f t="shared" si="11"/>
        <v/>
      </c>
      <c r="Z434" s="66" t="str">
        <f t="shared" si="12"/>
        <v> </v>
      </c>
      <c r="AA434" s="71"/>
    </row>
    <row r="435" ht="15.75" customHeight="1">
      <c r="A435" s="56" t="str">
        <f t="shared" si="1"/>
        <v/>
      </c>
      <c r="B435" s="56" t="str">
        <f>IFS($C435=FALSE,"",$C435,VLOOKUP($C435,'PATIENT DATA (072721)'!A:C, 2, 0))</f>
        <v/>
      </c>
      <c r="C435" s="57"/>
      <c r="D435" s="127" t="str">
        <f>IF(COUNTIF('PATIENT DATA (072721)'!A:A, C435)=0, "X","✓")</f>
        <v>X</v>
      </c>
      <c r="E435" s="79"/>
      <c r="F435" s="80"/>
      <c r="G435" s="81" t="str">
        <f>ifs($C435="","",$C435, VLOOKUP($C435&amp;$F435, 'MARCH - VISIT DATA'!A:O,3,0))</f>
        <v/>
      </c>
      <c r="H435" s="83"/>
      <c r="I435" s="122" t="str">
        <f>VLOOKUP($C435&amp;$F435,'MARCH - VISIT DATA'!A:J, 9, FALSE)</f>
        <v>#N/A</v>
      </c>
      <c r="J435" s="85" t="str">
        <f>VLOOKUP(C435&amp;F435,'MARCH - VISIT DATA'!A:O,10,FALSE)</f>
        <v>#N/A</v>
      </c>
      <c r="K435" s="86"/>
      <c r="L435" s="86"/>
      <c r="M435" s="86"/>
      <c r="N435" s="86"/>
      <c r="O435" s="121" t="str">
        <f t="shared" si="2"/>
        <v>X</v>
      </c>
      <c r="P435" s="79" t="str">
        <f t="shared" si="3"/>
        <v>#N/A</v>
      </c>
      <c r="Q435" s="123" t="str">
        <f t="shared" si="4"/>
        <v>#N/A</v>
      </c>
      <c r="R435" s="124" t="str">
        <f t="shared" si="5"/>
        <v>#N/A</v>
      </c>
      <c r="S435" s="125" t="str">
        <f t="shared" si="6"/>
        <v>#N/A</v>
      </c>
      <c r="T435" s="125" t="str">
        <f t="shared" si="7"/>
        <v>#N/A</v>
      </c>
      <c r="U435" s="83">
        <f t="shared" si="8"/>
        <v>0</v>
      </c>
      <c r="V435" s="88" t="str">
        <f>ifs($N435="",VLOOKUP($C435&amp;$F435,'MARCH - VISIT DATA'!$A$2:$J600,7,FALSE), $N435="SWAB","OUTSA-RW",$N435="SWQU","OUTSA-SaQu", AND($L435="X",$M435="X",$N435="QUEST"),"OUT-UAQPre",$N435="QUEST","OUT-UAQ", $N435="Walk in","ColUATele")</f>
        <v>#N/A</v>
      </c>
      <c r="W435" s="70" t="str">
        <f t="shared" si="9"/>
        <v>#N/A</v>
      </c>
      <c r="X435" s="64" t="str">
        <f t="shared" si="10"/>
        <v/>
      </c>
      <c r="Y435" s="64" t="str">
        <f t="shared" si="11"/>
        <v/>
      </c>
      <c r="Z435" s="66" t="str">
        <f t="shared" si="12"/>
        <v> </v>
      </c>
      <c r="AA435" s="71"/>
    </row>
    <row r="436" ht="15.75" customHeight="1">
      <c r="A436" s="56" t="str">
        <f t="shared" si="1"/>
        <v/>
      </c>
      <c r="B436" s="56" t="str">
        <f>IFS($C436=FALSE,"",$C436,VLOOKUP($C436,'PATIENT DATA (072721)'!A:C, 2, 0))</f>
        <v/>
      </c>
      <c r="C436" s="57"/>
      <c r="D436" s="127" t="str">
        <f>IF(COUNTIF('PATIENT DATA (072721)'!A:A, C436)=0, "X","✓")</f>
        <v>X</v>
      </c>
      <c r="E436" s="79"/>
      <c r="F436" s="80"/>
      <c r="G436" s="81" t="str">
        <f>ifs($C436="","",$C436, VLOOKUP($C436&amp;$F436, 'MARCH - VISIT DATA'!A:O,3,0))</f>
        <v/>
      </c>
      <c r="H436" s="83"/>
      <c r="I436" s="122" t="str">
        <f>VLOOKUP($C436&amp;$F436,'MARCH - VISIT DATA'!A:J, 9, FALSE)</f>
        <v>#N/A</v>
      </c>
      <c r="J436" s="85" t="str">
        <f>VLOOKUP(C436&amp;F436,'MARCH - VISIT DATA'!A:O,10,FALSE)</f>
        <v>#N/A</v>
      </c>
      <c r="K436" s="86"/>
      <c r="L436" s="86"/>
      <c r="M436" s="86"/>
      <c r="N436" s="86"/>
      <c r="O436" s="121" t="str">
        <f t="shared" si="2"/>
        <v>X</v>
      </c>
      <c r="P436" s="79" t="str">
        <f t="shared" si="3"/>
        <v>#N/A</v>
      </c>
      <c r="Q436" s="123" t="str">
        <f t="shared" si="4"/>
        <v>#N/A</v>
      </c>
      <c r="R436" s="124" t="str">
        <f t="shared" si="5"/>
        <v>#N/A</v>
      </c>
      <c r="S436" s="125" t="str">
        <f t="shared" si="6"/>
        <v>#N/A</v>
      </c>
      <c r="T436" s="125" t="str">
        <f t="shared" si="7"/>
        <v>#N/A</v>
      </c>
      <c r="U436" s="83">
        <f t="shared" si="8"/>
        <v>0</v>
      </c>
      <c r="V436" s="88" t="str">
        <f>ifs($N436="",VLOOKUP($C436&amp;$F436,'MARCH - VISIT DATA'!$A$2:$J600,7,FALSE), $N436="SWAB","OUTSA-RW",$N436="SWQU","OUTSA-SaQu", AND($L436="X",$M436="X",$N436="QUEST"),"OUT-UAQPre",$N436="QUEST","OUT-UAQ", $N436="Walk in","ColUATele")</f>
        <v>#N/A</v>
      </c>
      <c r="W436" s="70" t="str">
        <f t="shared" si="9"/>
        <v>#N/A</v>
      </c>
      <c r="X436" s="64" t="str">
        <f t="shared" si="10"/>
        <v/>
      </c>
      <c r="Y436" s="64" t="str">
        <f t="shared" si="11"/>
        <v/>
      </c>
      <c r="Z436" s="66" t="str">
        <f t="shared" si="12"/>
        <v> </v>
      </c>
      <c r="AA436" s="71"/>
    </row>
    <row r="437" ht="15.75" customHeight="1">
      <c r="A437" s="56" t="str">
        <f t="shared" si="1"/>
        <v/>
      </c>
      <c r="B437" s="56" t="str">
        <f>IFS($C437=FALSE,"",$C437,VLOOKUP($C437,'PATIENT DATA (072721)'!A:C, 2, 0))</f>
        <v/>
      </c>
      <c r="C437" s="57"/>
      <c r="D437" s="127" t="str">
        <f>IF(COUNTIF('PATIENT DATA (072721)'!A:A, C437)=0, "X","✓")</f>
        <v>X</v>
      </c>
      <c r="E437" s="79"/>
      <c r="F437" s="80"/>
      <c r="G437" s="81" t="str">
        <f>ifs($C437="","",$C437, VLOOKUP($C437&amp;$F437, 'MARCH - VISIT DATA'!A:O,3,0))</f>
        <v/>
      </c>
      <c r="H437" s="83"/>
      <c r="I437" s="122" t="str">
        <f>VLOOKUP($C437&amp;$F437,'MARCH - VISIT DATA'!A:J, 9, FALSE)</f>
        <v>#N/A</v>
      </c>
      <c r="J437" s="85" t="str">
        <f>VLOOKUP(C437&amp;F437,'MARCH - VISIT DATA'!A:O,10,FALSE)</f>
        <v>#N/A</v>
      </c>
      <c r="K437" s="86"/>
      <c r="L437" s="86"/>
      <c r="M437" s="86"/>
      <c r="N437" s="86"/>
      <c r="O437" s="121" t="str">
        <f t="shared" si="2"/>
        <v>X</v>
      </c>
      <c r="P437" s="79" t="str">
        <f t="shared" si="3"/>
        <v>#N/A</v>
      </c>
      <c r="Q437" s="123" t="str">
        <f t="shared" si="4"/>
        <v>#N/A</v>
      </c>
      <c r="R437" s="124" t="str">
        <f t="shared" si="5"/>
        <v>#N/A</v>
      </c>
      <c r="S437" s="125" t="str">
        <f t="shared" si="6"/>
        <v>#N/A</v>
      </c>
      <c r="T437" s="125" t="str">
        <f t="shared" si="7"/>
        <v>#N/A</v>
      </c>
      <c r="U437" s="83">
        <f t="shared" si="8"/>
        <v>0</v>
      </c>
      <c r="V437" s="88" t="str">
        <f>ifs($N437="",VLOOKUP($C437&amp;$F437,'MARCH - VISIT DATA'!$A$2:$J600,7,FALSE), $N437="SWAB","OUTSA-RW",$N437="SWQU","OUTSA-SaQu", AND($L437="X",$M437="X",$N437="QUEST"),"OUT-UAQPre",$N437="QUEST","OUT-UAQ", $N437="Walk in","ColUATele")</f>
        <v>#N/A</v>
      </c>
      <c r="W437" s="70" t="str">
        <f t="shared" si="9"/>
        <v>#N/A</v>
      </c>
      <c r="X437" s="64" t="str">
        <f t="shared" si="10"/>
        <v/>
      </c>
      <c r="Y437" s="64" t="str">
        <f t="shared" si="11"/>
        <v/>
      </c>
      <c r="Z437" s="66" t="str">
        <f t="shared" si="12"/>
        <v> </v>
      </c>
      <c r="AA437" s="71"/>
    </row>
    <row r="438" ht="15.75" customHeight="1">
      <c r="A438" s="56" t="str">
        <f t="shared" si="1"/>
        <v/>
      </c>
      <c r="B438" s="56" t="str">
        <f>IFS($C438=FALSE,"",$C438,VLOOKUP($C438,'PATIENT DATA (072721)'!A:C, 2, 0))</f>
        <v/>
      </c>
      <c r="C438" s="57"/>
      <c r="D438" s="127" t="str">
        <f>IF(COUNTIF('PATIENT DATA (072721)'!A:A, C438)=0, "X","✓")</f>
        <v>X</v>
      </c>
      <c r="E438" s="79"/>
      <c r="F438" s="80"/>
      <c r="G438" s="81" t="str">
        <f>ifs($C438="","",$C438, VLOOKUP($C438&amp;$F438, 'MARCH - VISIT DATA'!A:O,3,0))</f>
        <v/>
      </c>
      <c r="H438" s="83"/>
      <c r="I438" s="122" t="str">
        <f>VLOOKUP($C438&amp;$F438,'MARCH - VISIT DATA'!A:J, 9, FALSE)</f>
        <v>#N/A</v>
      </c>
      <c r="J438" s="85" t="str">
        <f>VLOOKUP(C438&amp;F438,'MARCH - VISIT DATA'!A:O,10,FALSE)</f>
        <v>#N/A</v>
      </c>
      <c r="K438" s="86"/>
      <c r="L438" s="86"/>
      <c r="M438" s="86"/>
      <c r="N438" s="86"/>
      <c r="O438" s="121" t="str">
        <f t="shared" si="2"/>
        <v>X</v>
      </c>
      <c r="P438" s="79" t="str">
        <f t="shared" si="3"/>
        <v>#N/A</v>
      </c>
      <c r="Q438" s="123" t="str">
        <f t="shared" si="4"/>
        <v>#N/A</v>
      </c>
      <c r="R438" s="124" t="str">
        <f t="shared" si="5"/>
        <v>#N/A</v>
      </c>
      <c r="S438" s="125" t="str">
        <f t="shared" si="6"/>
        <v>#N/A</v>
      </c>
      <c r="T438" s="125" t="str">
        <f t="shared" si="7"/>
        <v>#N/A</v>
      </c>
      <c r="U438" s="83">
        <f t="shared" si="8"/>
        <v>0</v>
      </c>
      <c r="V438" s="88" t="str">
        <f>ifs($N438="",VLOOKUP($C438&amp;$F438,'MARCH - VISIT DATA'!$A$2:$J600,7,FALSE), $N438="SWAB","OUTSA-RW",$N438="SWQU","OUTSA-SaQu", AND($L438="X",$M438="X",$N438="QUEST"),"OUT-UAQPre",$N438="QUEST","OUT-UAQ", $N438="Walk in","ColUATele")</f>
        <v>#N/A</v>
      </c>
      <c r="W438" s="70" t="str">
        <f t="shared" si="9"/>
        <v>#N/A</v>
      </c>
      <c r="X438" s="64" t="str">
        <f t="shared" si="10"/>
        <v/>
      </c>
      <c r="Y438" s="64" t="str">
        <f t="shared" si="11"/>
        <v/>
      </c>
      <c r="Z438" s="66" t="str">
        <f t="shared" si="12"/>
        <v> </v>
      </c>
      <c r="AA438" s="71"/>
    </row>
    <row r="439" ht="15.75" customHeight="1">
      <c r="A439" s="56" t="str">
        <f t="shared" si="1"/>
        <v/>
      </c>
      <c r="B439" s="56" t="str">
        <f>IFS($C439=FALSE,"",$C439,VLOOKUP($C439,'PATIENT DATA (072721)'!A:C, 2, 0))</f>
        <v/>
      </c>
      <c r="C439" s="57"/>
      <c r="D439" s="127" t="str">
        <f>IF(COUNTIF('PATIENT DATA (072721)'!A:A, C439)=0, "X","✓")</f>
        <v>X</v>
      </c>
      <c r="E439" s="79"/>
      <c r="F439" s="80"/>
      <c r="G439" s="81" t="str">
        <f>ifs($C439="","",$C439, VLOOKUP($C439&amp;$F439, 'MARCH - VISIT DATA'!A:O,3,0))</f>
        <v/>
      </c>
      <c r="H439" s="83"/>
      <c r="I439" s="122" t="str">
        <f>VLOOKUP($C439&amp;$F439,'MARCH - VISIT DATA'!A:J, 9, FALSE)</f>
        <v>#N/A</v>
      </c>
      <c r="J439" s="85" t="str">
        <f>VLOOKUP(C439&amp;F439,'MARCH - VISIT DATA'!A:O,10,FALSE)</f>
        <v>#N/A</v>
      </c>
      <c r="K439" s="86"/>
      <c r="L439" s="86"/>
      <c r="M439" s="86"/>
      <c r="N439" s="86"/>
      <c r="O439" s="121" t="str">
        <f t="shared" si="2"/>
        <v>X</v>
      </c>
      <c r="P439" s="79" t="str">
        <f t="shared" si="3"/>
        <v>#N/A</v>
      </c>
      <c r="Q439" s="123" t="str">
        <f t="shared" si="4"/>
        <v>#N/A</v>
      </c>
      <c r="R439" s="124" t="str">
        <f t="shared" si="5"/>
        <v>#N/A</v>
      </c>
      <c r="S439" s="125" t="str">
        <f t="shared" si="6"/>
        <v>#N/A</v>
      </c>
      <c r="T439" s="125" t="str">
        <f t="shared" si="7"/>
        <v>#N/A</v>
      </c>
      <c r="U439" s="83">
        <f t="shared" si="8"/>
        <v>0</v>
      </c>
      <c r="V439" s="88" t="str">
        <f>ifs($N439="",VLOOKUP($C439&amp;$F439,'MARCH - VISIT DATA'!$A$2:$J600,7,FALSE), $N439="SWAB","OUTSA-RW",$N439="SWQU","OUTSA-SaQu", AND($L439="X",$M439="X",$N439="QUEST"),"OUT-UAQPre",$N439="QUEST","OUT-UAQ", $N439="Walk in","ColUATele")</f>
        <v>#N/A</v>
      </c>
      <c r="W439" s="70" t="str">
        <f t="shared" si="9"/>
        <v>#N/A</v>
      </c>
      <c r="X439" s="64" t="str">
        <f t="shared" si="10"/>
        <v/>
      </c>
      <c r="Y439" s="64" t="str">
        <f t="shared" si="11"/>
        <v/>
      </c>
      <c r="Z439" s="66" t="str">
        <f t="shared" si="12"/>
        <v> </v>
      </c>
      <c r="AA439" s="71"/>
    </row>
    <row r="440" ht="15.75" customHeight="1">
      <c r="A440" s="56" t="str">
        <f t="shared" si="1"/>
        <v/>
      </c>
      <c r="B440" s="56" t="str">
        <f>IFS($C440=FALSE,"",$C440,VLOOKUP($C440,'PATIENT DATA (072721)'!A:C, 2, 0))</f>
        <v/>
      </c>
      <c r="C440" s="57"/>
      <c r="D440" s="127" t="str">
        <f>IF(COUNTIF('PATIENT DATA (072721)'!A:A, C440)=0, "X","✓")</f>
        <v>X</v>
      </c>
      <c r="E440" s="79"/>
      <c r="F440" s="80"/>
      <c r="G440" s="81" t="str">
        <f>ifs($C440="","",$C440, VLOOKUP($C440&amp;$F440, 'MARCH - VISIT DATA'!A:O,3,0))</f>
        <v/>
      </c>
      <c r="H440" s="83"/>
      <c r="I440" s="122" t="str">
        <f>VLOOKUP($C440&amp;$F440,'MARCH - VISIT DATA'!A:J, 9, FALSE)</f>
        <v>#N/A</v>
      </c>
      <c r="J440" s="85" t="str">
        <f>VLOOKUP(C440&amp;F440,'MARCH - VISIT DATA'!A:O,10,FALSE)</f>
        <v>#N/A</v>
      </c>
      <c r="K440" s="86"/>
      <c r="L440" s="86"/>
      <c r="M440" s="86"/>
      <c r="N440" s="86"/>
      <c r="O440" s="121" t="str">
        <f t="shared" si="2"/>
        <v>X</v>
      </c>
      <c r="P440" s="79" t="str">
        <f t="shared" si="3"/>
        <v>#N/A</v>
      </c>
      <c r="Q440" s="123" t="str">
        <f t="shared" si="4"/>
        <v>#N/A</v>
      </c>
      <c r="R440" s="124" t="str">
        <f t="shared" si="5"/>
        <v>#N/A</v>
      </c>
      <c r="S440" s="125" t="str">
        <f t="shared" si="6"/>
        <v>#N/A</v>
      </c>
      <c r="T440" s="125" t="str">
        <f t="shared" si="7"/>
        <v>#N/A</v>
      </c>
      <c r="U440" s="83">
        <f t="shared" si="8"/>
        <v>0</v>
      </c>
      <c r="V440" s="88" t="str">
        <f>ifs($N440="",VLOOKUP($C440&amp;$F440,'MARCH - VISIT DATA'!$A$2:$J600,7,FALSE), $N440="SWAB","OUTSA-RW",$N440="SWQU","OUTSA-SaQu", AND($L440="X",$M440="X",$N440="QUEST"),"OUT-UAQPre",$N440="QUEST","OUT-UAQ", $N440="Walk in","ColUATele")</f>
        <v>#N/A</v>
      </c>
      <c r="W440" s="70" t="str">
        <f t="shared" si="9"/>
        <v>#N/A</v>
      </c>
      <c r="X440" s="64" t="str">
        <f t="shared" si="10"/>
        <v/>
      </c>
      <c r="Y440" s="64" t="str">
        <f t="shared" si="11"/>
        <v/>
      </c>
      <c r="Z440" s="66" t="str">
        <f t="shared" si="12"/>
        <v> </v>
      </c>
      <c r="AA440" s="71"/>
    </row>
    <row r="441" ht="15.75" customHeight="1">
      <c r="A441" s="56" t="str">
        <f t="shared" si="1"/>
        <v/>
      </c>
      <c r="B441" s="56" t="str">
        <f>IFS($C441=FALSE,"",$C441,VLOOKUP($C441,'PATIENT DATA (072721)'!A:C, 2, 0))</f>
        <v/>
      </c>
      <c r="C441" s="57"/>
      <c r="D441" s="127" t="str">
        <f>IF(COUNTIF('PATIENT DATA (072721)'!A:A, C441)=0, "X","✓")</f>
        <v>X</v>
      </c>
      <c r="E441" s="79"/>
      <c r="F441" s="80"/>
      <c r="G441" s="81" t="str">
        <f>ifs($C441="","",$C441, VLOOKUP($C441&amp;$F441, 'MARCH - VISIT DATA'!A:O,3,0))</f>
        <v/>
      </c>
      <c r="H441" s="83"/>
      <c r="I441" s="122" t="str">
        <f>VLOOKUP($C441&amp;$F441,'MARCH - VISIT DATA'!A:J, 9, FALSE)</f>
        <v>#N/A</v>
      </c>
      <c r="J441" s="85" t="str">
        <f>VLOOKUP(C441&amp;F441,'MARCH - VISIT DATA'!A:O,10,FALSE)</f>
        <v>#N/A</v>
      </c>
      <c r="K441" s="86"/>
      <c r="L441" s="86"/>
      <c r="M441" s="86"/>
      <c r="N441" s="86"/>
      <c r="O441" s="121" t="str">
        <f t="shared" si="2"/>
        <v>X</v>
      </c>
      <c r="P441" s="79" t="str">
        <f t="shared" si="3"/>
        <v>#N/A</v>
      </c>
      <c r="Q441" s="123" t="str">
        <f t="shared" si="4"/>
        <v>#N/A</v>
      </c>
      <c r="R441" s="124" t="str">
        <f t="shared" si="5"/>
        <v>#N/A</v>
      </c>
      <c r="S441" s="125" t="str">
        <f t="shared" si="6"/>
        <v>#N/A</v>
      </c>
      <c r="T441" s="125" t="str">
        <f t="shared" si="7"/>
        <v>#N/A</v>
      </c>
      <c r="U441" s="83">
        <f t="shared" si="8"/>
        <v>0</v>
      </c>
      <c r="V441" s="88" t="str">
        <f>ifs($N441="",VLOOKUP($C441&amp;$F441,'MARCH - VISIT DATA'!$A$2:$J600,7,FALSE), $N441="SWAB","OUTSA-RW",$N441="SWQU","OUTSA-SaQu", AND($L441="X",$M441="X",$N441="QUEST"),"OUT-UAQPre",$N441="QUEST","OUT-UAQ", $N441="Walk in","ColUATele")</f>
        <v>#N/A</v>
      </c>
      <c r="W441" s="70" t="str">
        <f t="shared" si="9"/>
        <v>#N/A</v>
      </c>
      <c r="X441" s="64" t="str">
        <f t="shared" si="10"/>
        <v/>
      </c>
      <c r="Y441" s="64" t="str">
        <f t="shared" si="11"/>
        <v/>
      </c>
      <c r="Z441" s="66" t="str">
        <f t="shared" si="12"/>
        <v> </v>
      </c>
      <c r="AA441" s="71"/>
    </row>
    <row r="442" ht="15.75" customHeight="1">
      <c r="A442" s="56" t="str">
        <f t="shared" si="1"/>
        <v/>
      </c>
      <c r="B442" s="56" t="str">
        <f>IFS($C442=FALSE,"",$C442,VLOOKUP($C442,'PATIENT DATA (072721)'!A:C, 2, 0))</f>
        <v/>
      </c>
      <c r="C442" s="57"/>
      <c r="D442" s="127" t="str">
        <f>IF(COUNTIF('PATIENT DATA (072721)'!A:A, C442)=0, "X","✓")</f>
        <v>X</v>
      </c>
      <c r="E442" s="79"/>
      <c r="F442" s="80"/>
      <c r="G442" s="81" t="str">
        <f>ifs($C442="","",$C442, VLOOKUP($C442&amp;$F442, 'MARCH - VISIT DATA'!A:O,3,0))</f>
        <v/>
      </c>
      <c r="H442" s="83"/>
      <c r="I442" s="122" t="str">
        <f>VLOOKUP($C442&amp;$F442,'MARCH - VISIT DATA'!A:J, 9, FALSE)</f>
        <v>#N/A</v>
      </c>
      <c r="J442" s="85" t="str">
        <f>VLOOKUP(C442&amp;F442,'MARCH - VISIT DATA'!A:O,10,FALSE)</f>
        <v>#N/A</v>
      </c>
      <c r="K442" s="86"/>
      <c r="L442" s="86"/>
      <c r="M442" s="86"/>
      <c r="N442" s="86"/>
      <c r="O442" s="121" t="str">
        <f t="shared" si="2"/>
        <v>X</v>
      </c>
      <c r="P442" s="79" t="str">
        <f t="shared" si="3"/>
        <v>#N/A</v>
      </c>
      <c r="Q442" s="123" t="str">
        <f t="shared" si="4"/>
        <v>#N/A</v>
      </c>
      <c r="R442" s="124" t="str">
        <f t="shared" si="5"/>
        <v>#N/A</v>
      </c>
      <c r="S442" s="125" t="str">
        <f t="shared" si="6"/>
        <v>#N/A</v>
      </c>
      <c r="T442" s="125" t="str">
        <f t="shared" si="7"/>
        <v>#N/A</v>
      </c>
      <c r="U442" s="83">
        <f t="shared" si="8"/>
        <v>0</v>
      </c>
      <c r="V442" s="88" t="str">
        <f>ifs($N442="",VLOOKUP($C442&amp;$F442,'MARCH - VISIT DATA'!$A$2:$J600,7,FALSE), $N442="SWAB","OUTSA-RW",$N442="SWQU","OUTSA-SaQu", AND($L442="X",$M442="X",$N442="QUEST"),"OUT-UAQPre",$N442="QUEST","OUT-UAQ", $N442="Walk in","ColUATele")</f>
        <v>#N/A</v>
      </c>
      <c r="W442" s="70" t="str">
        <f t="shared" si="9"/>
        <v>#N/A</v>
      </c>
      <c r="X442" s="64" t="str">
        <f t="shared" si="10"/>
        <v/>
      </c>
      <c r="Y442" s="64" t="str">
        <f t="shared" si="11"/>
        <v/>
      </c>
      <c r="Z442" s="66" t="str">
        <f t="shared" si="12"/>
        <v> </v>
      </c>
      <c r="AA442" s="71"/>
    </row>
    <row r="443" ht="15.75" customHeight="1">
      <c r="A443" s="56" t="str">
        <f t="shared" si="1"/>
        <v/>
      </c>
      <c r="B443" s="56" t="str">
        <f>IFS($C443=FALSE,"",$C443,VLOOKUP($C443,'PATIENT DATA (072721)'!A:C, 2, 0))</f>
        <v/>
      </c>
      <c r="C443" s="57"/>
      <c r="D443" s="127" t="str">
        <f>IF(COUNTIF('PATIENT DATA (072721)'!A:A, C443)=0, "X","✓")</f>
        <v>X</v>
      </c>
      <c r="E443" s="79"/>
      <c r="F443" s="80"/>
      <c r="G443" s="81" t="str">
        <f>ifs($C443="","",$C443, VLOOKUP($C443&amp;$F443, 'MARCH - VISIT DATA'!A:O,3,0))</f>
        <v/>
      </c>
      <c r="H443" s="83"/>
      <c r="I443" s="122" t="str">
        <f>VLOOKUP($C443&amp;$F443,'MARCH - VISIT DATA'!A:J, 9, FALSE)</f>
        <v>#N/A</v>
      </c>
      <c r="J443" s="85" t="str">
        <f>VLOOKUP(C443&amp;F443,'MARCH - VISIT DATA'!A:O,10,FALSE)</f>
        <v>#N/A</v>
      </c>
      <c r="K443" s="86"/>
      <c r="L443" s="86"/>
      <c r="M443" s="86"/>
      <c r="N443" s="86"/>
      <c r="O443" s="121" t="str">
        <f t="shared" si="2"/>
        <v>X</v>
      </c>
      <c r="P443" s="79" t="str">
        <f t="shared" si="3"/>
        <v>#N/A</v>
      </c>
      <c r="Q443" s="123" t="str">
        <f t="shared" si="4"/>
        <v>#N/A</v>
      </c>
      <c r="R443" s="124" t="str">
        <f t="shared" si="5"/>
        <v>#N/A</v>
      </c>
      <c r="S443" s="125" t="str">
        <f t="shared" si="6"/>
        <v>#N/A</v>
      </c>
      <c r="T443" s="125" t="str">
        <f t="shared" si="7"/>
        <v>#N/A</v>
      </c>
      <c r="U443" s="83">
        <f t="shared" si="8"/>
        <v>0</v>
      </c>
      <c r="V443" s="88" t="str">
        <f>ifs($N443="",VLOOKUP($C443&amp;$F443,'MARCH - VISIT DATA'!$A$2:$J600,7,FALSE), $N443="SWAB","OUTSA-RW",$N443="SWQU","OUTSA-SaQu", AND($L443="X",$M443="X",$N443="QUEST"),"OUT-UAQPre",$N443="QUEST","OUT-UAQ", $N443="Walk in","ColUATele")</f>
        <v>#N/A</v>
      </c>
      <c r="W443" s="70" t="str">
        <f t="shared" si="9"/>
        <v>#N/A</v>
      </c>
      <c r="X443" s="64" t="str">
        <f t="shared" si="10"/>
        <v/>
      </c>
      <c r="Y443" s="64" t="str">
        <f t="shared" si="11"/>
        <v/>
      </c>
      <c r="Z443" s="66" t="str">
        <f t="shared" si="12"/>
        <v> </v>
      </c>
      <c r="AA443" s="71"/>
    </row>
    <row r="444" ht="15.75" customHeight="1">
      <c r="A444" s="56" t="str">
        <f t="shared" si="1"/>
        <v/>
      </c>
      <c r="B444" s="56" t="str">
        <f>IFS($C444=FALSE,"",$C444,VLOOKUP($C444,'PATIENT DATA (072721)'!A:C, 2, 0))</f>
        <v/>
      </c>
      <c r="C444" s="57"/>
      <c r="D444" s="127" t="str">
        <f>IF(COUNTIF('PATIENT DATA (072721)'!A:A, C444)=0, "X","✓")</f>
        <v>X</v>
      </c>
      <c r="E444" s="79"/>
      <c r="F444" s="80"/>
      <c r="G444" s="81" t="str">
        <f>ifs($C444="","",$C444, VLOOKUP($C444&amp;$F444, 'MARCH - VISIT DATA'!A:O,3,0))</f>
        <v/>
      </c>
      <c r="H444" s="83"/>
      <c r="I444" s="122" t="str">
        <f>VLOOKUP($C444&amp;$F444,'MARCH - VISIT DATA'!A:J, 9, FALSE)</f>
        <v>#N/A</v>
      </c>
      <c r="J444" s="85" t="str">
        <f>VLOOKUP(C444&amp;F444,'MARCH - VISIT DATA'!A:O,10,FALSE)</f>
        <v>#N/A</v>
      </c>
      <c r="K444" s="86"/>
      <c r="L444" s="86"/>
      <c r="M444" s="86"/>
      <c r="N444" s="86"/>
      <c r="O444" s="121" t="str">
        <f t="shared" si="2"/>
        <v>X</v>
      </c>
      <c r="P444" s="79" t="str">
        <f t="shared" si="3"/>
        <v>#N/A</v>
      </c>
      <c r="Q444" s="123" t="str">
        <f t="shared" si="4"/>
        <v>#N/A</v>
      </c>
      <c r="R444" s="124" t="str">
        <f t="shared" si="5"/>
        <v>#N/A</v>
      </c>
      <c r="S444" s="125" t="str">
        <f t="shared" si="6"/>
        <v>#N/A</v>
      </c>
      <c r="T444" s="125" t="str">
        <f t="shared" si="7"/>
        <v>#N/A</v>
      </c>
      <c r="U444" s="83">
        <f t="shared" si="8"/>
        <v>0</v>
      </c>
      <c r="V444" s="88" t="str">
        <f>ifs($N444="",VLOOKUP($C444&amp;$F444,'MARCH - VISIT DATA'!$A$2:$J600,7,FALSE), $N444="SWAB","OUTSA-RW",$N444="SWQU","OUTSA-SaQu", AND($L444="X",$M444="X",$N444="QUEST"),"OUT-UAQPre",$N444="QUEST","OUT-UAQ", $N444="Walk in","ColUATele")</f>
        <v>#N/A</v>
      </c>
      <c r="W444" s="70" t="str">
        <f t="shared" si="9"/>
        <v>#N/A</v>
      </c>
      <c r="X444" s="64" t="str">
        <f t="shared" si="10"/>
        <v/>
      </c>
      <c r="Y444" s="64" t="str">
        <f t="shared" si="11"/>
        <v/>
      </c>
      <c r="Z444" s="66" t="str">
        <f t="shared" si="12"/>
        <v> </v>
      </c>
      <c r="AA444" s="71"/>
    </row>
    <row r="445" ht="15.75" customHeight="1">
      <c r="A445" s="56" t="str">
        <f t="shared" si="1"/>
        <v/>
      </c>
      <c r="B445" s="56" t="str">
        <f>IFS($C445=FALSE,"",$C445,VLOOKUP($C445,'PATIENT DATA (072721)'!A:C, 2, 0))</f>
        <v/>
      </c>
      <c r="C445" s="57"/>
      <c r="D445" s="127" t="str">
        <f>IF(COUNTIF('PATIENT DATA (072721)'!A:A, C445)=0, "X","✓")</f>
        <v>X</v>
      </c>
      <c r="E445" s="79"/>
      <c r="F445" s="80"/>
      <c r="G445" s="81" t="str">
        <f>ifs($C445="","",$C445, VLOOKUP($C445&amp;$F445, 'MARCH - VISIT DATA'!A:O,3,0))</f>
        <v/>
      </c>
      <c r="H445" s="83"/>
      <c r="I445" s="122" t="str">
        <f>VLOOKUP($C445&amp;$F445,'MARCH - VISIT DATA'!A:J, 9, FALSE)</f>
        <v>#N/A</v>
      </c>
      <c r="J445" s="85" t="str">
        <f>VLOOKUP(C445&amp;F445,'MARCH - VISIT DATA'!A:O,10,FALSE)</f>
        <v>#N/A</v>
      </c>
      <c r="K445" s="86"/>
      <c r="L445" s="86"/>
      <c r="M445" s="86"/>
      <c r="N445" s="86"/>
      <c r="O445" s="121" t="str">
        <f t="shared" si="2"/>
        <v>X</v>
      </c>
      <c r="P445" s="79" t="str">
        <f t="shared" si="3"/>
        <v>#N/A</v>
      </c>
      <c r="Q445" s="123" t="str">
        <f t="shared" si="4"/>
        <v>#N/A</v>
      </c>
      <c r="R445" s="124" t="str">
        <f t="shared" si="5"/>
        <v>#N/A</v>
      </c>
      <c r="S445" s="125" t="str">
        <f t="shared" si="6"/>
        <v>#N/A</v>
      </c>
      <c r="T445" s="125" t="str">
        <f t="shared" si="7"/>
        <v>#N/A</v>
      </c>
      <c r="U445" s="83">
        <f t="shared" si="8"/>
        <v>0</v>
      </c>
      <c r="V445" s="88" t="str">
        <f>ifs($N445="",VLOOKUP($C445&amp;$F445,'MARCH - VISIT DATA'!$A$2:$J600,7,FALSE), $N445="SWAB","OUTSA-RW",$N445="SWQU","OUTSA-SaQu", AND($L445="X",$M445="X",$N445="QUEST"),"OUT-UAQPre",$N445="QUEST","OUT-UAQ", $N445="Walk in","ColUATele")</f>
        <v>#N/A</v>
      </c>
      <c r="W445" s="70" t="str">
        <f t="shared" si="9"/>
        <v>#N/A</v>
      </c>
      <c r="X445" s="64" t="str">
        <f t="shared" si="10"/>
        <v/>
      </c>
      <c r="Y445" s="64" t="str">
        <f t="shared" si="11"/>
        <v/>
      </c>
      <c r="Z445" s="66" t="str">
        <f t="shared" si="12"/>
        <v> </v>
      </c>
      <c r="AA445" s="71"/>
    </row>
    <row r="446" ht="15.75" customHeight="1">
      <c r="A446" s="56" t="str">
        <f t="shared" si="1"/>
        <v/>
      </c>
      <c r="B446" s="56" t="str">
        <f>IFS($C446=FALSE,"",$C446,VLOOKUP($C446,'PATIENT DATA (072721)'!A:C, 2, 0))</f>
        <v/>
      </c>
      <c r="C446" s="57"/>
      <c r="D446" s="127" t="str">
        <f>IF(COUNTIF('PATIENT DATA (072721)'!A:A, C446)=0, "X","✓")</f>
        <v>X</v>
      </c>
      <c r="E446" s="79"/>
      <c r="F446" s="80"/>
      <c r="G446" s="81" t="str">
        <f>ifs($C446="","",$C446, VLOOKUP($C446&amp;$F446, 'MARCH - VISIT DATA'!A:O,3,0))</f>
        <v/>
      </c>
      <c r="H446" s="83"/>
      <c r="I446" s="122" t="str">
        <f>VLOOKUP($C446&amp;$F446,'MARCH - VISIT DATA'!A:J, 9, FALSE)</f>
        <v>#N/A</v>
      </c>
      <c r="J446" s="85" t="str">
        <f>VLOOKUP(C446&amp;F446,'MARCH - VISIT DATA'!A:O,10,FALSE)</f>
        <v>#N/A</v>
      </c>
      <c r="K446" s="86"/>
      <c r="L446" s="86"/>
      <c r="M446" s="86"/>
      <c r="N446" s="86"/>
      <c r="O446" s="121" t="str">
        <f t="shared" si="2"/>
        <v>X</v>
      </c>
      <c r="P446" s="79" t="str">
        <f t="shared" si="3"/>
        <v>#N/A</v>
      </c>
      <c r="Q446" s="123" t="str">
        <f t="shared" si="4"/>
        <v>#N/A</v>
      </c>
      <c r="R446" s="124" t="str">
        <f t="shared" si="5"/>
        <v>#N/A</v>
      </c>
      <c r="S446" s="125" t="str">
        <f t="shared" si="6"/>
        <v>#N/A</v>
      </c>
      <c r="T446" s="125" t="str">
        <f t="shared" si="7"/>
        <v>#N/A</v>
      </c>
      <c r="U446" s="83">
        <f t="shared" si="8"/>
        <v>0</v>
      </c>
      <c r="V446" s="88" t="str">
        <f>ifs($N446="",VLOOKUP($C446&amp;$F446,'MARCH - VISIT DATA'!$A$2:$J600,7,FALSE), $N446="SWAB","OUTSA-RW",$N446="SWQU","OUTSA-SaQu", AND($L446="X",$M446="X",$N446="QUEST"),"OUT-UAQPre",$N446="QUEST","OUT-UAQ", $N446="Walk in","ColUATele")</f>
        <v>#N/A</v>
      </c>
      <c r="W446" s="70" t="str">
        <f t="shared" si="9"/>
        <v>#N/A</v>
      </c>
      <c r="X446" s="64" t="str">
        <f t="shared" si="10"/>
        <v/>
      </c>
      <c r="Y446" s="64" t="str">
        <f t="shared" si="11"/>
        <v/>
      </c>
      <c r="Z446" s="66" t="str">
        <f t="shared" si="12"/>
        <v> </v>
      </c>
      <c r="AA446" s="71"/>
    </row>
    <row r="447" ht="15.75" customHeight="1">
      <c r="A447" s="56" t="str">
        <f t="shared" si="1"/>
        <v/>
      </c>
      <c r="B447" s="56" t="str">
        <f>IFS($C447=FALSE,"",$C447,VLOOKUP($C447,'PATIENT DATA (072721)'!A:C, 2, 0))</f>
        <v/>
      </c>
      <c r="C447" s="57"/>
      <c r="D447" s="127" t="str">
        <f>IF(COUNTIF('PATIENT DATA (072721)'!A:A, C447)=0, "X","✓")</f>
        <v>X</v>
      </c>
      <c r="E447" s="79"/>
      <c r="F447" s="80"/>
      <c r="G447" s="81" t="str">
        <f>ifs($C447="","",$C447, VLOOKUP($C447&amp;$F447, 'MARCH - VISIT DATA'!A:O,3,0))</f>
        <v/>
      </c>
      <c r="H447" s="83"/>
      <c r="I447" s="122" t="str">
        <f>VLOOKUP($C447&amp;$F447,'MARCH - VISIT DATA'!A:J, 9, FALSE)</f>
        <v>#N/A</v>
      </c>
      <c r="J447" s="85" t="str">
        <f>VLOOKUP(C447&amp;F447,'MARCH - VISIT DATA'!A:O,10,FALSE)</f>
        <v>#N/A</v>
      </c>
      <c r="K447" s="86"/>
      <c r="L447" s="86"/>
      <c r="M447" s="86"/>
      <c r="N447" s="86"/>
      <c r="O447" s="121" t="str">
        <f t="shared" si="2"/>
        <v>X</v>
      </c>
      <c r="P447" s="79" t="str">
        <f t="shared" si="3"/>
        <v>#N/A</v>
      </c>
      <c r="Q447" s="123" t="str">
        <f t="shared" si="4"/>
        <v>#N/A</v>
      </c>
      <c r="R447" s="124" t="str">
        <f t="shared" si="5"/>
        <v>#N/A</v>
      </c>
      <c r="S447" s="125" t="str">
        <f t="shared" si="6"/>
        <v>#N/A</v>
      </c>
      <c r="T447" s="125" t="str">
        <f t="shared" si="7"/>
        <v>#N/A</v>
      </c>
      <c r="U447" s="83">
        <f t="shared" si="8"/>
        <v>0</v>
      </c>
      <c r="V447" s="88" t="str">
        <f>ifs($N447="",VLOOKUP($C447&amp;$F447,'MARCH - VISIT DATA'!$A$2:$J600,7,FALSE), $N447="SWAB","OUTSA-RW",$N447="SWQU","OUTSA-SaQu", AND($L447="X",$M447="X",$N447="QUEST"),"OUT-UAQPre",$N447="QUEST","OUT-UAQ", $N447="Walk in","ColUATele")</f>
        <v>#N/A</v>
      </c>
      <c r="W447" s="70" t="str">
        <f t="shared" si="9"/>
        <v>#N/A</v>
      </c>
      <c r="X447" s="64" t="str">
        <f t="shared" si="10"/>
        <v/>
      </c>
      <c r="Y447" s="64" t="str">
        <f t="shared" si="11"/>
        <v/>
      </c>
      <c r="Z447" s="66" t="str">
        <f t="shared" si="12"/>
        <v> </v>
      </c>
      <c r="AA447" s="71"/>
    </row>
    <row r="448" ht="15.75" customHeight="1">
      <c r="A448" s="56" t="str">
        <f t="shared" si="1"/>
        <v/>
      </c>
      <c r="B448" s="56" t="str">
        <f>IFS($C448=FALSE,"",$C448,VLOOKUP($C448,'PATIENT DATA (072721)'!A:C, 2, 0))</f>
        <v/>
      </c>
      <c r="C448" s="57"/>
      <c r="D448" s="127" t="str">
        <f>IF(COUNTIF('PATIENT DATA (072721)'!A:A, C448)=0, "X","✓")</f>
        <v>X</v>
      </c>
      <c r="E448" s="79"/>
      <c r="F448" s="80"/>
      <c r="G448" s="81" t="str">
        <f>ifs($C448="","",$C448, VLOOKUP($C448&amp;$F448, 'MARCH - VISIT DATA'!A:O,3,0))</f>
        <v/>
      </c>
      <c r="H448" s="83"/>
      <c r="I448" s="122" t="str">
        <f>VLOOKUP($C448&amp;$F448,'MARCH - VISIT DATA'!A:J, 9, FALSE)</f>
        <v>#N/A</v>
      </c>
      <c r="J448" s="85" t="str">
        <f>VLOOKUP(C448&amp;F448,'MARCH - VISIT DATA'!A:O,10,FALSE)</f>
        <v>#N/A</v>
      </c>
      <c r="K448" s="86"/>
      <c r="L448" s="86"/>
      <c r="M448" s="86"/>
      <c r="N448" s="86"/>
      <c r="O448" s="121" t="str">
        <f t="shared" si="2"/>
        <v>X</v>
      </c>
      <c r="P448" s="79" t="str">
        <f t="shared" si="3"/>
        <v>#N/A</v>
      </c>
      <c r="Q448" s="123" t="str">
        <f t="shared" si="4"/>
        <v>#N/A</v>
      </c>
      <c r="R448" s="124" t="str">
        <f t="shared" si="5"/>
        <v>#N/A</v>
      </c>
      <c r="S448" s="125" t="str">
        <f t="shared" si="6"/>
        <v>#N/A</v>
      </c>
      <c r="T448" s="125" t="str">
        <f t="shared" si="7"/>
        <v>#N/A</v>
      </c>
      <c r="U448" s="83">
        <f t="shared" si="8"/>
        <v>0</v>
      </c>
      <c r="V448" s="88" t="str">
        <f>ifs($N448="",VLOOKUP($C448&amp;$F448,'MARCH - VISIT DATA'!$A$2:$J600,7,FALSE), $N448="SWAB","OUTSA-RW",$N448="SWQU","OUTSA-SaQu", AND($L448="X",$M448="X",$N448="QUEST"),"OUT-UAQPre",$N448="QUEST","OUT-UAQ", $N448="Walk in","ColUATele")</f>
        <v>#N/A</v>
      </c>
      <c r="W448" s="70" t="str">
        <f t="shared" si="9"/>
        <v>#N/A</v>
      </c>
      <c r="X448" s="64" t="str">
        <f t="shared" si="10"/>
        <v/>
      </c>
      <c r="Y448" s="64" t="str">
        <f t="shared" si="11"/>
        <v/>
      </c>
      <c r="Z448" s="66" t="str">
        <f t="shared" si="12"/>
        <v> </v>
      </c>
      <c r="AA448" s="71"/>
    </row>
    <row r="449" ht="15.75" customHeight="1">
      <c r="A449" s="56" t="str">
        <f t="shared" si="1"/>
        <v/>
      </c>
      <c r="B449" s="56" t="str">
        <f>IFS($C449=FALSE,"",$C449,VLOOKUP($C449,'PATIENT DATA (072721)'!A:C, 2, 0))</f>
        <v/>
      </c>
      <c r="C449" s="57"/>
      <c r="D449" s="127" t="str">
        <f>IF(COUNTIF('PATIENT DATA (072721)'!A:A, C449)=0, "X","✓")</f>
        <v>X</v>
      </c>
      <c r="E449" s="79"/>
      <c r="F449" s="80"/>
      <c r="G449" s="81" t="str">
        <f>ifs($C449="","",$C449, VLOOKUP($C449&amp;$F449, 'MARCH - VISIT DATA'!A:O,3,0))</f>
        <v/>
      </c>
      <c r="H449" s="83"/>
      <c r="I449" s="122" t="str">
        <f>VLOOKUP($C449&amp;$F449,'MARCH - VISIT DATA'!A:J, 9, FALSE)</f>
        <v>#N/A</v>
      </c>
      <c r="J449" s="85" t="str">
        <f>VLOOKUP(C449&amp;F449,'MARCH - VISIT DATA'!A:O,10,FALSE)</f>
        <v>#N/A</v>
      </c>
      <c r="K449" s="86"/>
      <c r="L449" s="86"/>
      <c r="M449" s="86"/>
      <c r="N449" s="86"/>
      <c r="O449" s="121" t="str">
        <f t="shared" si="2"/>
        <v>X</v>
      </c>
      <c r="P449" s="79" t="str">
        <f t="shared" si="3"/>
        <v>#N/A</v>
      </c>
      <c r="Q449" s="123" t="str">
        <f t="shared" si="4"/>
        <v>#N/A</v>
      </c>
      <c r="R449" s="124" t="str">
        <f t="shared" si="5"/>
        <v>#N/A</v>
      </c>
      <c r="S449" s="125" t="str">
        <f t="shared" si="6"/>
        <v>#N/A</v>
      </c>
      <c r="T449" s="125" t="str">
        <f t="shared" si="7"/>
        <v>#N/A</v>
      </c>
      <c r="U449" s="83">
        <f t="shared" si="8"/>
        <v>0</v>
      </c>
      <c r="V449" s="88" t="str">
        <f>ifs($N449="",VLOOKUP($C449&amp;$F449,'MARCH - VISIT DATA'!$A$2:$J600,7,FALSE), $N449="SWAB","OUTSA-RW",$N449="SWQU","OUTSA-SaQu", AND($L449="X",$M449="X",$N449="QUEST"),"OUT-UAQPre",$N449="QUEST","OUT-UAQ", $N449="Walk in","ColUATele")</f>
        <v>#N/A</v>
      </c>
      <c r="W449" s="70" t="str">
        <f t="shared" si="9"/>
        <v>#N/A</v>
      </c>
      <c r="X449" s="64" t="str">
        <f t="shared" si="10"/>
        <v/>
      </c>
      <c r="Y449" s="64" t="str">
        <f t="shared" si="11"/>
        <v/>
      </c>
      <c r="Z449" s="66" t="str">
        <f t="shared" si="12"/>
        <v> </v>
      </c>
      <c r="AA449" s="71"/>
    </row>
    <row r="450" ht="15.75" customHeight="1">
      <c r="A450" s="56" t="str">
        <f t="shared" si="1"/>
        <v/>
      </c>
      <c r="B450" s="56" t="str">
        <f>IFS($C450=FALSE,"",$C450,VLOOKUP($C450,'PATIENT DATA (072721)'!A:C, 2, 0))</f>
        <v/>
      </c>
      <c r="C450" s="57"/>
      <c r="D450" s="127" t="str">
        <f>IF(COUNTIF('PATIENT DATA (072721)'!A:A, C450)=0, "X","✓")</f>
        <v>X</v>
      </c>
      <c r="E450" s="79"/>
      <c r="F450" s="80"/>
      <c r="G450" s="81" t="str">
        <f>ifs($C450="","",$C450, VLOOKUP($C450&amp;$F450, 'MARCH - VISIT DATA'!A:O,3,0))</f>
        <v/>
      </c>
      <c r="H450" s="83"/>
      <c r="I450" s="122" t="str">
        <f>VLOOKUP($C450&amp;$F450,'MARCH - VISIT DATA'!A:J, 9, FALSE)</f>
        <v>#N/A</v>
      </c>
      <c r="J450" s="85" t="str">
        <f>VLOOKUP(C450&amp;F450,'MARCH - VISIT DATA'!A:O,10,FALSE)</f>
        <v>#N/A</v>
      </c>
      <c r="K450" s="86"/>
      <c r="L450" s="86"/>
      <c r="M450" s="86"/>
      <c r="N450" s="86"/>
      <c r="O450" s="121" t="str">
        <f t="shared" si="2"/>
        <v>X</v>
      </c>
      <c r="P450" s="79" t="str">
        <f t="shared" si="3"/>
        <v>#N/A</v>
      </c>
      <c r="Q450" s="123" t="str">
        <f t="shared" si="4"/>
        <v>#N/A</v>
      </c>
      <c r="R450" s="124" t="str">
        <f t="shared" si="5"/>
        <v>#N/A</v>
      </c>
      <c r="S450" s="125" t="str">
        <f t="shared" si="6"/>
        <v>#N/A</v>
      </c>
      <c r="T450" s="125" t="str">
        <f t="shared" si="7"/>
        <v>#N/A</v>
      </c>
      <c r="U450" s="83">
        <f t="shared" si="8"/>
        <v>0</v>
      </c>
      <c r="V450" s="88" t="str">
        <f>ifs($N450="",VLOOKUP($C450&amp;$F450,'MARCH - VISIT DATA'!$A$2:$J600,7,FALSE), $N450="SWAB","OUTSA-RW",$N450="SWQU","OUTSA-SaQu", AND($L450="X",$M450="X",$N450="QUEST"),"OUT-UAQPre",$N450="QUEST","OUT-UAQ", $N450="Walk in","ColUATele")</f>
        <v>#N/A</v>
      </c>
      <c r="W450" s="70" t="str">
        <f t="shared" si="9"/>
        <v>#N/A</v>
      </c>
      <c r="X450" s="64" t="str">
        <f t="shared" si="10"/>
        <v/>
      </c>
      <c r="Y450" s="64" t="str">
        <f t="shared" si="11"/>
        <v/>
      </c>
      <c r="Z450" s="66" t="str">
        <f t="shared" si="12"/>
        <v> </v>
      </c>
      <c r="AA450" s="71"/>
    </row>
    <row r="451" ht="15.75" customHeight="1">
      <c r="A451" s="56" t="str">
        <f t="shared" si="1"/>
        <v/>
      </c>
      <c r="B451" s="56" t="str">
        <f>IFS($C451=FALSE,"",$C451,VLOOKUP($C451,'PATIENT DATA (072721)'!A:C, 2, 0))</f>
        <v/>
      </c>
      <c r="C451" s="57"/>
      <c r="D451" s="127" t="str">
        <f>IF(COUNTIF('PATIENT DATA (072721)'!A:A, C451)=0, "X","✓")</f>
        <v>X</v>
      </c>
      <c r="E451" s="79"/>
      <c r="F451" s="80"/>
      <c r="G451" s="81" t="str">
        <f>ifs($C451="","",$C451, VLOOKUP($C451&amp;$F451, 'MARCH - VISIT DATA'!A:O,3,0))</f>
        <v/>
      </c>
      <c r="H451" s="83"/>
      <c r="I451" s="122" t="str">
        <f>VLOOKUP($C451&amp;$F451,'MARCH - VISIT DATA'!A:J, 9, FALSE)</f>
        <v>#N/A</v>
      </c>
      <c r="J451" s="85" t="str">
        <f>VLOOKUP(C451&amp;F451,'MARCH - VISIT DATA'!A:O,10,FALSE)</f>
        <v>#N/A</v>
      </c>
      <c r="K451" s="86"/>
      <c r="L451" s="86"/>
      <c r="M451" s="86"/>
      <c r="N451" s="86"/>
      <c r="O451" s="121" t="str">
        <f t="shared" si="2"/>
        <v>X</v>
      </c>
      <c r="P451" s="79" t="str">
        <f t="shared" si="3"/>
        <v>#N/A</v>
      </c>
      <c r="Q451" s="123" t="str">
        <f t="shared" si="4"/>
        <v>#N/A</v>
      </c>
      <c r="R451" s="124" t="str">
        <f t="shared" si="5"/>
        <v>#N/A</v>
      </c>
      <c r="S451" s="125" t="str">
        <f t="shared" si="6"/>
        <v>#N/A</v>
      </c>
      <c r="T451" s="125" t="str">
        <f t="shared" si="7"/>
        <v>#N/A</v>
      </c>
      <c r="U451" s="83">
        <f t="shared" si="8"/>
        <v>0</v>
      </c>
      <c r="V451" s="88" t="str">
        <f>ifs($N451="",VLOOKUP($C451&amp;$F451,'MARCH - VISIT DATA'!$A$2:$J600,7,FALSE), $N451="SWAB","OUTSA-RW",$N451="SWQU","OUTSA-SaQu", AND($L451="X",$M451="X",$N451="QUEST"),"OUT-UAQPre",$N451="QUEST","OUT-UAQ", $N451="Walk in","ColUATele")</f>
        <v>#N/A</v>
      </c>
      <c r="W451" s="70" t="str">
        <f t="shared" si="9"/>
        <v>#N/A</v>
      </c>
      <c r="X451" s="64" t="str">
        <f t="shared" si="10"/>
        <v/>
      </c>
      <c r="Y451" s="64" t="str">
        <f t="shared" si="11"/>
        <v/>
      </c>
      <c r="Z451" s="66" t="str">
        <f t="shared" si="12"/>
        <v> </v>
      </c>
      <c r="AA451" s="71"/>
    </row>
    <row r="452" ht="15.75" customHeight="1">
      <c r="A452" s="56" t="str">
        <f t="shared" si="1"/>
        <v/>
      </c>
      <c r="B452" s="56" t="str">
        <f>IFS($C452=FALSE,"",$C452,VLOOKUP($C452,'PATIENT DATA (072721)'!A:C, 2, 0))</f>
        <v/>
      </c>
      <c r="C452" s="57"/>
      <c r="D452" s="127" t="str">
        <f>IF(COUNTIF('PATIENT DATA (072721)'!A:A, C452)=0, "X","✓")</f>
        <v>X</v>
      </c>
      <c r="E452" s="79"/>
      <c r="F452" s="80"/>
      <c r="G452" s="81" t="str">
        <f>ifs($C452="","",$C452, VLOOKUP($C452&amp;$F452, 'MARCH - VISIT DATA'!A:O,3,0))</f>
        <v/>
      </c>
      <c r="H452" s="83"/>
      <c r="I452" s="122" t="str">
        <f>VLOOKUP($C452&amp;$F452,'MARCH - VISIT DATA'!A:J, 9, FALSE)</f>
        <v>#N/A</v>
      </c>
      <c r="J452" s="85" t="str">
        <f>VLOOKUP(C452&amp;F452,'MARCH - VISIT DATA'!A:O,10,FALSE)</f>
        <v>#N/A</v>
      </c>
      <c r="K452" s="86"/>
      <c r="L452" s="86"/>
      <c r="M452" s="86"/>
      <c r="N452" s="86"/>
      <c r="O452" s="121" t="str">
        <f t="shared" si="2"/>
        <v>X</v>
      </c>
      <c r="P452" s="79" t="str">
        <f t="shared" si="3"/>
        <v>#N/A</v>
      </c>
      <c r="Q452" s="123" t="str">
        <f t="shared" si="4"/>
        <v>#N/A</v>
      </c>
      <c r="R452" s="124" t="str">
        <f t="shared" si="5"/>
        <v>#N/A</v>
      </c>
      <c r="S452" s="125" t="str">
        <f t="shared" si="6"/>
        <v>#N/A</v>
      </c>
      <c r="T452" s="125" t="str">
        <f t="shared" si="7"/>
        <v>#N/A</v>
      </c>
      <c r="U452" s="83">
        <f t="shared" si="8"/>
        <v>0</v>
      </c>
      <c r="V452" s="88" t="str">
        <f>ifs($N452="",VLOOKUP($C452&amp;$F452,'MARCH - VISIT DATA'!$A$2:$J600,7,FALSE), $N452="SWAB","OUTSA-RW",$N452="SWQU","OUTSA-SaQu", AND($L452="X",$M452="X",$N452="QUEST"),"OUT-UAQPre",$N452="QUEST","OUT-UAQ", $N452="Walk in","ColUATele")</f>
        <v>#N/A</v>
      </c>
      <c r="W452" s="70" t="str">
        <f t="shared" si="9"/>
        <v>#N/A</v>
      </c>
      <c r="X452" s="64" t="str">
        <f t="shared" si="10"/>
        <v/>
      </c>
      <c r="Y452" s="64" t="str">
        <f t="shared" si="11"/>
        <v/>
      </c>
      <c r="Z452" s="66" t="str">
        <f t="shared" si="12"/>
        <v> </v>
      </c>
      <c r="AA452" s="71"/>
    </row>
    <row r="453" ht="15.75" customHeight="1">
      <c r="A453" s="56" t="str">
        <f t="shared" si="1"/>
        <v/>
      </c>
      <c r="B453" s="56" t="str">
        <f>IFS($C453=FALSE,"",$C453,VLOOKUP($C453,'PATIENT DATA (072721)'!A:C, 2, 0))</f>
        <v/>
      </c>
      <c r="C453" s="57"/>
      <c r="D453" s="127" t="str">
        <f>IF(COUNTIF('PATIENT DATA (072721)'!A:A, C453)=0, "X","✓")</f>
        <v>X</v>
      </c>
      <c r="E453" s="79"/>
      <c r="F453" s="80"/>
      <c r="G453" s="81" t="str">
        <f>ifs($C453="","",$C453, VLOOKUP($C453&amp;$F453, 'MARCH - VISIT DATA'!A:O,3,0))</f>
        <v/>
      </c>
      <c r="H453" s="83"/>
      <c r="I453" s="122" t="str">
        <f>VLOOKUP($C453&amp;$F453,'MARCH - VISIT DATA'!A:J, 9, FALSE)</f>
        <v>#N/A</v>
      </c>
      <c r="J453" s="85" t="str">
        <f>VLOOKUP(C453&amp;F453,'MARCH - VISIT DATA'!A:O,10,FALSE)</f>
        <v>#N/A</v>
      </c>
      <c r="K453" s="86"/>
      <c r="L453" s="86"/>
      <c r="M453" s="86"/>
      <c r="N453" s="86"/>
      <c r="O453" s="121" t="str">
        <f t="shared" si="2"/>
        <v>X</v>
      </c>
      <c r="P453" s="79" t="str">
        <f t="shared" si="3"/>
        <v>#N/A</v>
      </c>
      <c r="Q453" s="123" t="str">
        <f t="shared" si="4"/>
        <v>#N/A</v>
      </c>
      <c r="R453" s="124" t="str">
        <f t="shared" si="5"/>
        <v>#N/A</v>
      </c>
      <c r="S453" s="125" t="str">
        <f t="shared" si="6"/>
        <v>#N/A</v>
      </c>
      <c r="T453" s="125" t="str">
        <f t="shared" si="7"/>
        <v>#N/A</v>
      </c>
      <c r="U453" s="83">
        <f t="shared" si="8"/>
        <v>0</v>
      </c>
      <c r="V453" s="88" t="str">
        <f>ifs($N453="",VLOOKUP($C453&amp;$F453,'MARCH - VISIT DATA'!$A$2:$J600,7,FALSE), $N453="SWAB","OUTSA-RW",$N453="SWQU","OUTSA-SaQu", AND($L453="X",$M453="X",$N453="QUEST"),"OUT-UAQPre",$N453="QUEST","OUT-UAQ", $N453="Walk in","ColUATele")</f>
        <v>#N/A</v>
      </c>
      <c r="W453" s="70" t="str">
        <f t="shared" si="9"/>
        <v>#N/A</v>
      </c>
      <c r="X453" s="64" t="str">
        <f t="shared" si="10"/>
        <v/>
      </c>
      <c r="Y453" s="64" t="str">
        <f t="shared" si="11"/>
        <v/>
      </c>
      <c r="Z453" s="66" t="str">
        <f t="shared" si="12"/>
        <v> </v>
      </c>
      <c r="AA453" s="71"/>
    </row>
    <row r="454" ht="15.75" customHeight="1">
      <c r="A454" s="56" t="str">
        <f t="shared" si="1"/>
        <v/>
      </c>
      <c r="B454" s="56" t="str">
        <f>IFS($C454=FALSE,"",$C454,VLOOKUP($C454,'PATIENT DATA (072721)'!A:C, 2, 0))</f>
        <v/>
      </c>
      <c r="C454" s="57"/>
      <c r="D454" s="127" t="str">
        <f>IF(COUNTIF('PATIENT DATA (072721)'!A:A, C454)=0, "X","✓")</f>
        <v>X</v>
      </c>
      <c r="E454" s="79"/>
      <c r="F454" s="80"/>
      <c r="G454" s="81" t="str">
        <f>ifs($C454="","",$C454, VLOOKUP($C454&amp;$F454, 'MARCH - VISIT DATA'!A:O,3,0))</f>
        <v/>
      </c>
      <c r="H454" s="83"/>
      <c r="I454" s="122" t="str">
        <f>VLOOKUP($C454&amp;$F454,'MARCH - VISIT DATA'!A:J, 9, FALSE)</f>
        <v>#N/A</v>
      </c>
      <c r="J454" s="85" t="str">
        <f>VLOOKUP(C454&amp;F454,'MARCH - VISIT DATA'!A:O,10,FALSE)</f>
        <v>#N/A</v>
      </c>
      <c r="K454" s="86"/>
      <c r="L454" s="86"/>
      <c r="M454" s="86"/>
      <c r="N454" s="86"/>
      <c r="O454" s="121" t="str">
        <f t="shared" si="2"/>
        <v>X</v>
      </c>
      <c r="P454" s="79" t="str">
        <f t="shared" si="3"/>
        <v>#N/A</v>
      </c>
      <c r="Q454" s="123" t="str">
        <f t="shared" si="4"/>
        <v>#N/A</v>
      </c>
      <c r="R454" s="124" t="str">
        <f t="shared" si="5"/>
        <v>#N/A</v>
      </c>
      <c r="S454" s="125" t="str">
        <f t="shared" si="6"/>
        <v>#N/A</v>
      </c>
      <c r="T454" s="125" t="str">
        <f t="shared" si="7"/>
        <v>#N/A</v>
      </c>
      <c r="U454" s="83">
        <f t="shared" si="8"/>
        <v>0</v>
      </c>
      <c r="V454" s="88" t="str">
        <f>ifs($N454="",VLOOKUP($C454&amp;$F454,'MARCH - VISIT DATA'!$A$2:$J600,7,FALSE), $N454="SWAB","OUTSA-RW",$N454="SWQU","OUTSA-SaQu", AND($L454="X",$M454="X",$N454="QUEST"),"OUT-UAQPre",$N454="QUEST","OUT-UAQ", $N454="Walk in","ColUATele")</f>
        <v>#N/A</v>
      </c>
      <c r="W454" s="70" t="str">
        <f t="shared" si="9"/>
        <v>#N/A</v>
      </c>
      <c r="X454" s="64" t="str">
        <f t="shared" si="10"/>
        <v/>
      </c>
      <c r="Y454" s="64" t="str">
        <f t="shared" si="11"/>
        <v/>
      </c>
      <c r="Z454" s="66" t="str">
        <f t="shared" si="12"/>
        <v> </v>
      </c>
      <c r="AA454" s="71"/>
    </row>
    <row r="455" ht="15.75" customHeight="1">
      <c r="A455" s="56" t="str">
        <f t="shared" si="1"/>
        <v/>
      </c>
      <c r="B455" s="56" t="str">
        <f>IFS($C455=FALSE,"",$C455,VLOOKUP($C455,'PATIENT DATA (072721)'!A:C, 2, 0))</f>
        <v/>
      </c>
      <c r="C455" s="57"/>
      <c r="D455" s="127" t="str">
        <f>IF(COUNTIF('PATIENT DATA (072721)'!A:A, C455)=0, "X","✓")</f>
        <v>X</v>
      </c>
      <c r="E455" s="79"/>
      <c r="F455" s="80"/>
      <c r="G455" s="81" t="str">
        <f>ifs($C455="","",$C455, VLOOKUP($C455&amp;$F455, 'MARCH - VISIT DATA'!A:O,3,0))</f>
        <v/>
      </c>
      <c r="H455" s="83"/>
      <c r="I455" s="122" t="str">
        <f>VLOOKUP($C455&amp;$F455,'MARCH - VISIT DATA'!A:J, 9, FALSE)</f>
        <v>#N/A</v>
      </c>
      <c r="J455" s="85" t="str">
        <f>VLOOKUP(C455&amp;F455,'MARCH - VISIT DATA'!A:O,10,FALSE)</f>
        <v>#N/A</v>
      </c>
      <c r="K455" s="86"/>
      <c r="L455" s="86"/>
      <c r="M455" s="86"/>
      <c r="N455" s="86"/>
      <c r="O455" s="121" t="str">
        <f t="shared" si="2"/>
        <v>X</v>
      </c>
      <c r="P455" s="79" t="str">
        <f t="shared" si="3"/>
        <v>#N/A</v>
      </c>
      <c r="Q455" s="123" t="str">
        <f t="shared" si="4"/>
        <v>#N/A</v>
      </c>
      <c r="R455" s="124" t="str">
        <f t="shared" si="5"/>
        <v>#N/A</v>
      </c>
      <c r="S455" s="125" t="str">
        <f t="shared" si="6"/>
        <v>#N/A</v>
      </c>
      <c r="T455" s="125" t="str">
        <f t="shared" si="7"/>
        <v>#N/A</v>
      </c>
      <c r="U455" s="83">
        <f t="shared" si="8"/>
        <v>0</v>
      </c>
      <c r="V455" s="88" t="str">
        <f>ifs($N455="",VLOOKUP($C455&amp;$F455,'MARCH - VISIT DATA'!$A$2:$J600,7,FALSE), $N455="SWAB","OUTSA-RW",$N455="SWQU","OUTSA-SaQu", AND($L455="X",$M455="X",$N455="QUEST"),"OUT-UAQPre",$N455="QUEST","OUT-UAQ", $N455="Walk in","ColUATele")</f>
        <v>#N/A</v>
      </c>
      <c r="W455" s="70" t="str">
        <f t="shared" si="9"/>
        <v>#N/A</v>
      </c>
      <c r="X455" s="64" t="str">
        <f t="shared" si="10"/>
        <v/>
      </c>
      <c r="Y455" s="64" t="str">
        <f t="shared" si="11"/>
        <v/>
      </c>
      <c r="Z455" s="66" t="str">
        <f t="shared" si="12"/>
        <v> </v>
      </c>
      <c r="AA455" s="71"/>
    </row>
    <row r="456" ht="15.75" customHeight="1">
      <c r="A456" s="56" t="str">
        <f t="shared" si="1"/>
        <v/>
      </c>
      <c r="B456" s="56" t="str">
        <f>IFS($C456=FALSE,"",$C456,VLOOKUP($C456,'PATIENT DATA (072721)'!A:C, 2, 0))</f>
        <v/>
      </c>
      <c r="C456" s="57"/>
      <c r="D456" s="127" t="str">
        <f>IF(COUNTIF('PATIENT DATA (072721)'!A:A, C456)=0, "X","✓")</f>
        <v>X</v>
      </c>
      <c r="E456" s="79"/>
      <c r="F456" s="80"/>
      <c r="G456" s="81" t="str">
        <f>ifs($C456="","",$C456, VLOOKUP($C456&amp;$F456, 'MARCH - VISIT DATA'!A:O,3,0))</f>
        <v/>
      </c>
      <c r="H456" s="83"/>
      <c r="I456" s="122" t="str">
        <f>VLOOKUP($C456&amp;$F456,'MARCH - VISIT DATA'!A:J, 9, FALSE)</f>
        <v>#N/A</v>
      </c>
      <c r="J456" s="85" t="str">
        <f>VLOOKUP(C456&amp;F456,'MARCH - VISIT DATA'!A:O,10,FALSE)</f>
        <v>#N/A</v>
      </c>
      <c r="K456" s="86"/>
      <c r="L456" s="86"/>
      <c r="M456" s="86"/>
      <c r="N456" s="86"/>
      <c r="O456" s="121" t="str">
        <f t="shared" si="2"/>
        <v>X</v>
      </c>
      <c r="P456" s="79" t="str">
        <f t="shared" si="3"/>
        <v>#N/A</v>
      </c>
      <c r="Q456" s="123" t="str">
        <f t="shared" si="4"/>
        <v>#N/A</v>
      </c>
      <c r="R456" s="124" t="str">
        <f t="shared" si="5"/>
        <v>#N/A</v>
      </c>
      <c r="S456" s="125" t="str">
        <f t="shared" si="6"/>
        <v>#N/A</v>
      </c>
      <c r="T456" s="125" t="str">
        <f t="shared" si="7"/>
        <v>#N/A</v>
      </c>
      <c r="U456" s="83">
        <f t="shared" si="8"/>
        <v>0</v>
      </c>
      <c r="V456" s="88" t="str">
        <f>ifs($N456="",VLOOKUP($C456&amp;$F456,'MARCH - VISIT DATA'!$A$2:$J600,7,FALSE), $N456="SWAB","OUTSA-RW",$N456="SWQU","OUTSA-SaQu", AND($L456="X",$M456="X",$N456="QUEST"),"OUT-UAQPre",$N456="QUEST","OUT-UAQ", $N456="Walk in","ColUATele")</f>
        <v>#N/A</v>
      </c>
      <c r="W456" s="70" t="str">
        <f t="shared" si="9"/>
        <v>#N/A</v>
      </c>
      <c r="X456" s="64" t="str">
        <f t="shared" si="10"/>
        <v/>
      </c>
      <c r="Y456" s="64" t="str">
        <f t="shared" si="11"/>
        <v/>
      </c>
      <c r="Z456" s="66" t="str">
        <f t="shared" si="12"/>
        <v> </v>
      </c>
      <c r="AA456" s="71"/>
    </row>
    <row r="457" ht="15.75" customHeight="1">
      <c r="A457" s="56" t="str">
        <f t="shared" si="1"/>
        <v/>
      </c>
      <c r="B457" s="56" t="str">
        <f>IFS($C457=FALSE,"",$C457,VLOOKUP($C457,'PATIENT DATA (072721)'!A:C, 2, 0))</f>
        <v/>
      </c>
      <c r="C457" s="57"/>
      <c r="D457" s="127" t="str">
        <f>IF(COUNTIF('PATIENT DATA (072721)'!A:A, C457)=0, "X","✓")</f>
        <v>X</v>
      </c>
      <c r="E457" s="79"/>
      <c r="F457" s="80"/>
      <c r="G457" s="81" t="str">
        <f>ifs($C457="","",$C457, VLOOKUP($C457&amp;$F457, 'MARCH - VISIT DATA'!A:O,3,0))</f>
        <v/>
      </c>
      <c r="H457" s="83"/>
      <c r="I457" s="122" t="str">
        <f>VLOOKUP($C457&amp;$F457,'MARCH - VISIT DATA'!A:J, 9, FALSE)</f>
        <v>#N/A</v>
      </c>
      <c r="J457" s="85" t="str">
        <f>VLOOKUP(C457&amp;F457,'MARCH - VISIT DATA'!A:O,10,FALSE)</f>
        <v>#N/A</v>
      </c>
      <c r="K457" s="86"/>
      <c r="L457" s="86"/>
      <c r="M457" s="86"/>
      <c r="N457" s="86"/>
      <c r="O457" s="121" t="str">
        <f t="shared" si="2"/>
        <v>X</v>
      </c>
      <c r="P457" s="79" t="str">
        <f t="shared" si="3"/>
        <v>#N/A</v>
      </c>
      <c r="Q457" s="123" t="str">
        <f t="shared" si="4"/>
        <v>#N/A</v>
      </c>
      <c r="R457" s="124" t="str">
        <f t="shared" si="5"/>
        <v>#N/A</v>
      </c>
      <c r="S457" s="125" t="str">
        <f t="shared" si="6"/>
        <v>#N/A</v>
      </c>
      <c r="T457" s="125" t="str">
        <f t="shared" si="7"/>
        <v>#N/A</v>
      </c>
      <c r="U457" s="83">
        <f t="shared" si="8"/>
        <v>0</v>
      </c>
      <c r="V457" s="88" t="str">
        <f>ifs($N457="",VLOOKUP($C457&amp;$F457,'MARCH - VISIT DATA'!$A$2:$J600,7,FALSE), $N457="SWAB","OUTSA-RW",$N457="SWQU","OUTSA-SaQu", AND($L457="X",$M457="X",$N457="QUEST"),"OUT-UAQPre",$N457="QUEST","OUT-UAQ", $N457="Walk in","ColUATele")</f>
        <v>#N/A</v>
      </c>
      <c r="W457" s="70" t="str">
        <f t="shared" si="9"/>
        <v>#N/A</v>
      </c>
      <c r="X457" s="64" t="str">
        <f t="shared" si="10"/>
        <v/>
      </c>
      <c r="Y457" s="64" t="str">
        <f t="shared" si="11"/>
        <v/>
      </c>
      <c r="Z457" s="66" t="str">
        <f t="shared" si="12"/>
        <v> </v>
      </c>
      <c r="AA457" s="71"/>
    </row>
    <row r="458" ht="15.75" customHeight="1">
      <c r="A458" s="56" t="str">
        <f t="shared" si="1"/>
        <v/>
      </c>
      <c r="B458" s="56" t="str">
        <f>IFS($C458=FALSE,"",$C458,VLOOKUP($C458,'PATIENT DATA (072721)'!A:C, 2, 0))</f>
        <v/>
      </c>
      <c r="C458" s="57"/>
      <c r="D458" s="127" t="str">
        <f>IF(COUNTIF('PATIENT DATA (072721)'!A:A, C458)=0, "X","✓")</f>
        <v>X</v>
      </c>
      <c r="E458" s="79"/>
      <c r="F458" s="80"/>
      <c r="G458" s="81" t="str">
        <f>ifs($C458="","",$C458, VLOOKUP($C458&amp;$F458, 'MARCH - VISIT DATA'!A:O,3,0))</f>
        <v/>
      </c>
      <c r="H458" s="83"/>
      <c r="I458" s="122" t="str">
        <f>VLOOKUP($C458&amp;$F458,'MARCH - VISIT DATA'!A:J, 9, FALSE)</f>
        <v>#N/A</v>
      </c>
      <c r="J458" s="85" t="str">
        <f>VLOOKUP(C458&amp;F458,'MARCH - VISIT DATA'!A:O,10,FALSE)</f>
        <v>#N/A</v>
      </c>
      <c r="K458" s="86"/>
      <c r="L458" s="86"/>
      <c r="M458" s="86"/>
      <c r="N458" s="86"/>
      <c r="O458" s="121" t="str">
        <f t="shared" si="2"/>
        <v>X</v>
      </c>
      <c r="P458" s="79" t="str">
        <f t="shared" si="3"/>
        <v>#N/A</v>
      </c>
      <c r="Q458" s="123" t="str">
        <f t="shared" si="4"/>
        <v>#N/A</v>
      </c>
      <c r="R458" s="124" t="str">
        <f t="shared" si="5"/>
        <v>#N/A</v>
      </c>
      <c r="S458" s="125" t="str">
        <f t="shared" si="6"/>
        <v>#N/A</v>
      </c>
      <c r="T458" s="125" t="str">
        <f t="shared" si="7"/>
        <v>#N/A</v>
      </c>
      <c r="U458" s="83">
        <f t="shared" si="8"/>
        <v>0</v>
      </c>
      <c r="V458" s="88" t="str">
        <f>ifs($N458="",VLOOKUP($C458&amp;$F458,'MARCH - VISIT DATA'!$A$2:$J600,7,FALSE), $N458="SWAB","OUTSA-RW",$N458="SWQU","OUTSA-SaQu", AND($L458="X",$M458="X",$N458="QUEST"),"OUT-UAQPre",$N458="QUEST","OUT-UAQ", $N458="Walk in","ColUATele")</f>
        <v>#N/A</v>
      </c>
      <c r="W458" s="70" t="str">
        <f t="shared" si="9"/>
        <v>#N/A</v>
      </c>
      <c r="X458" s="64" t="str">
        <f t="shared" si="10"/>
        <v/>
      </c>
      <c r="Y458" s="64" t="str">
        <f t="shared" si="11"/>
        <v/>
      </c>
      <c r="Z458" s="66" t="str">
        <f t="shared" si="12"/>
        <v> </v>
      </c>
      <c r="AA458" s="71"/>
    </row>
    <row r="459" ht="15.75" customHeight="1">
      <c r="A459" s="56" t="str">
        <f t="shared" si="1"/>
        <v/>
      </c>
      <c r="B459" s="56" t="str">
        <f>IFS($C459=FALSE,"",$C459,VLOOKUP($C459,'PATIENT DATA (072721)'!A:C, 2, 0))</f>
        <v/>
      </c>
      <c r="C459" s="57"/>
      <c r="D459" s="127" t="str">
        <f>IF(COUNTIF('PATIENT DATA (072721)'!A:A, C459)=0, "X","✓")</f>
        <v>X</v>
      </c>
      <c r="E459" s="79"/>
      <c r="F459" s="80"/>
      <c r="G459" s="81" t="str">
        <f>ifs($C459="","",$C459, VLOOKUP($C459&amp;$F459, 'MARCH - VISIT DATA'!A:O,3,0))</f>
        <v/>
      </c>
      <c r="H459" s="83"/>
      <c r="I459" s="122" t="str">
        <f>VLOOKUP($C459&amp;$F459,'MARCH - VISIT DATA'!A:J, 9, FALSE)</f>
        <v>#N/A</v>
      </c>
      <c r="J459" s="85" t="str">
        <f>VLOOKUP(C459&amp;F459,'MARCH - VISIT DATA'!A:O,10,FALSE)</f>
        <v>#N/A</v>
      </c>
      <c r="K459" s="86"/>
      <c r="L459" s="86"/>
      <c r="M459" s="86"/>
      <c r="N459" s="86"/>
      <c r="O459" s="121" t="str">
        <f t="shared" si="2"/>
        <v>X</v>
      </c>
      <c r="P459" s="79" t="str">
        <f t="shared" si="3"/>
        <v>#N/A</v>
      </c>
      <c r="Q459" s="123" t="str">
        <f t="shared" si="4"/>
        <v>#N/A</v>
      </c>
      <c r="R459" s="124" t="str">
        <f t="shared" si="5"/>
        <v>#N/A</v>
      </c>
      <c r="S459" s="125" t="str">
        <f t="shared" si="6"/>
        <v>#N/A</v>
      </c>
      <c r="T459" s="125" t="str">
        <f t="shared" si="7"/>
        <v>#N/A</v>
      </c>
      <c r="U459" s="83">
        <f t="shared" si="8"/>
        <v>0</v>
      </c>
      <c r="V459" s="88" t="str">
        <f>ifs($N459="",VLOOKUP($C459&amp;$F459,'MARCH - VISIT DATA'!$A$2:$J600,7,FALSE), $N459="SWAB","OUTSA-RW",$N459="SWQU","OUTSA-SaQu", AND($L459="X",$M459="X",$N459="QUEST"),"OUT-UAQPre",$N459="QUEST","OUT-UAQ", $N459="Walk in","ColUATele")</f>
        <v>#N/A</v>
      </c>
      <c r="W459" s="70" t="str">
        <f t="shared" si="9"/>
        <v>#N/A</v>
      </c>
      <c r="X459" s="64" t="str">
        <f t="shared" si="10"/>
        <v/>
      </c>
      <c r="Y459" s="64" t="str">
        <f t="shared" si="11"/>
        <v/>
      </c>
      <c r="Z459" s="66" t="str">
        <f t="shared" si="12"/>
        <v> </v>
      </c>
      <c r="AA459" s="71"/>
    </row>
    <row r="460" ht="15.75" customHeight="1">
      <c r="A460" s="56" t="str">
        <f t="shared" si="1"/>
        <v/>
      </c>
      <c r="B460" s="56" t="str">
        <f>IFS($C460=FALSE,"",$C460,VLOOKUP($C460,'PATIENT DATA (072721)'!A:C, 2, 0))</f>
        <v/>
      </c>
      <c r="C460" s="57"/>
      <c r="D460" s="127" t="str">
        <f>IF(COUNTIF('PATIENT DATA (072721)'!A:A, C460)=0, "X","✓")</f>
        <v>X</v>
      </c>
      <c r="E460" s="79"/>
      <c r="F460" s="80"/>
      <c r="G460" s="81" t="str">
        <f>ifs($C460="","",$C460, VLOOKUP($C460&amp;$F460, 'MARCH - VISIT DATA'!A:O,3,0))</f>
        <v/>
      </c>
      <c r="H460" s="83"/>
      <c r="I460" s="122" t="str">
        <f>VLOOKUP($C460&amp;$F460,'MARCH - VISIT DATA'!A:J, 9, FALSE)</f>
        <v>#N/A</v>
      </c>
      <c r="J460" s="85" t="str">
        <f>VLOOKUP(C460&amp;F460,'MARCH - VISIT DATA'!A:O,10,FALSE)</f>
        <v>#N/A</v>
      </c>
      <c r="K460" s="86"/>
      <c r="L460" s="86"/>
      <c r="M460" s="86"/>
      <c r="N460" s="86"/>
      <c r="O460" s="121" t="str">
        <f t="shared" si="2"/>
        <v>X</v>
      </c>
      <c r="P460" s="79" t="str">
        <f t="shared" si="3"/>
        <v>#N/A</v>
      </c>
      <c r="Q460" s="123" t="str">
        <f t="shared" si="4"/>
        <v>#N/A</v>
      </c>
      <c r="R460" s="124" t="str">
        <f t="shared" si="5"/>
        <v>#N/A</v>
      </c>
      <c r="S460" s="125" t="str">
        <f t="shared" si="6"/>
        <v>#N/A</v>
      </c>
      <c r="T460" s="125" t="str">
        <f t="shared" si="7"/>
        <v>#N/A</v>
      </c>
      <c r="U460" s="83">
        <f t="shared" si="8"/>
        <v>0</v>
      </c>
      <c r="V460" s="88" t="str">
        <f>ifs($N460="",VLOOKUP($C460&amp;$F460,'MARCH - VISIT DATA'!$A$2:$J600,7,FALSE), $N460="SWAB","OUTSA-RW",$N460="SWQU","OUTSA-SaQu", AND($L460="X",$M460="X",$N460="QUEST"),"OUT-UAQPre",$N460="QUEST","OUT-UAQ", $N460="Walk in","ColUATele")</f>
        <v>#N/A</v>
      </c>
      <c r="W460" s="70" t="str">
        <f t="shared" si="9"/>
        <v>#N/A</v>
      </c>
      <c r="X460" s="64" t="str">
        <f t="shared" si="10"/>
        <v/>
      </c>
      <c r="Y460" s="64" t="str">
        <f t="shared" si="11"/>
        <v/>
      </c>
      <c r="Z460" s="66" t="str">
        <f t="shared" si="12"/>
        <v> </v>
      </c>
      <c r="AA460" s="71"/>
    </row>
    <row r="461" ht="15.75" customHeight="1">
      <c r="A461" s="56" t="str">
        <f t="shared" si="1"/>
        <v/>
      </c>
      <c r="B461" s="56" t="str">
        <f>IFS($C461=FALSE,"",$C461,VLOOKUP($C461,'PATIENT DATA (072721)'!A:C, 2, 0))</f>
        <v/>
      </c>
      <c r="C461" s="57"/>
      <c r="D461" s="127" t="str">
        <f>IF(COUNTIF('PATIENT DATA (072721)'!A:A, C461)=0, "X","✓")</f>
        <v>X</v>
      </c>
      <c r="E461" s="79"/>
      <c r="F461" s="80"/>
      <c r="G461" s="81" t="str">
        <f>ifs($C461="","",$C461, VLOOKUP($C461&amp;$F461, 'MARCH - VISIT DATA'!A:O,3,0))</f>
        <v/>
      </c>
      <c r="H461" s="83"/>
      <c r="I461" s="122" t="str">
        <f>VLOOKUP($C461&amp;$F461,'MARCH - VISIT DATA'!A:J, 9, FALSE)</f>
        <v>#N/A</v>
      </c>
      <c r="J461" s="85" t="str">
        <f>VLOOKUP(C461&amp;F461,'MARCH - VISIT DATA'!A:O,10,FALSE)</f>
        <v>#N/A</v>
      </c>
      <c r="K461" s="86"/>
      <c r="L461" s="86"/>
      <c r="M461" s="86"/>
      <c r="N461" s="86"/>
      <c r="O461" s="121" t="str">
        <f t="shared" si="2"/>
        <v>X</v>
      </c>
      <c r="P461" s="79" t="str">
        <f t="shared" si="3"/>
        <v>#N/A</v>
      </c>
      <c r="Q461" s="123" t="str">
        <f t="shared" si="4"/>
        <v>#N/A</v>
      </c>
      <c r="R461" s="124" t="str">
        <f t="shared" si="5"/>
        <v>#N/A</v>
      </c>
      <c r="S461" s="125" t="str">
        <f t="shared" si="6"/>
        <v>#N/A</v>
      </c>
      <c r="T461" s="125" t="str">
        <f t="shared" si="7"/>
        <v>#N/A</v>
      </c>
      <c r="U461" s="83">
        <f t="shared" si="8"/>
        <v>0</v>
      </c>
      <c r="V461" s="88" t="str">
        <f>ifs($N461="",VLOOKUP($C461&amp;$F461,'MARCH - VISIT DATA'!$A$2:$J600,7,FALSE), $N461="SWAB","OUTSA-RW",$N461="SWQU","OUTSA-SaQu", AND($L461="X",$M461="X",$N461="QUEST"),"OUT-UAQPre",$N461="QUEST","OUT-UAQ", $N461="Walk in","ColUATele")</f>
        <v>#N/A</v>
      </c>
      <c r="W461" s="70" t="str">
        <f t="shared" si="9"/>
        <v>#N/A</v>
      </c>
      <c r="X461" s="64" t="str">
        <f t="shared" si="10"/>
        <v/>
      </c>
      <c r="Y461" s="64" t="str">
        <f t="shared" si="11"/>
        <v/>
      </c>
      <c r="Z461" s="66" t="str">
        <f t="shared" si="12"/>
        <v> </v>
      </c>
      <c r="AA461" s="71"/>
    </row>
    <row r="462" ht="15.75" customHeight="1">
      <c r="A462" s="56" t="str">
        <f t="shared" si="1"/>
        <v/>
      </c>
      <c r="B462" s="56" t="str">
        <f>IFS($C462=FALSE,"",$C462,VLOOKUP($C462,'PATIENT DATA (072721)'!A:C, 2, 0))</f>
        <v/>
      </c>
      <c r="C462" s="57"/>
      <c r="D462" s="127" t="str">
        <f>IF(COUNTIF('PATIENT DATA (072721)'!A:A, C462)=0, "X","✓")</f>
        <v>X</v>
      </c>
      <c r="E462" s="79"/>
      <c r="F462" s="80"/>
      <c r="G462" s="81" t="str">
        <f>ifs($C462="","",$C462, VLOOKUP($C462&amp;$F462, 'MARCH - VISIT DATA'!A:O,3,0))</f>
        <v/>
      </c>
      <c r="H462" s="83"/>
      <c r="I462" s="122" t="str">
        <f>VLOOKUP($C462&amp;$F462,'MARCH - VISIT DATA'!A:J, 9, FALSE)</f>
        <v>#N/A</v>
      </c>
      <c r="J462" s="85" t="str">
        <f>VLOOKUP(C462&amp;F462,'MARCH - VISIT DATA'!A:O,10,FALSE)</f>
        <v>#N/A</v>
      </c>
      <c r="K462" s="86"/>
      <c r="L462" s="86"/>
      <c r="M462" s="86"/>
      <c r="N462" s="86"/>
      <c r="O462" s="121" t="str">
        <f t="shared" si="2"/>
        <v>X</v>
      </c>
      <c r="P462" s="79" t="str">
        <f t="shared" si="3"/>
        <v>#N/A</v>
      </c>
      <c r="Q462" s="123" t="str">
        <f t="shared" si="4"/>
        <v>#N/A</v>
      </c>
      <c r="R462" s="124" t="str">
        <f t="shared" si="5"/>
        <v>#N/A</v>
      </c>
      <c r="S462" s="125" t="str">
        <f t="shared" si="6"/>
        <v>#N/A</v>
      </c>
      <c r="T462" s="125" t="str">
        <f t="shared" si="7"/>
        <v>#N/A</v>
      </c>
      <c r="U462" s="83">
        <f t="shared" si="8"/>
        <v>0</v>
      </c>
      <c r="V462" s="88" t="str">
        <f>ifs($N462="",VLOOKUP($C462&amp;$F462,'MARCH - VISIT DATA'!$A$2:$J600,7,FALSE), $N462="SWAB","OUTSA-RW",$N462="SWQU","OUTSA-SaQu", AND($L462="X",$M462="X",$N462="QUEST"),"OUT-UAQPre",$N462="QUEST","OUT-UAQ", $N462="Walk in","ColUATele")</f>
        <v>#N/A</v>
      </c>
      <c r="W462" s="70" t="str">
        <f t="shared" si="9"/>
        <v>#N/A</v>
      </c>
      <c r="X462" s="64" t="str">
        <f t="shared" si="10"/>
        <v/>
      </c>
      <c r="Y462" s="64" t="str">
        <f t="shared" si="11"/>
        <v/>
      </c>
      <c r="Z462" s="66" t="str">
        <f t="shared" si="12"/>
        <v> </v>
      </c>
      <c r="AA462" s="71"/>
    </row>
    <row r="463" ht="15.75" customHeight="1">
      <c r="A463" s="56" t="str">
        <f t="shared" si="1"/>
        <v/>
      </c>
      <c r="B463" s="56" t="str">
        <f>IFS($C463=FALSE,"",$C463,VLOOKUP($C463,'PATIENT DATA (072721)'!A:C, 2, 0))</f>
        <v/>
      </c>
      <c r="C463" s="57"/>
      <c r="D463" s="127" t="str">
        <f>IF(COUNTIF('PATIENT DATA (072721)'!A:A, C463)=0, "X","✓")</f>
        <v>X</v>
      </c>
      <c r="E463" s="79"/>
      <c r="F463" s="80"/>
      <c r="G463" s="81" t="str">
        <f>ifs($C463="","",$C463, VLOOKUP($C463&amp;$F463, 'MARCH - VISIT DATA'!A:O,3,0))</f>
        <v/>
      </c>
      <c r="H463" s="83"/>
      <c r="I463" s="122" t="str">
        <f>VLOOKUP($C463&amp;$F463,'MARCH - VISIT DATA'!A:J, 9, FALSE)</f>
        <v>#N/A</v>
      </c>
      <c r="J463" s="85" t="str">
        <f>VLOOKUP(C463&amp;F463,'MARCH - VISIT DATA'!A:O,10,FALSE)</f>
        <v>#N/A</v>
      </c>
      <c r="K463" s="86"/>
      <c r="L463" s="86"/>
      <c r="M463" s="86"/>
      <c r="N463" s="86"/>
      <c r="O463" s="121" t="str">
        <f t="shared" si="2"/>
        <v>X</v>
      </c>
      <c r="P463" s="79" t="str">
        <f t="shared" si="3"/>
        <v>#N/A</v>
      </c>
      <c r="Q463" s="123" t="str">
        <f t="shared" si="4"/>
        <v>#N/A</v>
      </c>
      <c r="R463" s="124" t="str">
        <f t="shared" si="5"/>
        <v>#N/A</v>
      </c>
      <c r="S463" s="125" t="str">
        <f t="shared" si="6"/>
        <v>#N/A</v>
      </c>
      <c r="T463" s="125" t="str">
        <f t="shared" si="7"/>
        <v>#N/A</v>
      </c>
      <c r="U463" s="83">
        <f t="shared" si="8"/>
        <v>0</v>
      </c>
      <c r="V463" s="88" t="str">
        <f>ifs($N463="",VLOOKUP($C463&amp;$F463,'MARCH - VISIT DATA'!$A$2:$J600,7,FALSE), $N463="SWAB","OUTSA-RW",$N463="SWQU","OUTSA-SaQu", AND($L463="X",$M463="X",$N463="QUEST"),"OUT-UAQPre",$N463="QUEST","OUT-UAQ", $N463="Walk in","ColUATele")</f>
        <v>#N/A</v>
      </c>
      <c r="W463" s="70" t="str">
        <f t="shared" si="9"/>
        <v>#N/A</v>
      </c>
      <c r="X463" s="64" t="str">
        <f t="shared" si="10"/>
        <v/>
      </c>
      <c r="Y463" s="64" t="str">
        <f t="shared" si="11"/>
        <v/>
      </c>
      <c r="Z463" s="66" t="str">
        <f t="shared" si="12"/>
        <v> </v>
      </c>
      <c r="AA463" s="71"/>
    </row>
    <row r="464" ht="15.75" customHeight="1">
      <c r="A464" s="56" t="str">
        <f t="shared" si="1"/>
        <v/>
      </c>
      <c r="B464" s="56" t="str">
        <f>IFS($C464=FALSE,"",$C464,VLOOKUP($C464,'PATIENT DATA (072721)'!A:C, 2, 0))</f>
        <v/>
      </c>
      <c r="C464" s="57"/>
      <c r="D464" s="127" t="str">
        <f>IF(COUNTIF('PATIENT DATA (072721)'!A:A, C464)=0, "X","✓")</f>
        <v>X</v>
      </c>
      <c r="E464" s="79"/>
      <c r="F464" s="80"/>
      <c r="G464" s="81" t="str">
        <f>ifs($C464="","",$C464, VLOOKUP($C464&amp;$F464, 'MARCH - VISIT DATA'!A:O,3,0))</f>
        <v/>
      </c>
      <c r="H464" s="83"/>
      <c r="I464" s="122" t="str">
        <f>VLOOKUP($C464&amp;$F464,'MARCH - VISIT DATA'!A:J, 9, FALSE)</f>
        <v>#N/A</v>
      </c>
      <c r="J464" s="85" t="str">
        <f>VLOOKUP(C464&amp;F464,'MARCH - VISIT DATA'!A:O,10,FALSE)</f>
        <v>#N/A</v>
      </c>
      <c r="K464" s="86"/>
      <c r="L464" s="86"/>
      <c r="M464" s="86"/>
      <c r="N464" s="86"/>
      <c r="O464" s="121" t="str">
        <f t="shared" si="2"/>
        <v>X</v>
      </c>
      <c r="P464" s="79" t="str">
        <f t="shared" si="3"/>
        <v>#N/A</v>
      </c>
      <c r="Q464" s="123" t="str">
        <f t="shared" si="4"/>
        <v>#N/A</v>
      </c>
      <c r="R464" s="124" t="str">
        <f t="shared" si="5"/>
        <v>#N/A</v>
      </c>
      <c r="S464" s="125" t="str">
        <f t="shared" si="6"/>
        <v>#N/A</v>
      </c>
      <c r="T464" s="125" t="str">
        <f t="shared" si="7"/>
        <v>#N/A</v>
      </c>
      <c r="U464" s="83">
        <f t="shared" si="8"/>
        <v>0</v>
      </c>
      <c r="V464" s="88" t="str">
        <f>ifs($N464="",VLOOKUP($C464&amp;$F464,'MARCH - VISIT DATA'!$A$2:$J600,7,FALSE), $N464="SWAB","OUTSA-RW",$N464="SWQU","OUTSA-SaQu", AND($L464="X",$M464="X",$N464="QUEST"),"OUT-UAQPre",$N464="QUEST","OUT-UAQ", $N464="Walk in","ColUATele")</f>
        <v>#N/A</v>
      </c>
      <c r="W464" s="70" t="str">
        <f t="shared" si="9"/>
        <v>#N/A</v>
      </c>
      <c r="X464" s="64" t="str">
        <f t="shared" si="10"/>
        <v/>
      </c>
      <c r="Y464" s="64" t="str">
        <f t="shared" si="11"/>
        <v/>
      </c>
      <c r="Z464" s="66" t="str">
        <f t="shared" si="12"/>
        <v> </v>
      </c>
      <c r="AA464" s="71"/>
    </row>
    <row r="465" ht="15.75" customHeight="1">
      <c r="A465" s="56" t="str">
        <f t="shared" si="1"/>
        <v/>
      </c>
      <c r="B465" s="56" t="str">
        <f>IFS($C465=FALSE,"",$C465,VLOOKUP($C465,'PATIENT DATA (072721)'!A:C, 2, 0))</f>
        <v/>
      </c>
      <c r="C465" s="57"/>
      <c r="D465" s="127" t="str">
        <f>IF(COUNTIF('PATIENT DATA (072721)'!A:A, C465)=0, "X","✓")</f>
        <v>X</v>
      </c>
      <c r="E465" s="79"/>
      <c r="F465" s="80"/>
      <c r="G465" s="81" t="str">
        <f>ifs($C465="","",$C465, VLOOKUP($C465&amp;$F465, 'MARCH - VISIT DATA'!A:O,3,0))</f>
        <v/>
      </c>
      <c r="H465" s="83"/>
      <c r="I465" s="122" t="str">
        <f>VLOOKUP($C465&amp;$F465,'MARCH - VISIT DATA'!A:J, 9, FALSE)</f>
        <v>#N/A</v>
      </c>
      <c r="J465" s="85" t="str">
        <f>VLOOKUP(C465&amp;F465,'MARCH - VISIT DATA'!A:O,10,FALSE)</f>
        <v>#N/A</v>
      </c>
      <c r="K465" s="86"/>
      <c r="L465" s="86"/>
      <c r="M465" s="86"/>
      <c r="N465" s="86"/>
      <c r="O465" s="121" t="str">
        <f t="shared" si="2"/>
        <v>X</v>
      </c>
      <c r="P465" s="79" t="str">
        <f t="shared" si="3"/>
        <v>#N/A</v>
      </c>
      <c r="Q465" s="123" t="str">
        <f t="shared" si="4"/>
        <v>#N/A</v>
      </c>
      <c r="R465" s="124" t="str">
        <f t="shared" si="5"/>
        <v>#N/A</v>
      </c>
      <c r="S465" s="125" t="str">
        <f t="shared" si="6"/>
        <v>#N/A</v>
      </c>
      <c r="T465" s="125" t="str">
        <f t="shared" si="7"/>
        <v>#N/A</v>
      </c>
      <c r="U465" s="83">
        <f t="shared" si="8"/>
        <v>0</v>
      </c>
      <c r="V465" s="88" t="str">
        <f>ifs($N465="",VLOOKUP($C465&amp;$F465,'MARCH - VISIT DATA'!$A$2:$J600,7,FALSE), $N465="SWAB","OUTSA-RW",$N465="SWQU","OUTSA-SaQu", AND($L465="X",$M465="X",$N465="QUEST"),"OUT-UAQPre",$N465="QUEST","OUT-UAQ", $N465="Walk in","ColUATele")</f>
        <v>#N/A</v>
      </c>
      <c r="W465" s="70" t="str">
        <f t="shared" si="9"/>
        <v>#N/A</v>
      </c>
      <c r="X465" s="64" t="str">
        <f t="shared" si="10"/>
        <v/>
      </c>
      <c r="Y465" s="64" t="str">
        <f t="shared" si="11"/>
        <v/>
      </c>
      <c r="Z465" s="66" t="str">
        <f t="shared" si="12"/>
        <v> </v>
      </c>
      <c r="AA465" s="71"/>
    </row>
    <row r="466" ht="15.75" customHeight="1">
      <c r="A466" s="56" t="str">
        <f t="shared" si="1"/>
        <v/>
      </c>
      <c r="B466" s="56" t="str">
        <f>IFS($C466=FALSE,"",$C466,VLOOKUP($C466,'PATIENT DATA (072721)'!A:C, 2, 0))</f>
        <v/>
      </c>
      <c r="C466" s="57"/>
      <c r="D466" s="127" t="str">
        <f>IF(COUNTIF('PATIENT DATA (072721)'!A:A, C466)=0, "X","✓")</f>
        <v>X</v>
      </c>
      <c r="E466" s="79"/>
      <c r="F466" s="80"/>
      <c r="G466" s="81" t="str">
        <f>ifs($C466="","",$C466, VLOOKUP($C466&amp;$F466, 'MARCH - VISIT DATA'!A:O,3,0))</f>
        <v/>
      </c>
      <c r="H466" s="83"/>
      <c r="I466" s="122" t="str">
        <f>VLOOKUP($C466&amp;$F466,'MARCH - VISIT DATA'!A:J, 9, FALSE)</f>
        <v>#N/A</v>
      </c>
      <c r="J466" s="85" t="str">
        <f>VLOOKUP(C466&amp;F466,'MARCH - VISIT DATA'!A:O,10,FALSE)</f>
        <v>#N/A</v>
      </c>
      <c r="K466" s="86"/>
      <c r="L466" s="86"/>
      <c r="M466" s="86"/>
      <c r="N466" s="86"/>
      <c r="O466" s="121" t="str">
        <f t="shared" si="2"/>
        <v>X</v>
      </c>
      <c r="P466" s="79" t="str">
        <f t="shared" si="3"/>
        <v>#N/A</v>
      </c>
      <c r="Q466" s="123" t="str">
        <f t="shared" si="4"/>
        <v>#N/A</v>
      </c>
      <c r="R466" s="124" t="str">
        <f t="shared" si="5"/>
        <v>#N/A</v>
      </c>
      <c r="S466" s="125" t="str">
        <f t="shared" si="6"/>
        <v>#N/A</v>
      </c>
      <c r="T466" s="125" t="str">
        <f t="shared" si="7"/>
        <v>#N/A</v>
      </c>
      <c r="U466" s="83">
        <f t="shared" si="8"/>
        <v>0</v>
      </c>
      <c r="V466" s="88" t="str">
        <f>ifs($N466="",VLOOKUP($C466&amp;$F466,'MARCH - VISIT DATA'!$A$2:$J600,7,FALSE), $N466="SWAB","OUTSA-RW",$N466="SWQU","OUTSA-SaQu", AND($L466="X",$M466="X",$N466="QUEST"),"OUT-UAQPre",$N466="QUEST","OUT-UAQ", $N466="Walk in","ColUATele")</f>
        <v>#N/A</v>
      </c>
      <c r="W466" s="70" t="str">
        <f t="shared" si="9"/>
        <v>#N/A</v>
      </c>
      <c r="X466" s="64" t="str">
        <f t="shared" si="10"/>
        <v/>
      </c>
      <c r="Y466" s="64" t="str">
        <f t="shared" si="11"/>
        <v/>
      </c>
      <c r="Z466" s="66" t="str">
        <f t="shared" si="12"/>
        <v> </v>
      </c>
      <c r="AA466" s="71"/>
    </row>
    <row r="467" ht="15.75" customHeight="1">
      <c r="A467" s="56" t="str">
        <f t="shared" si="1"/>
        <v/>
      </c>
      <c r="B467" s="56" t="str">
        <f>IFS($C467=FALSE,"",$C467,VLOOKUP($C467,'PATIENT DATA (072721)'!A:C, 2, 0))</f>
        <v/>
      </c>
      <c r="C467" s="57"/>
      <c r="D467" s="127" t="str">
        <f>IF(COUNTIF('PATIENT DATA (072721)'!A:A, C467)=0, "X","✓")</f>
        <v>X</v>
      </c>
      <c r="E467" s="79"/>
      <c r="F467" s="80"/>
      <c r="G467" s="81" t="str">
        <f>ifs($C467="","",$C467, VLOOKUP($C467&amp;$F467, 'MARCH - VISIT DATA'!A:O,3,0))</f>
        <v/>
      </c>
      <c r="H467" s="83"/>
      <c r="I467" s="122" t="str">
        <f>VLOOKUP($C467&amp;$F467,'MARCH - VISIT DATA'!A:J, 9, FALSE)</f>
        <v>#N/A</v>
      </c>
      <c r="J467" s="85" t="str">
        <f>VLOOKUP(C467&amp;F467,'MARCH - VISIT DATA'!A:O,10,FALSE)</f>
        <v>#N/A</v>
      </c>
      <c r="K467" s="86"/>
      <c r="L467" s="86"/>
      <c r="M467" s="86"/>
      <c r="N467" s="86"/>
      <c r="O467" s="121" t="str">
        <f t="shared" si="2"/>
        <v>X</v>
      </c>
      <c r="P467" s="79" t="str">
        <f t="shared" si="3"/>
        <v>#N/A</v>
      </c>
      <c r="Q467" s="123" t="str">
        <f t="shared" si="4"/>
        <v>#N/A</v>
      </c>
      <c r="R467" s="124" t="str">
        <f t="shared" si="5"/>
        <v>#N/A</v>
      </c>
      <c r="S467" s="125" t="str">
        <f t="shared" si="6"/>
        <v>#N/A</v>
      </c>
      <c r="T467" s="125" t="str">
        <f t="shared" si="7"/>
        <v>#N/A</v>
      </c>
      <c r="U467" s="83">
        <f t="shared" si="8"/>
        <v>0</v>
      </c>
      <c r="V467" s="88" t="str">
        <f>ifs($N467="",VLOOKUP($C467&amp;$F467,'MARCH - VISIT DATA'!$A$2:$J600,7,FALSE), $N467="SWAB","OUTSA-RW",$N467="SWQU","OUTSA-SaQu", AND($L467="X",$M467="X",$N467="QUEST"),"OUT-UAQPre",$N467="QUEST","OUT-UAQ", $N467="Walk in","ColUATele")</f>
        <v>#N/A</v>
      </c>
      <c r="W467" s="70" t="str">
        <f t="shared" si="9"/>
        <v>#N/A</v>
      </c>
      <c r="X467" s="64" t="str">
        <f t="shared" si="10"/>
        <v/>
      </c>
      <c r="Y467" s="64" t="str">
        <f t="shared" si="11"/>
        <v/>
      </c>
      <c r="Z467" s="66" t="str">
        <f t="shared" si="12"/>
        <v> </v>
      </c>
      <c r="AA467" s="71"/>
    </row>
    <row r="468" ht="15.75" customHeight="1">
      <c r="A468" s="56" t="str">
        <f t="shared" si="1"/>
        <v/>
      </c>
      <c r="B468" s="56" t="str">
        <f>IFS($C468=FALSE,"",$C468,VLOOKUP($C468,'PATIENT DATA (072721)'!A:C, 2, 0))</f>
        <v/>
      </c>
      <c r="C468" s="57"/>
      <c r="D468" s="127" t="str">
        <f>IF(COUNTIF('PATIENT DATA (072721)'!A:A, C468)=0, "X","✓")</f>
        <v>X</v>
      </c>
      <c r="E468" s="79"/>
      <c r="F468" s="80"/>
      <c r="G468" s="81" t="str">
        <f>ifs($C468="","",$C468, VLOOKUP($C468&amp;$F468, 'MARCH - VISIT DATA'!A:O,3,0))</f>
        <v/>
      </c>
      <c r="H468" s="83"/>
      <c r="I468" s="122" t="str">
        <f>VLOOKUP($C468&amp;$F468,'MARCH - VISIT DATA'!A:J, 9, FALSE)</f>
        <v>#N/A</v>
      </c>
      <c r="J468" s="85" t="str">
        <f>VLOOKUP(C468&amp;F468,'MARCH - VISIT DATA'!A:O,10,FALSE)</f>
        <v>#N/A</v>
      </c>
      <c r="K468" s="86"/>
      <c r="L468" s="86"/>
      <c r="M468" s="86"/>
      <c r="N468" s="86"/>
      <c r="O468" s="121" t="str">
        <f t="shared" si="2"/>
        <v>X</v>
      </c>
      <c r="P468" s="79" t="str">
        <f t="shared" si="3"/>
        <v>#N/A</v>
      </c>
      <c r="Q468" s="123" t="str">
        <f t="shared" si="4"/>
        <v>#N/A</v>
      </c>
      <c r="R468" s="124" t="str">
        <f t="shared" si="5"/>
        <v>#N/A</v>
      </c>
      <c r="S468" s="125" t="str">
        <f t="shared" si="6"/>
        <v>#N/A</v>
      </c>
      <c r="T468" s="125" t="str">
        <f t="shared" si="7"/>
        <v>#N/A</v>
      </c>
      <c r="U468" s="83">
        <f t="shared" si="8"/>
        <v>0</v>
      </c>
      <c r="V468" s="88" t="str">
        <f>ifs($N468="",VLOOKUP($C468&amp;$F468,'MARCH - VISIT DATA'!$A$2:$J600,7,FALSE), $N468="SWAB","OUTSA-RW",$N468="SWQU","OUTSA-SaQu", AND($L468="X",$M468="X",$N468="QUEST"),"OUT-UAQPre",$N468="QUEST","OUT-UAQ", $N468="Walk in","ColUATele")</f>
        <v>#N/A</v>
      </c>
      <c r="W468" s="70" t="str">
        <f t="shared" si="9"/>
        <v>#N/A</v>
      </c>
      <c r="X468" s="64" t="str">
        <f t="shared" si="10"/>
        <v/>
      </c>
      <c r="Y468" s="64" t="str">
        <f t="shared" si="11"/>
        <v/>
      </c>
      <c r="Z468" s="66" t="str">
        <f t="shared" si="12"/>
        <v> </v>
      </c>
      <c r="AA468" s="71"/>
    </row>
    <row r="469" ht="15.75" customHeight="1">
      <c r="A469" s="56" t="str">
        <f t="shared" si="1"/>
        <v/>
      </c>
      <c r="B469" s="56" t="str">
        <f>IFS($C469=FALSE,"",$C469,VLOOKUP($C469,'PATIENT DATA (072721)'!A:C, 2, 0))</f>
        <v/>
      </c>
      <c r="C469" s="57"/>
      <c r="D469" s="127" t="str">
        <f>IF(COUNTIF('PATIENT DATA (072721)'!A:A, C469)=0, "X","✓")</f>
        <v>X</v>
      </c>
      <c r="E469" s="79"/>
      <c r="F469" s="80"/>
      <c r="G469" s="81" t="str">
        <f>ifs($C469="","",$C469, VLOOKUP($C469&amp;$F469, 'MARCH - VISIT DATA'!A:O,3,0))</f>
        <v/>
      </c>
      <c r="H469" s="83"/>
      <c r="I469" s="122" t="str">
        <f>VLOOKUP($C469&amp;$F469,'MARCH - VISIT DATA'!A:J, 9, FALSE)</f>
        <v>#N/A</v>
      </c>
      <c r="J469" s="85" t="str">
        <f>VLOOKUP(C469&amp;F469,'MARCH - VISIT DATA'!A:O,10,FALSE)</f>
        <v>#N/A</v>
      </c>
      <c r="K469" s="86"/>
      <c r="L469" s="86"/>
      <c r="M469" s="86"/>
      <c r="N469" s="86"/>
      <c r="O469" s="121" t="str">
        <f t="shared" si="2"/>
        <v>X</v>
      </c>
      <c r="P469" s="79" t="str">
        <f t="shared" si="3"/>
        <v>#N/A</v>
      </c>
      <c r="Q469" s="123" t="str">
        <f t="shared" si="4"/>
        <v>#N/A</v>
      </c>
      <c r="R469" s="124" t="str">
        <f t="shared" si="5"/>
        <v>#N/A</v>
      </c>
      <c r="S469" s="125" t="str">
        <f t="shared" si="6"/>
        <v>#N/A</v>
      </c>
      <c r="T469" s="125" t="str">
        <f t="shared" si="7"/>
        <v>#N/A</v>
      </c>
      <c r="U469" s="83">
        <f t="shared" si="8"/>
        <v>0</v>
      </c>
      <c r="V469" s="88" t="str">
        <f>ifs($N469="",VLOOKUP($C469&amp;$F469,'MARCH - VISIT DATA'!$A$2:$J600,7,FALSE), $N469="SWAB","OUTSA-RW",$N469="SWQU","OUTSA-SaQu", AND($L469="X",$M469="X",$N469="QUEST"),"OUT-UAQPre",$N469="QUEST","OUT-UAQ", $N469="Walk in","ColUATele")</f>
        <v>#N/A</v>
      </c>
      <c r="W469" s="70" t="str">
        <f t="shared" si="9"/>
        <v>#N/A</v>
      </c>
      <c r="X469" s="64" t="str">
        <f t="shared" si="10"/>
        <v/>
      </c>
      <c r="Y469" s="64" t="str">
        <f t="shared" si="11"/>
        <v/>
      </c>
      <c r="Z469" s="66" t="str">
        <f t="shared" si="12"/>
        <v> </v>
      </c>
      <c r="AA469" s="71"/>
    </row>
    <row r="470" ht="15.75" customHeight="1">
      <c r="A470" s="56" t="str">
        <f t="shared" si="1"/>
        <v/>
      </c>
      <c r="B470" s="56" t="str">
        <f>IFS($C470=FALSE,"",$C470,VLOOKUP($C470,'PATIENT DATA (072721)'!A:C, 2, 0))</f>
        <v/>
      </c>
      <c r="C470" s="57"/>
      <c r="D470" s="127" t="str">
        <f>IF(COUNTIF('PATIENT DATA (072721)'!A:A, C470)=0, "X","✓")</f>
        <v>X</v>
      </c>
      <c r="E470" s="79"/>
      <c r="F470" s="80"/>
      <c r="G470" s="81" t="str">
        <f>ifs($C470="","",$C470, VLOOKUP($C470&amp;$F470, 'MARCH - VISIT DATA'!A:O,3,0))</f>
        <v/>
      </c>
      <c r="H470" s="83"/>
      <c r="I470" s="122" t="str">
        <f>VLOOKUP($C470&amp;$F470,'MARCH - VISIT DATA'!A:J, 9, FALSE)</f>
        <v>#N/A</v>
      </c>
      <c r="J470" s="85" t="str">
        <f>VLOOKUP(C470&amp;F470,'MARCH - VISIT DATA'!A:O,10,FALSE)</f>
        <v>#N/A</v>
      </c>
      <c r="K470" s="86"/>
      <c r="L470" s="86"/>
      <c r="M470" s="86"/>
      <c r="N470" s="86"/>
      <c r="O470" s="121" t="str">
        <f t="shared" si="2"/>
        <v>X</v>
      </c>
      <c r="P470" s="79" t="str">
        <f t="shared" si="3"/>
        <v>#N/A</v>
      </c>
      <c r="Q470" s="123" t="str">
        <f t="shared" si="4"/>
        <v>#N/A</v>
      </c>
      <c r="R470" s="124" t="str">
        <f t="shared" si="5"/>
        <v>#N/A</v>
      </c>
      <c r="S470" s="125" t="str">
        <f t="shared" si="6"/>
        <v>#N/A</v>
      </c>
      <c r="T470" s="125" t="str">
        <f t="shared" si="7"/>
        <v>#N/A</v>
      </c>
      <c r="U470" s="83">
        <f t="shared" si="8"/>
        <v>0</v>
      </c>
      <c r="V470" s="88" t="str">
        <f>ifs($N470="",VLOOKUP($C470&amp;$F470,'MARCH - VISIT DATA'!$A$2:$J600,7,FALSE), $N470="SWAB","OUTSA-RW",$N470="SWQU","OUTSA-SaQu", AND($L470="X",$M470="X",$N470="QUEST"),"OUT-UAQPre",$N470="QUEST","OUT-UAQ", $N470="Walk in","ColUATele")</f>
        <v>#N/A</v>
      </c>
      <c r="W470" s="70" t="str">
        <f t="shared" si="9"/>
        <v>#N/A</v>
      </c>
      <c r="X470" s="64" t="str">
        <f t="shared" si="10"/>
        <v/>
      </c>
      <c r="Y470" s="64" t="str">
        <f t="shared" si="11"/>
        <v/>
      </c>
      <c r="Z470" s="66" t="str">
        <f t="shared" si="12"/>
        <v> </v>
      </c>
      <c r="AA470" s="71"/>
    </row>
    <row r="471" ht="15.75" customHeight="1">
      <c r="A471" s="56" t="str">
        <f t="shared" si="1"/>
        <v/>
      </c>
      <c r="B471" s="56" t="str">
        <f>IFS($C471=FALSE,"",$C471,VLOOKUP($C471,'PATIENT DATA (072721)'!A:C, 2, 0))</f>
        <v/>
      </c>
      <c r="C471" s="57"/>
      <c r="D471" s="127" t="str">
        <f>IF(COUNTIF('PATIENT DATA (072721)'!A:A, C471)=0, "X","✓")</f>
        <v>X</v>
      </c>
      <c r="E471" s="79"/>
      <c r="F471" s="80"/>
      <c r="G471" s="81" t="str">
        <f>ifs($C471="","",$C471, VLOOKUP($C471&amp;$F471, 'MARCH - VISIT DATA'!A:O,3,0))</f>
        <v/>
      </c>
      <c r="H471" s="83"/>
      <c r="I471" s="122" t="str">
        <f>VLOOKUP($C471&amp;$F471,'MARCH - VISIT DATA'!A:J, 9, FALSE)</f>
        <v>#N/A</v>
      </c>
      <c r="J471" s="85" t="str">
        <f>VLOOKUP(C471&amp;F471,'MARCH - VISIT DATA'!A:O,10,FALSE)</f>
        <v>#N/A</v>
      </c>
      <c r="K471" s="86"/>
      <c r="L471" s="86"/>
      <c r="M471" s="86"/>
      <c r="N471" s="86"/>
      <c r="O471" s="121" t="str">
        <f t="shared" si="2"/>
        <v>X</v>
      </c>
      <c r="P471" s="79" t="str">
        <f t="shared" si="3"/>
        <v>#N/A</v>
      </c>
      <c r="Q471" s="123" t="str">
        <f t="shared" si="4"/>
        <v>#N/A</v>
      </c>
      <c r="R471" s="124" t="str">
        <f t="shared" si="5"/>
        <v>#N/A</v>
      </c>
      <c r="S471" s="125" t="str">
        <f t="shared" si="6"/>
        <v>#N/A</v>
      </c>
      <c r="T471" s="125" t="str">
        <f t="shared" si="7"/>
        <v>#N/A</v>
      </c>
      <c r="U471" s="83">
        <f t="shared" si="8"/>
        <v>0</v>
      </c>
      <c r="V471" s="88" t="str">
        <f>ifs($N471="",VLOOKUP($C471&amp;$F471,'MARCH - VISIT DATA'!$A$2:$J600,7,FALSE), $N471="SWAB","OUTSA-RW",$N471="SWQU","OUTSA-SaQu", AND($L471="X",$M471="X",$N471="QUEST"),"OUT-UAQPre",$N471="QUEST","OUT-UAQ", $N471="Walk in","ColUATele")</f>
        <v>#N/A</v>
      </c>
      <c r="W471" s="70" t="str">
        <f t="shared" si="9"/>
        <v>#N/A</v>
      </c>
      <c r="X471" s="64" t="str">
        <f t="shared" si="10"/>
        <v/>
      </c>
      <c r="Y471" s="64" t="str">
        <f t="shared" si="11"/>
        <v/>
      </c>
      <c r="Z471" s="66" t="str">
        <f t="shared" si="12"/>
        <v> </v>
      </c>
      <c r="AA471" s="71"/>
    </row>
    <row r="472" ht="15.75" customHeight="1">
      <c r="A472" s="56" t="str">
        <f t="shared" si="1"/>
        <v/>
      </c>
      <c r="B472" s="56" t="str">
        <f>IFS($C472=FALSE,"",$C472,VLOOKUP($C472,'PATIENT DATA (072721)'!A:C, 2, 0))</f>
        <v/>
      </c>
      <c r="C472" s="57"/>
      <c r="D472" s="127" t="str">
        <f>IF(COUNTIF('PATIENT DATA (072721)'!A:A, C472)=0, "X","✓")</f>
        <v>X</v>
      </c>
      <c r="E472" s="79"/>
      <c r="F472" s="80"/>
      <c r="G472" s="81" t="str">
        <f>ifs($C472="","",$C472, VLOOKUP($C472&amp;$F472, 'MARCH - VISIT DATA'!A:O,3,0))</f>
        <v/>
      </c>
      <c r="H472" s="83"/>
      <c r="I472" s="122" t="str">
        <f>VLOOKUP($C472&amp;$F472,'MARCH - VISIT DATA'!A:J, 9, FALSE)</f>
        <v>#N/A</v>
      </c>
      <c r="J472" s="85" t="str">
        <f>VLOOKUP(C472&amp;F472,'MARCH - VISIT DATA'!A:O,10,FALSE)</f>
        <v>#N/A</v>
      </c>
      <c r="K472" s="86"/>
      <c r="L472" s="86"/>
      <c r="M472" s="86"/>
      <c r="N472" s="86"/>
      <c r="O472" s="121" t="str">
        <f t="shared" si="2"/>
        <v>X</v>
      </c>
      <c r="P472" s="79" t="str">
        <f t="shared" si="3"/>
        <v>#N/A</v>
      </c>
      <c r="Q472" s="123" t="str">
        <f t="shared" si="4"/>
        <v>#N/A</v>
      </c>
      <c r="R472" s="124" t="str">
        <f t="shared" si="5"/>
        <v>#N/A</v>
      </c>
      <c r="S472" s="125" t="str">
        <f t="shared" si="6"/>
        <v>#N/A</v>
      </c>
      <c r="T472" s="125" t="str">
        <f t="shared" si="7"/>
        <v>#N/A</v>
      </c>
      <c r="U472" s="83">
        <f t="shared" si="8"/>
        <v>0</v>
      </c>
      <c r="V472" s="88" t="str">
        <f>ifs($N472="",VLOOKUP($C472&amp;$F472,'MARCH - VISIT DATA'!$A$2:$J600,7,FALSE), $N472="SWAB","OUTSA-RW",$N472="SWQU","OUTSA-SaQu", AND($L472="X",$M472="X",$N472="QUEST"),"OUT-UAQPre",$N472="QUEST","OUT-UAQ", $N472="Walk in","ColUATele")</f>
        <v>#N/A</v>
      </c>
      <c r="W472" s="70" t="str">
        <f t="shared" si="9"/>
        <v>#N/A</v>
      </c>
      <c r="X472" s="64" t="str">
        <f t="shared" si="10"/>
        <v/>
      </c>
      <c r="Y472" s="64" t="str">
        <f t="shared" si="11"/>
        <v/>
      </c>
      <c r="Z472" s="66" t="str">
        <f t="shared" si="12"/>
        <v> </v>
      </c>
      <c r="AA472" s="71"/>
    </row>
    <row r="473" ht="15.75" customHeight="1">
      <c r="A473" s="56" t="str">
        <f t="shared" si="1"/>
        <v/>
      </c>
      <c r="B473" s="56" t="str">
        <f>IFS($C473=FALSE,"",$C473,VLOOKUP($C473,'PATIENT DATA (072721)'!A:C, 2, 0))</f>
        <v/>
      </c>
      <c r="C473" s="57"/>
      <c r="D473" s="127" t="str">
        <f>IF(COUNTIF('PATIENT DATA (072721)'!A:A, C473)=0, "X","✓")</f>
        <v>X</v>
      </c>
      <c r="E473" s="79"/>
      <c r="F473" s="80"/>
      <c r="G473" s="81" t="str">
        <f>ifs($C473="","",$C473, VLOOKUP($C473&amp;$F473, 'MARCH - VISIT DATA'!A:O,3,0))</f>
        <v/>
      </c>
      <c r="H473" s="83"/>
      <c r="I473" s="122" t="str">
        <f>VLOOKUP($C473&amp;$F473,'MARCH - VISIT DATA'!A:J, 9, FALSE)</f>
        <v>#N/A</v>
      </c>
      <c r="J473" s="85" t="str">
        <f>VLOOKUP(C473&amp;F473,'MARCH - VISIT DATA'!A:O,10,FALSE)</f>
        <v>#N/A</v>
      </c>
      <c r="K473" s="86"/>
      <c r="L473" s="86"/>
      <c r="M473" s="86"/>
      <c r="N473" s="86"/>
      <c r="O473" s="121" t="str">
        <f t="shared" si="2"/>
        <v>X</v>
      </c>
      <c r="P473" s="79" t="str">
        <f t="shared" si="3"/>
        <v>#N/A</v>
      </c>
      <c r="Q473" s="123" t="str">
        <f t="shared" si="4"/>
        <v>#N/A</v>
      </c>
      <c r="R473" s="124" t="str">
        <f t="shared" si="5"/>
        <v>#N/A</v>
      </c>
      <c r="S473" s="125" t="str">
        <f t="shared" si="6"/>
        <v>#N/A</v>
      </c>
      <c r="T473" s="125" t="str">
        <f t="shared" si="7"/>
        <v>#N/A</v>
      </c>
      <c r="U473" s="83">
        <f t="shared" si="8"/>
        <v>0</v>
      </c>
      <c r="V473" s="88" t="str">
        <f>ifs($N473="",VLOOKUP($C473&amp;$F473,'MARCH - VISIT DATA'!$A$2:$J600,7,FALSE), $N473="SWAB","OUTSA-RW",$N473="SWQU","OUTSA-SaQu", AND($L473="X",$M473="X",$N473="QUEST"),"OUT-UAQPre",$N473="QUEST","OUT-UAQ", $N473="Walk in","ColUATele")</f>
        <v>#N/A</v>
      </c>
      <c r="W473" s="70" t="str">
        <f t="shared" si="9"/>
        <v>#N/A</v>
      </c>
      <c r="X473" s="64" t="str">
        <f t="shared" si="10"/>
        <v/>
      </c>
      <c r="Y473" s="64" t="str">
        <f t="shared" si="11"/>
        <v/>
      </c>
      <c r="Z473" s="66" t="str">
        <f t="shared" si="12"/>
        <v> </v>
      </c>
      <c r="AA473" s="71"/>
    </row>
    <row r="474" ht="15.75" customHeight="1">
      <c r="A474" s="56" t="str">
        <f t="shared" si="1"/>
        <v/>
      </c>
      <c r="B474" s="56" t="str">
        <f>IFS($C474=FALSE,"",$C474,VLOOKUP($C474,'PATIENT DATA (072721)'!A:C, 2, 0))</f>
        <v/>
      </c>
      <c r="C474" s="57"/>
      <c r="D474" s="127" t="str">
        <f>IF(COUNTIF('PATIENT DATA (072721)'!A:A, C474)=0, "X","✓")</f>
        <v>X</v>
      </c>
      <c r="E474" s="79"/>
      <c r="F474" s="80"/>
      <c r="G474" s="81" t="str">
        <f>ifs($C474="","",$C474, VLOOKUP($C474&amp;$F474, 'MARCH - VISIT DATA'!A:O,3,0))</f>
        <v/>
      </c>
      <c r="H474" s="83"/>
      <c r="I474" s="122" t="str">
        <f>VLOOKUP($C474&amp;$F474,'MARCH - VISIT DATA'!A:J, 9, FALSE)</f>
        <v>#N/A</v>
      </c>
      <c r="J474" s="85" t="str">
        <f>VLOOKUP(C474&amp;F474,'MARCH - VISIT DATA'!A:O,10,FALSE)</f>
        <v>#N/A</v>
      </c>
      <c r="K474" s="86"/>
      <c r="L474" s="86"/>
      <c r="M474" s="86"/>
      <c r="N474" s="86"/>
      <c r="O474" s="121" t="str">
        <f t="shared" si="2"/>
        <v>X</v>
      </c>
      <c r="P474" s="79" t="str">
        <f t="shared" si="3"/>
        <v>#N/A</v>
      </c>
      <c r="Q474" s="123" t="str">
        <f t="shared" si="4"/>
        <v>#N/A</v>
      </c>
      <c r="R474" s="124" t="str">
        <f t="shared" si="5"/>
        <v>#N/A</v>
      </c>
      <c r="S474" s="125" t="str">
        <f t="shared" si="6"/>
        <v>#N/A</v>
      </c>
      <c r="T474" s="125" t="str">
        <f t="shared" si="7"/>
        <v>#N/A</v>
      </c>
      <c r="U474" s="83">
        <f t="shared" si="8"/>
        <v>0</v>
      </c>
      <c r="V474" s="88" t="str">
        <f>ifs($N474="",VLOOKUP($C474&amp;$F474,'MARCH - VISIT DATA'!$A$2:$J600,7,FALSE), $N474="SWAB","OUTSA-RW",$N474="SWQU","OUTSA-SaQu", AND($L474="X",$M474="X",$N474="QUEST"),"OUT-UAQPre",$N474="QUEST","OUT-UAQ", $N474="Walk in","ColUATele")</f>
        <v>#N/A</v>
      </c>
      <c r="W474" s="70" t="str">
        <f t="shared" si="9"/>
        <v>#N/A</v>
      </c>
      <c r="X474" s="64" t="str">
        <f t="shared" si="10"/>
        <v/>
      </c>
      <c r="Y474" s="64" t="str">
        <f t="shared" si="11"/>
        <v/>
      </c>
      <c r="Z474" s="66" t="str">
        <f t="shared" si="12"/>
        <v> </v>
      </c>
      <c r="AA474" s="71"/>
    </row>
    <row r="475" ht="15.75" customHeight="1">
      <c r="A475" s="56" t="str">
        <f t="shared" si="1"/>
        <v/>
      </c>
      <c r="B475" s="56" t="str">
        <f>IFS($C475=FALSE,"",$C475,VLOOKUP($C475,'PATIENT DATA (072721)'!A:C, 2, 0))</f>
        <v/>
      </c>
      <c r="C475" s="57"/>
      <c r="D475" s="127" t="str">
        <f>IF(COUNTIF('PATIENT DATA (072721)'!A:A, C475)=0, "X","✓")</f>
        <v>X</v>
      </c>
      <c r="E475" s="79"/>
      <c r="F475" s="80"/>
      <c r="G475" s="81" t="str">
        <f>ifs($C475="","",$C475, VLOOKUP($C475&amp;$F475, 'MARCH - VISIT DATA'!A:O,3,0))</f>
        <v/>
      </c>
      <c r="H475" s="83"/>
      <c r="I475" s="122" t="str">
        <f>VLOOKUP($C475&amp;$F475,'MARCH - VISIT DATA'!A:J, 9, FALSE)</f>
        <v>#N/A</v>
      </c>
      <c r="J475" s="85" t="str">
        <f>VLOOKUP(C475&amp;F475,'MARCH - VISIT DATA'!A:O,10,FALSE)</f>
        <v>#N/A</v>
      </c>
      <c r="K475" s="86"/>
      <c r="L475" s="86"/>
      <c r="M475" s="86"/>
      <c r="N475" s="86"/>
      <c r="O475" s="121" t="str">
        <f t="shared" si="2"/>
        <v>X</v>
      </c>
      <c r="P475" s="79" t="str">
        <f t="shared" si="3"/>
        <v>#N/A</v>
      </c>
      <c r="Q475" s="123" t="str">
        <f t="shared" si="4"/>
        <v>#N/A</v>
      </c>
      <c r="R475" s="124" t="str">
        <f t="shared" si="5"/>
        <v>#N/A</v>
      </c>
      <c r="S475" s="125" t="str">
        <f t="shared" si="6"/>
        <v>#N/A</v>
      </c>
      <c r="T475" s="125" t="str">
        <f t="shared" si="7"/>
        <v>#N/A</v>
      </c>
      <c r="U475" s="83">
        <f t="shared" si="8"/>
        <v>0</v>
      </c>
      <c r="V475" s="88" t="str">
        <f>ifs($N475="",VLOOKUP($C475&amp;$F475,'MARCH - VISIT DATA'!$A$2:$J600,7,FALSE), $N475="SWAB","OUTSA-RW",$N475="SWQU","OUTSA-SaQu", AND($L475="X",$M475="X",$N475="QUEST"),"OUT-UAQPre",$N475="QUEST","OUT-UAQ", $N475="Walk in","ColUATele")</f>
        <v>#N/A</v>
      </c>
      <c r="W475" s="70" t="str">
        <f t="shared" si="9"/>
        <v>#N/A</v>
      </c>
      <c r="X475" s="64" t="str">
        <f t="shared" si="10"/>
        <v/>
      </c>
      <c r="Y475" s="64" t="str">
        <f t="shared" si="11"/>
        <v/>
      </c>
      <c r="Z475" s="66" t="str">
        <f t="shared" si="12"/>
        <v> </v>
      </c>
      <c r="AA475" s="71"/>
    </row>
    <row r="476" ht="15.75" customHeight="1">
      <c r="A476" s="56" t="str">
        <f t="shared" si="1"/>
        <v/>
      </c>
      <c r="B476" s="56" t="str">
        <f>IFS($C476=FALSE,"",$C476,VLOOKUP($C476,'PATIENT DATA (072721)'!A:C, 2, 0))</f>
        <v/>
      </c>
      <c r="C476" s="57"/>
      <c r="D476" s="127" t="str">
        <f>IF(COUNTIF('PATIENT DATA (072721)'!A:A, C476)=0, "X","✓")</f>
        <v>X</v>
      </c>
      <c r="E476" s="79"/>
      <c r="F476" s="80"/>
      <c r="G476" s="81" t="str">
        <f>ifs($C476="","",$C476, VLOOKUP($C476&amp;$F476, 'MARCH - VISIT DATA'!A:O,3,0))</f>
        <v/>
      </c>
      <c r="H476" s="83"/>
      <c r="I476" s="122" t="str">
        <f>VLOOKUP($C476&amp;$F476,'MARCH - VISIT DATA'!A:J, 9, FALSE)</f>
        <v>#N/A</v>
      </c>
      <c r="J476" s="85" t="str">
        <f>VLOOKUP(C476&amp;F476,'MARCH - VISIT DATA'!A:O,10,FALSE)</f>
        <v>#N/A</v>
      </c>
      <c r="K476" s="86"/>
      <c r="L476" s="86"/>
      <c r="M476" s="86"/>
      <c r="N476" s="86"/>
      <c r="O476" s="121" t="str">
        <f t="shared" si="2"/>
        <v>X</v>
      </c>
      <c r="P476" s="79" t="str">
        <f t="shared" si="3"/>
        <v>#N/A</v>
      </c>
      <c r="Q476" s="123" t="str">
        <f t="shared" si="4"/>
        <v>#N/A</v>
      </c>
      <c r="R476" s="124" t="str">
        <f t="shared" si="5"/>
        <v>#N/A</v>
      </c>
      <c r="S476" s="125" t="str">
        <f t="shared" si="6"/>
        <v>#N/A</v>
      </c>
      <c r="T476" s="125" t="str">
        <f t="shared" si="7"/>
        <v>#N/A</v>
      </c>
      <c r="U476" s="83">
        <f t="shared" si="8"/>
        <v>0</v>
      </c>
      <c r="V476" s="88" t="str">
        <f>ifs($N476="",VLOOKUP($C476&amp;$F476,'MARCH - VISIT DATA'!$A$2:$J600,7,FALSE), $N476="SWAB","OUTSA-RW",$N476="SWQU","OUTSA-SaQu", AND($L476="X",$M476="X",$N476="QUEST"),"OUT-UAQPre",$N476="QUEST","OUT-UAQ", $N476="Walk in","ColUATele")</f>
        <v>#N/A</v>
      </c>
      <c r="W476" s="70" t="str">
        <f t="shared" si="9"/>
        <v>#N/A</v>
      </c>
      <c r="X476" s="64" t="str">
        <f t="shared" si="10"/>
        <v/>
      </c>
      <c r="Y476" s="64" t="str">
        <f t="shared" si="11"/>
        <v/>
      </c>
      <c r="Z476" s="66" t="str">
        <f t="shared" si="12"/>
        <v> </v>
      </c>
      <c r="AA476" s="71"/>
    </row>
    <row r="477" ht="15.75" customHeight="1">
      <c r="A477" s="56" t="str">
        <f t="shared" si="1"/>
        <v/>
      </c>
      <c r="B477" s="56" t="str">
        <f>IFS($C477=FALSE,"",$C477,VLOOKUP($C477,'PATIENT DATA (072721)'!A:C, 2, 0))</f>
        <v/>
      </c>
      <c r="C477" s="57"/>
      <c r="D477" s="127" t="str">
        <f>IF(COUNTIF('PATIENT DATA (072721)'!A:A, C477)=0, "X","✓")</f>
        <v>X</v>
      </c>
      <c r="E477" s="79"/>
      <c r="F477" s="80"/>
      <c r="G477" s="81" t="str">
        <f>ifs($C477="","",$C477, VLOOKUP($C477&amp;$F477, 'MARCH - VISIT DATA'!A:O,3,0))</f>
        <v/>
      </c>
      <c r="H477" s="83"/>
      <c r="I477" s="122" t="str">
        <f>VLOOKUP($C477&amp;$F477,'MARCH - VISIT DATA'!A:J, 9, FALSE)</f>
        <v>#N/A</v>
      </c>
      <c r="J477" s="85" t="str">
        <f>VLOOKUP(C477&amp;F477,'MARCH - VISIT DATA'!A:O,10,FALSE)</f>
        <v>#N/A</v>
      </c>
      <c r="K477" s="86"/>
      <c r="L477" s="86"/>
      <c r="M477" s="86"/>
      <c r="N477" s="86"/>
      <c r="O477" s="121" t="str">
        <f t="shared" si="2"/>
        <v>X</v>
      </c>
      <c r="P477" s="79" t="str">
        <f t="shared" si="3"/>
        <v>#N/A</v>
      </c>
      <c r="Q477" s="123" t="str">
        <f t="shared" si="4"/>
        <v>#N/A</v>
      </c>
      <c r="R477" s="124" t="str">
        <f t="shared" si="5"/>
        <v>#N/A</v>
      </c>
      <c r="S477" s="125" t="str">
        <f t="shared" si="6"/>
        <v>#N/A</v>
      </c>
      <c r="T477" s="125" t="str">
        <f t="shared" si="7"/>
        <v>#N/A</v>
      </c>
      <c r="U477" s="83">
        <f t="shared" si="8"/>
        <v>0</v>
      </c>
      <c r="V477" s="88" t="str">
        <f>ifs($N477="",VLOOKUP($C477&amp;$F477,'MARCH - VISIT DATA'!$A$2:$J600,7,FALSE), $N477="SWAB","OUTSA-RW",$N477="SWQU","OUTSA-SaQu", AND($L477="X",$M477="X",$N477="QUEST"),"OUT-UAQPre",$N477="QUEST","OUT-UAQ", $N477="Walk in","ColUATele")</f>
        <v>#N/A</v>
      </c>
      <c r="W477" s="70" t="str">
        <f t="shared" si="9"/>
        <v>#N/A</v>
      </c>
      <c r="X477" s="64" t="str">
        <f t="shared" si="10"/>
        <v/>
      </c>
      <c r="Y477" s="64" t="str">
        <f t="shared" si="11"/>
        <v/>
      </c>
      <c r="Z477" s="66" t="str">
        <f t="shared" si="12"/>
        <v> </v>
      </c>
      <c r="AA477" s="71"/>
    </row>
    <row r="478" ht="15.75" customHeight="1">
      <c r="A478" s="56" t="str">
        <f t="shared" si="1"/>
        <v/>
      </c>
      <c r="B478" s="56" t="str">
        <f>IFS($C478=FALSE,"",$C478,VLOOKUP($C478,'PATIENT DATA (072721)'!A:C, 2, 0))</f>
        <v/>
      </c>
      <c r="C478" s="57"/>
      <c r="D478" s="127" t="str">
        <f>IF(COUNTIF('PATIENT DATA (072721)'!A:A, C478)=0, "X","✓")</f>
        <v>X</v>
      </c>
      <c r="E478" s="79"/>
      <c r="F478" s="80"/>
      <c r="G478" s="81" t="str">
        <f>ifs($C478="","",$C478, VLOOKUP($C478&amp;$F478, 'MARCH - VISIT DATA'!A:O,3,0))</f>
        <v/>
      </c>
      <c r="H478" s="83"/>
      <c r="I478" s="122" t="str">
        <f>VLOOKUP($C478&amp;$F478,'MARCH - VISIT DATA'!A:J, 9, FALSE)</f>
        <v>#N/A</v>
      </c>
      <c r="J478" s="85" t="str">
        <f>VLOOKUP(C478&amp;F478,'MARCH - VISIT DATA'!A:O,10,FALSE)</f>
        <v>#N/A</v>
      </c>
      <c r="K478" s="86"/>
      <c r="L478" s="86"/>
      <c r="M478" s="86"/>
      <c r="N478" s="86"/>
      <c r="O478" s="121" t="str">
        <f t="shared" si="2"/>
        <v>X</v>
      </c>
      <c r="P478" s="79" t="str">
        <f t="shared" si="3"/>
        <v>#N/A</v>
      </c>
      <c r="Q478" s="123" t="str">
        <f t="shared" si="4"/>
        <v>#N/A</v>
      </c>
      <c r="R478" s="124" t="str">
        <f t="shared" si="5"/>
        <v>#N/A</v>
      </c>
      <c r="S478" s="125" t="str">
        <f t="shared" si="6"/>
        <v>#N/A</v>
      </c>
      <c r="T478" s="125" t="str">
        <f t="shared" si="7"/>
        <v>#N/A</v>
      </c>
      <c r="U478" s="83">
        <f t="shared" si="8"/>
        <v>0</v>
      </c>
      <c r="V478" s="88" t="str">
        <f>ifs($N478="",VLOOKUP($C478&amp;$F478,'MARCH - VISIT DATA'!$A$2:$J600,7,FALSE), $N478="SWAB","OUTSA-RW",$N478="SWQU","OUTSA-SaQu", AND($L478="X",$M478="X",$N478="QUEST"),"OUT-UAQPre",$N478="QUEST","OUT-UAQ", $N478="Walk in","ColUATele")</f>
        <v>#N/A</v>
      </c>
      <c r="W478" s="70" t="str">
        <f t="shared" si="9"/>
        <v>#N/A</v>
      </c>
      <c r="X478" s="64" t="str">
        <f t="shared" si="10"/>
        <v/>
      </c>
      <c r="Y478" s="64" t="str">
        <f t="shared" si="11"/>
        <v/>
      </c>
      <c r="Z478" s="66" t="str">
        <f t="shared" si="12"/>
        <v> </v>
      </c>
      <c r="AA478" s="71"/>
    </row>
    <row r="479" ht="15.75" customHeight="1">
      <c r="A479" s="56" t="str">
        <f t="shared" si="1"/>
        <v/>
      </c>
      <c r="B479" s="56" t="str">
        <f>IFS($C479=FALSE,"",$C479,VLOOKUP($C479,'PATIENT DATA (072721)'!A:C, 2, 0))</f>
        <v/>
      </c>
      <c r="C479" s="57"/>
      <c r="D479" s="127" t="str">
        <f>IF(COUNTIF('PATIENT DATA (072721)'!A:A, C479)=0, "X","✓")</f>
        <v>X</v>
      </c>
      <c r="E479" s="79"/>
      <c r="F479" s="80"/>
      <c r="G479" s="81" t="str">
        <f>ifs($C479="","",$C479, VLOOKUP($C479&amp;$F479, 'MARCH - VISIT DATA'!A:O,3,0))</f>
        <v/>
      </c>
      <c r="H479" s="83"/>
      <c r="I479" s="122" t="str">
        <f>VLOOKUP($C479&amp;$F479,'MARCH - VISIT DATA'!A:J, 9, FALSE)</f>
        <v>#N/A</v>
      </c>
      <c r="J479" s="85" t="str">
        <f>VLOOKUP(C479&amp;F479,'MARCH - VISIT DATA'!A:O,10,FALSE)</f>
        <v>#N/A</v>
      </c>
      <c r="K479" s="86"/>
      <c r="L479" s="86"/>
      <c r="M479" s="86"/>
      <c r="N479" s="86"/>
      <c r="O479" s="121" t="str">
        <f t="shared" si="2"/>
        <v>X</v>
      </c>
      <c r="P479" s="79" t="str">
        <f t="shared" si="3"/>
        <v>#N/A</v>
      </c>
      <c r="Q479" s="123" t="str">
        <f t="shared" si="4"/>
        <v>#N/A</v>
      </c>
      <c r="R479" s="124" t="str">
        <f t="shared" si="5"/>
        <v>#N/A</v>
      </c>
      <c r="S479" s="125" t="str">
        <f t="shared" si="6"/>
        <v>#N/A</v>
      </c>
      <c r="T479" s="125" t="str">
        <f t="shared" si="7"/>
        <v>#N/A</v>
      </c>
      <c r="U479" s="83">
        <f t="shared" si="8"/>
        <v>0</v>
      </c>
      <c r="V479" s="88" t="str">
        <f>ifs($N479="",VLOOKUP($C479&amp;$F479,'MARCH - VISIT DATA'!$A$2:$J600,7,FALSE), $N479="SWAB","OUTSA-RW",$N479="SWQU","OUTSA-SaQu", AND($L479="X",$M479="X",$N479="QUEST"),"OUT-UAQPre",$N479="QUEST","OUT-UAQ", $N479="Walk in","ColUATele")</f>
        <v>#N/A</v>
      </c>
      <c r="W479" s="70" t="str">
        <f t="shared" si="9"/>
        <v>#N/A</v>
      </c>
      <c r="X479" s="64" t="str">
        <f t="shared" si="10"/>
        <v/>
      </c>
      <c r="Y479" s="64" t="str">
        <f t="shared" si="11"/>
        <v/>
      </c>
      <c r="Z479" s="66" t="str">
        <f t="shared" si="12"/>
        <v> </v>
      </c>
      <c r="AA479" s="71"/>
    </row>
    <row r="480" ht="15.75" customHeight="1">
      <c r="A480" s="56" t="str">
        <f t="shared" si="1"/>
        <v/>
      </c>
      <c r="B480" s="56" t="str">
        <f>IFS($C480=FALSE,"",$C480,VLOOKUP($C480,'PATIENT DATA (072721)'!A:C, 2, 0))</f>
        <v/>
      </c>
      <c r="C480" s="57"/>
      <c r="D480" s="127" t="str">
        <f>IF(COUNTIF('PATIENT DATA (072721)'!A:A, C480)=0, "X","✓")</f>
        <v>X</v>
      </c>
      <c r="E480" s="79"/>
      <c r="F480" s="80"/>
      <c r="G480" s="81" t="str">
        <f>ifs($C480="","",$C480, VLOOKUP($C480&amp;$F480, 'MARCH - VISIT DATA'!A:O,3,0))</f>
        <v/>
      </c>
      <c r="H480" s="83"/>
      <c r="I480" s="122" t="str">
        <f>VLOOKUP($C480&amp;$F480,'MARCH - VISIT DATA'!A:J, 9, FALSE)</f>
        <v>#N/A</v>
      </c>
      <c r="J480" s="85" t="str">
        <f>VLOOKUP(C480&amp;F480,'MARCH - VISIT DATA'!A:O,10,FALSE)</f>
        <v>#N/A</v>
      </c>
      <c r="K480" s="86"/>
      <c r="L480" s="86"/>
      <c r="M480" s="86"/>
      <c r="N480" s="86"/>
      <c r="O480" s="121" t="str">
        <f t="shared" si="2"/>
        <v>X</v>
      </c>
      <c r="P480" s="79" t="str">
        <f t="shared" si="3"/>
        <v>#N/A</v>
      </c>
      <c r="Q480" s="123" t="str">
        <f t="shared" si="4"/>
        <v>#N/A</v>
      </c>
      <c r="R480" s="124" t="str">
        <f t="shared" si="5"/>
        <v>#N/A</v>
      </c>
      <c r="S480" s="125" t="str">
        <f t="shared" si="6"/>
        <v>#N/A</v>
      </c>
      <c r="T480" s="125" t="str">
        <f t="shared" si="7"/>
        <v>#N/A</v>
      </c>
      <c r="U480" s="83">
        <f t="shared" si="8"/>
        <v>0</v>
      </c>
      <c r="V480" s="88" t="str">
        <f>ifs($N480="",VLOOKUP($C480&amp;$F480,'MARCH - VISIT DATA'!$A$2:$J600,7,FALSE), $N480="SWAB","OUTSA-RW",$N480="SWQU","OUTSA-SaQu", AND($L480="X",$M480="X",$N480="QUEST"),"OUT-UAQPre",$N480="QUEST","OUT-UAQ", $N480="Walk in","ColUATele")</f>
        <v>#N/A</v>
      </c>
      <c r="W480" s="70" t="str">
        <f t="shared" si="9"/>
        <v>#N/A</v>
      </c>
      <c r="X480" s="64" t="str">
        <f t="shared" si="10"/>
        <v/>
      </c>
      <c r="Y480" s="64" t="str">
        <f t="shared" si="11"/>
        <v/>
      </c>
      <c r="Z480" s="66" t="str">
        <f t="shared" si="12"/>
        <v> </v>
      </c>
      <c r="AA480" s="71"/>
    </row>
    <row r="481" ht="15.75" customHeight="1">
      <c r="A481" s="56" t="str">
        <f t="shared" si="1"/>
        <v/>
      </c>
      <c r="B481" s="56" t="str">
        <f>IFS($C481=FALSE,"",$C481,VLOOKUP($C481,'PATIENT DATA (072721)'!A:C, 2, 0))</f>
        <v/>
      </c>
      <c r="C481" s="57"/>
      <c r="D481" s="127" t="str">
        <f>IF(COUNTIF('PATIENT DATA (072721)'!A:A, C481)=0, "X","✓")</f>
        <v>X</v>
      </c>
      <c r="E481" s="79"/>
      <c r="F481" s="80"/>
      <c r="G481" s="81" t="str">
        <f>ifs($C481="","",$C481, VLOOKUP($C481&amp;$F481, 'MARCH - VISIT DATA'!A:O,3,0))</f>
        <v/>
      </c>
      <c r="H481" s="83"/>
      <c r="I481" s="122" t="str">
        <f>VLOOKUP($C481&amp;$F481,'MARCH - VISIT DATA'!A:J, 9, FALSE)</f>
        <v>#N/A</v>
      </c>
      <c r="J481" s="85" t="str">
        <f>VLOOKUP(C481&amp;F481,'MARCH - VISIT DATA'!A:O,10,FALSE)</f>
        <v>#N/A</v>
      </c>
      <c r="K481" s="86"/>
      <c r="L481" s="86"/>
      <c r="M481" s="86"/>
      <c r="N481" s="86"/>
      <c r="O481" s="121" t="str">
        <f t="shared" si="2"/>
        <v>X</v>
      </c>
      <c r="P481" s="79" t="str">
        <f t="shared" si="3"/>
        <v>#N/A</v>
      </c>
      <c r="Q481" s="123" t="str">
        <f t="shared" si="4"/>
        <v>#N/A</v>
      </c>
      <c r="R481" s="124" t="str">
        <f t="shared" si="5"/>
        <v>#N/A</v>
      </c>
      <c r="S481" s="125" t="str">
        <f t="shared" si="6"/>
        <v>#N/A</v>
      </c>
      <c r="T481" s="125" t="str">
        <f t="shared" si="7"/>
        <v>#N/A</v>
      </c>
      <c r="U481" s="83">
        <f t="shared" si="8"/>
        <v>0</v>
      </c>
      <c r="V481" s="88" t="str">
        <f>ifs($N481="",VLOOKUP($C481&amp;$F481,'MARCH - VISIT DATA'!$A$2:$J600,7,FALSE), $N481="SWAB","OUTSA-RW",$N481="SWQU","OUTSA-SaQu", AND($L481="X",$M481="X",$N481="QUEST"),"OUT-UAQPre",$N481="QUEST","OUT-UAQ", $N481="Walk in","ColUATele")</f>
        <v>#N/A</v>
      </c>
      <c r="W481" s="70" t="str">
        <f t="shared" si="9"/>
        <v>#N/A</v>
      </c>
      <c r="X481" s="64" t="str">
        <f t="shared" si="10"/>
        <v/>
      </c>
      <c r="Y481" s="64" t="str">
        <f t="shared" si="11"/>
        <v/>
      </c>
      <c r="Z481" s="66" t="str">
        <f t="shared" si="12"/>
        <v> </v>
      </c>
      <c r="AA481" s="71"/>
    </row>
    <row r="482" ht="15.75" customHeight="1">
      <c r="A482" s="56" t="str">
        <f t="shared" si="1"/>
        <v/>
      </c>
      <c r="B482" s="56" t="str">
        <f>IFS($C482=FALSE,"",$C482,VLOOKUP($C482,'PATIENT DATA (072721)'!A:C, 2, 0))</f>
        <v/>
      </c>
      <c r="C482" s="57"/>
      <c r="D482" s="127" t="str">
        <f>IF(COUNTIF('PATIENT DATA (072721)'!A:A, C482)=0, "X","✓")</f>
        <v>X</v>
      </c>
      <c r="E482" s="79"/>
      <c r="F482" s="80"/>
      <c r="G482" s="81" t="str">
        <f>ifs($C482="","",$C482, VLOOKUP($C482&amp;$F482, 'MARCH - VISIT DATA'!A:O,3,0))</f>
        <v/>
      </c>
      <c r="H482" s="83"/>
      <c r="I482" s="122" t="str">
        <f>VLOOKUP($C482&amp;$F482,'MARCH - VISIT DATA'!A:J, 9, FALSE)</f>
        <v>#N/A</v>
      </c>
      <c r="J482" s="85" t="str">
        <f>VLOOKUP(C482&amp;F482,'MARCH - VISIT DATA'!A:O,10,FALSE)</f>
        <v>#N/A</v>
      </c>
      <c r="K482" s="86"/>
      <c r="L482" s="86"/>
      <c r="M482" s="86"/>
      <c r="N482" s="86"/>
      <c r="O482" s="121" t="str">
        <f t="shared" si="2"/>
        <v>X</v>
      </c>
      <c r="P482" s="79" t="str">
        <f t="shared" si="3"/>
        <v>#N/A</v>
      </c>
      <c r="Q482" s="123" t="str">
        <f t="shared" si="4"/>
        <v>#N/A</v>
      </c>
      <c r="R482" s="124" t="str">
        <f t="shared" si="5"/>
        <v>#N/A</v>
      </c>
      <c r="S482" s="125" t="str">
        <f t="shared" si="6"/>
        <v>#N/A</v>
      </c>
      <c r="T482" s="125" t="str">
        <f t="shared" si="7"/>
        <v>#N/A</v>
      </c>
      <c r="U482" s="83">
        <f t="shared" si="8"/>
        <v>0</v>
      </c>
      <c r="V482" s="88" t="str">
        <f>ifs($N482="",VLOOKUP($C482&amp;$F482,'MARCH - VISIT DATA'!$A$2:$J600,7,FALSE), $N482="SWAB","OUTSA-RW",$N482="SWQU","OUTSA-SaQu", AND($L482="X",$M482="X",$N482="QUEST"),"OUT-UAQPre",$N482="QUEST","OUT-UAQ", $N482="Walk in","ColUATele")</f>
        <v>#N/A</v>
      </c>
      <c r="W482" s="70" t="str">
        <f t="shared" si="9"/>
        <v>#N/A</v>
      </c>
      <c r="X482" s="64" t="str">
        <f t="shared" si="10"/>
        <v/>
      </c>
      <c r="Y482" s="64" t="str">
        <f t="shared" si="11"/>
        <v/>
      </c>
      <c r="Z482" s="66" t="str">
        <f t="shared" si="12"/>
        <v> </v>
      </c>
      <c r="AA482" s="71"/>
    </row>
    <row r="483" ht="15.75" customHeight="1">
      <c r="A483" s="56" t="str">
        <f t="shared" si="1"/>
        <v/>
      </c>
      <c r="B483" s="56" t="str">
        <f>IFS($C483=FALSE,"",$C483,VLOOKUP($C483,'PATIENT DATA (072721)'!A:C, 2, 0))</f>
        <v/>
      </c>
      <c r="C483" s="57"/>
      <c r="D483" s="127" t="str">
        <f>IF(COUNTIF('PATIENT DATA (072721)'!A:A, C483)=0, "X","✓")</f>
        <v>X</v>
      </c>
      <c r="E483" s="79"/>
      <c r="F483" s="80"/>
      <c r="G483" s="81" t="str">
        <f>ifs($C483="","",$C483, VLOOKUP($C483&amp;$F483, 'MARCH - VISIT DATA'!A:O,3,0))</f>
        <v/>
      </c>
      <c r="H483" s="83"/>
      <c r="I483" s="122" t="str">
        <f>VLOOKUP($C483&amp;$F483,'MARCH - VISIT DATA'!A:J, 9, FALSE)</f>
        <v>#N/A</v>
      </c>
      <c r="J483" s="85" t="str">
        <f>VLOOKUP(C483&amp;F483,'MARCH - VISIT DATA'!A:O,10,FALSE)</f>
        <v>#N/A</v>
      </c>
      <c r="K483" s="86"/>
      <c r="L483" s="86"/>
      <c r="M483" s="86"/>
      <c r="N483" s="86"/>
      <c r="O483" s="121" t="str">
        <f t="shared" si="2"/>
        <v>X</v>
      </c>
      <c r="P483" s="79" t="str">
        <f t="shared" si="3"/>
        <v>#N/A</v>
      </c>
      <c r="Q483" s="123" t="str">
        <f t="shared" si="4"/>
        <v>#N/A</v>
      </c>
      <c r="R483" s="124" t="str">
        <f t="shared" si="5"/>
        <v>#N/A</v>
      </c>
      <c r="S483" s="125" t="str">
        <f t="shared" si="6"/>
        <v>#N/A</v>
      </c>
      <c r="T483" s="125" t="str">
        <f t="shared" si="7"/>
        <v>#N/A</v>
      </c>
      <c r="U483" s="83">
        <f t="shared" si="8"/>
        <v>0</v>
      </c>
      <c r="V483" s="88" t="str">
        <f>ifs($N483="",VLOOKUP($C483&amp;$F483,'MARCH - VISIT DATA'!$A$2:$J600,7,FALSE), $N483="SWAB","OUTSA-RW",$N483="SWQU","OUTSA-SaQu", AND($L483="X",$M483="X",$N483="QUEST"),"OUT-UAQPre",$N483="QUEST","OUT-UAQ", $N483="Walk in","ColUATele")</f>
        <v>#N/A</v>
      </c>
      <c r="W483" s="70" t="str">
        <f t="shared" si="9"/>
        <v>#N/A</v>
      </c>
      <c r="X483" s="64" t="str">
        <f t="shared" si="10"/>
        <v/>
      </c>
      <c r="Y483" s="64" t="str">
        <f t="shared" si="11"/>
        <v/>
      </c>
      <c r="Z483" s="66" t="str">
        <f t="shared" si="12"/>
        <v> </v>
      </c>
      <c r="AA483" s="71"/>
    </row>
    <row r="484" ht="15.75" customHeight="1">
      <c r="A484" s="56" t="str">
        <f t="shared" si="1"/>
        <v/>
      </c>
      <c r="B484" s="56" t="str">
        <f>IFS($C484=FALSE,"",$C484,VLOOKUP($C484,'PATIENT DATA (072721)'!A:C, 2, 0))</f>
        <v/>
      </c>
      <c r="C484" s="57"/>
      <c r="D484" s="127" t="str">
        <f>IF(COUNTIF('PATIENT DATA (072721)'!A:A, C484)=0, "X","✓")</f>
        <v>X</v>
      </c>
      <c r="E484" s="79"/>
      <c r="F484" s="80"/>
      <c r="G484" s="81" t="str">
        <f>ifs($C484="","",$C484, VLOOKUP($C484&amp;$F484, 'MARCH - VISIT DATA'!A:O,3,0))</f>
        <v/>
      </c>
      <c r="H484" s="83"/>
      <c r="I484" s="122" t="str">
        <f>VLOOKUP($C484&amp;$F484,'MARCH - VISIT DATA'!A:J, 9, FALSE)</f>
        <v>#N/A</v>
      </c>
      <c r="J484" s="85" t="str">
        <f>VLOOKUP(C484&amp;F484,'MARCH - VISIT DATA'!A:O,10,FALSE)</f>
        <v>#N/A</v>
      </c>
      <c r="K484" s="86"/>
      <c r="L484" s="86"/>
      <c r="M484" s="86"/>
      <c r="N484" s="86"/>
      <c r="O484" s="121" t="str">
        <f t="shared" si="2"/>
        <v>X</v>
      </c>
      <c r="P484" s="79" t="str">
        <f t="shared" si="3"/>
        <v>#N/A</v>
      </c>
      <c r="Q484" s="123" t="str">
        <f t="shared" si="4"/>
        <v>#N/A</v>
      </c>
      <c r="R484" s="124" t="str">
        <f t="shared" si="5"/>
        <v>#N/A</v>
      </c>
      <c r="S484" s="125" t="str">
        <f t="shared" si="6"/>
        <v>#N/A</v>
      </c>
      <c r="T484" s="125" t="str">
        <f t="shared" si="7"/>
        <v>#N/A</v>
      </c>
      <c r="U484" s="83">
        <f t="shared" si="8"/>
        <v>0</v>
      </c>
      <c r="V484" s="88" t="str">
        <f>ifs($N484="",VLOOKUP($C484&amp;$F484,'MARCH - VISIT DATA'!$A$2:$J600,7,FALSE), $N484="SWAB","OUTSA-RW",$N484="SWQU","OUTSA-SaQu", AND($L484="X",$M484="X",$N484="QUEST"),"OUT-UAQPre",$N484="QUEST","OUT-UAQ", $N484="Walk in","ColUATele")</f>
        <v>#N/A</v>
      </c>
      <c r="W484" s="70" t="str">
        <f t="shared" si="9"/>
        <v>#N/A</v>
      </c>
      <c r="X484" s="64" t="str">
        <f t="shared" si="10"/>
        <v/>
      </c>
      <c r="Y484" s="64" t="str">
        <f t="shared" si="11"/>
        <v/>
      </c>
      <c r="Z484" s="66" t="str">
        <f t="shared" si="12"/>
        <v> </v>
      </c>
      <c r="AA484" s="71"/>
    </row>
    <row r="485" ht="15.75" customHeight="1">
      <c r="A485" s="56" t="str">
        <f t="shared" si="1"/>
        <v/>
      </c>
      <c r="B485" s="56" t="str">
        <f>IFS($C485=FALSE,"",$C485,VLOOKUP($C485,'PATIENT DATA (072721)'!A:C, 2, 0))</f>
        <v/>
      </c>
      <c r="C485" s="57"/>
      <c r="D485" s="127" t="str">
        <f>IF(COUNTIF('PATIENT DATA (072721)'!A:A, C485)=0, "X","✓")</f>
        <v>X</v>
      </c>
      <c r="E485" s="79"/>
      <c r="F485" s="80"/>
      <c r="G485" s="81" t="str">
        <f>ifs($C485="","",$C485, VLOOKUP($C485&amp;$F485, 'MARCH - VISIT DATA'!A:O,3,0))</f>
        <v/>
      </c>
      <c r="H485" s="83"/>
      <c r="I485" s="122" t="str">
        <f>VLOOKUP($C485&amp;$F485,'MARCH - VISIT DATA'!A:J, 9, FALSE)</f>
        <v>#N/A</v>
      </c>
      <c r="J485" s="85" t="str">
        <f>VLOOKUP(C485&amp;F485,'MARCH - VISIT DATA'!A:O,10,FALSE)</f>
        <v>#N/A</v>
      </c>
      <c r="K485" s="86"/>
      <c r="L485" s="86"/>
      <c r="M485" s="86"/>
      <c r="N485" s="86"/>
      <c r="O485" s="121" t="str">
        <f t="shared" si="2"/>
        <v>X</v>
      </c>
      <c r="P485" s="79" t="str">
        <f t="shared" si="3"/>
        <v>#N/A</v>
      </c>
      <c r="Q485" s="123" t="str">
        <f t="shared" si="4"/>
        <v>#N/A</v>
      </c>
      <c r="R485" s="124" t="str">
        <f t="shared" si="5"/>
        <v>#N/A</v>
      </c>
      <c r="S485" s="125" t="str">
        <f t="shared" si="6"/>
        <v>#N/A</v>
      </c>
      <c r="T485" s="125" t="str">
        <f t="shared" si="7"/>
        <v>#N/A</v>
      </c>
      <c r="U485" s="83">
        <f t="shared" si="8"/>
        <v>0</v>
      </c>
      <c r="V485" s="88" t="str">
        <f>ifs($N485="",VLOOKUP($C485&amp;$F485,'MARCH - VISIT DATA'!$A$2:$J600,7,FALSE), $N485="SWAB","OUTSA-RW",$N485="SWQU","OUTSA-SaQu", AND($L485="X",$M485="X",$N485="QUEST"),"OUT-UAQPre",$N485="QUEST","OUT-UAQ", $N485="Walk in","ColUATele")</f>
        <v>#N/A</v>
      </c>
      <c r="W485" s="70" t="str">
        <f t="shared" si="9"/>
        <v>#N/A</v>
      </c>
      <c r="X485" s="64" t="str">
        <f t="shared" si="10"/>
        <v/>
      </c>
      <c r="Y485" s="64" t="str">
        <f t="shared" si="11"/>
        <v/>
      </c>
      <c r="Z485" s="66" t="str">
        <f t="shared" si="12"/>
        <v> </v>
      </c>
      <c r="AA485" s="71"/>
    </row>
    <row r="486" ht="15.75" customHeight="1">
      <c r="A486" s="56" t="str">
        <f t="shared" si="1"/>
        <v/>
      </c>
      <c r="B486" s="56" t="str">
        <f>IFS($C486=FALSE,"",$C486,VLOOKUP($C486,'PATIENT DATA (072721)'!A:C, 2, 0))</f>
        <v/>
      </c>
      <c r="C486" s="57"/>
      <c r="D486" s="127" t="str">
        <f>IF(COUNTIF('PATIENT DATA (072721)'!A:A, C486)=0, "X","✓")</f>
        <v>X</v>
      </c>
      <c r="E486" s="79"/>
      <c r="F486" s="80"/>
      <c r="G486" s="81" t="str">
        <f>ifs($C486="","",$C486, VLOOKUP($C486&amp;$F486, 'MARCH - VISIT DATA'!A:O,3,0))</f>
        <v/>
      </c>
      <c r="H486" s="83"/>
      <c r="I486" s="122" t="str">
        <f>VLOOKUP($C486&amp;$F486,'MARCH - VISIT DATA'!A:J, 9, FALSE)</f>
        <v>#N/A</v>
      </c>
      <c r="J486" s="85" t="str">
        <f>VLOOKUP(C486&amp;F486,'MARCH - VISIT DATA'!A:O,10,FALSE)</f>
        <v>#N/A</v>
      </c>
      <c r="K486" s="86"/>
      <c r="L486" s="86"/>
      <c r="M486" s="86"/>
      <c r="N486" s="86"/>
      <c r="O486" s="121" t="str">
        <f t="shared" si="2"/>
        <v>X</v>
      </c>
      <c r="P486" s="79" t="str">
        <f t="shared" si="3"/>
        <v>#N/A</v>
      </c>
      <c r="Q486" s="123" t="str">
        <f t="shared" si="4"/>
        <v>#N/A</v>
      </c>
      <c r="R486" s="124" t="str">
        <f t="shared" si="5"/>
        <v>#N/A</v>
      </c>
      <c r="S486" s="125" t="str">
        <f t="shared" si="6"/>
        <v>#N/A</v>
      </c>
      <c r="T486" s="125" t="str">
        <f t="shared" si="7"/>
        <v>#N/A</v>
      </c>
      <c r="U486" s="83">
        <f t="shared" si="8"/>
        <v>0</v>
      </c>
      <c r="V486" s="88" t="str">
        <f>ifs($N486="",VLOOKUP($C486&amp;$F486,'MARCH - VISIT DATA'!$A$2:$J600,7,FALSE), $N486="SWAB","OUTSA-RW",$N486="SWQU","OUTSA-SaQu", AND($L486="X",$M486="X",$N486="QUEST"),"OUT-UAQPre",$N486="QUEST","OUT-UAQ", $N486="Walk in","ColUATele")</f>
        <v>#N/A</v>
      </c>
      <c r="W486" s="70" t="str">
        <f t="shared" si="9"/>
        <v>#N/A</v>
      </c>
      <c r="X486" s="64" t="str">
        <f t="shared" si="10"/>
        <v/>
      </c>
      <c r="Y486" s="64" t="str">
        <f t="shared" si="11"/>
        <v/>
      </c>
      <c r="Z486" s="66" t="str">
        <f t="shared" si="12"/>
        <v> </v>
      </c>
      <c r="AA486" s="71"/>
    </row>
    <row r="487" ht="15.75" customHeight="1">
      <c r="A487" s="56" t="str">
        <f t="shared" si="1"/>
        <v/>
      </c>
      <c r="B487" s="56" t="str">
        <f>IFS($C487=FALSE,"",$C487,VLOOKUP($C487,'PATIENT DATA (072721)'!A:C, 2, 0))</f>
        <v/>
      </c>
      <c r="C487" s="57"/>
      <c r="D487" s="127" t="str">
        <f>IF(COUNTIF('PATIENT DATA (072721)'!A:A, C487)=0, "X","✓")</f>
        <v>X</v>
      </c>
      <c r="E487" s="79"/>
      <c r="F487" s="80"/>
      <c r="G487" s="81" t="str">
        <f>ifs($C487="","",$C487, VLOOKUP($C487&amp;$F487, 'MARCH - VISIT DATA'!A:O,3,0))</f>
        <v/>
      </c>
      <c r="H487" s="83"/>
      <c r="I487" s="122" t="str">
        <f>VLOOKUP($C487&amp;$F487,'MARCH - VISIT DATA'!A:J, 9, FALSE)</f>
        <v>#N/A</v>
      </c>
      <c r="J487" s="85" t="str">
        <f>VLOOKUP(C487&amp;F487,'MARCH - VISIT DATA'!A:O,10,FALSE)</f>
        <v>#N/A</v>
      </c>
      <c r="K487" s="86"/>
      <c r="L487" s="86"/>
      <c r="M487" s="86"/>
      <c r="N487" s="86"/>
      <c r="O487" s="121" t="str">
        <f t="shared" si="2"/>
        <v>X</v>
      </c>
      <c r="P487" s="79" t="str">
        <f t="shared" si="3"/>
        <v>#N/A</v>
      </c>
      <c r="Q487" s="123" t="str">
        <f t="shared" si="4"/>
        <v>#N/A</v>
      </c>
      <c r="R487" s="124" t="str">
        <f t="shared" si="5"/>
        <v>#N/A</v>
      </c>
      <c r="S487" s="125" t="str">
        <f t="shared" si="6"/>
        <v>#N/A</v>
      </c>
      <c r="T487" s="125" t="str">
        <f t="shared" si="7"/>
        <v>#N/A</v>
      </c>
      <c r="U487" s="83">
        <f t="shared" si="8"/>
        <v>0</v>
      </c>
      <c r="V487" s="88" t="str">
        <f>ifs($N487="",VLOOKUP($C487&amp;$F487,'MARCH - VISIT DATA'!$A$2:$J600,7,FALSE), $N487="SWAB","OUTSA-RW",$N487="SWQU","OUTSA-SaQu", AND($L487="X",$M487="X",$N487="QUEST"),"OUT-UAQPre",$N487="QUEST","OUT-UAQ", $N487="Walk in","ColUATele")</f>
        <v>#N/A</v>
      </c>
      <c r="W487" s="70" t="str">
        <f t="shared" si="9"/>
        <v>#N/A</v>
      </c>
      <c r="X487" s="64" t="str">
        <f t="shared" si="10"/>
        <v/>
      </c>
      <c r="Y487" s="64" t="str">
        <f t="shared" si="11"/>
        <v/>
      </c>
      <c r="Z487" s="66" t="str">
        <f t="shared" si="12"/>
        <v> </v>
      </c>
      <c r="AA487" s="71"/>
    </row>
    <row r="488" ht="15.75" customHeight="1">
      <c r="A488" s="56" t="str">
        <f t="shared" si="1"/>
        <v/>
      </c>
      <c r="B488" s="56" t="str">
        <f>IFS($C488=FALSE,"",$C488,VLOOKUP($C488,'PATIENT DATA (072721)'!A:C, 2, 0))</f>
        <v/>
      </c>
      <c r="C488" s="57"/>
      <c r="D488" s="127" t="str">
        <f>IF(COUNTIF('PATIENT DATA (072721)'!A:A, C488)=0, "X","✓")</f>
        <v>X</v>
      </c>
      <c r="E488" s="79"/>
      <c r="F488" s="80"/>
      <c r="G488" s="81" t="str">
        <f>ifs($C488="","",$C488, VLOOKUP($C488&amp;$F488, 'MARCH - VISIT DATA'!A:O,3,0))</f>
        <v/>
      </c>
      <c r="H488" s="83"/>
      <c r="I488" s="122" t="str">
        <f>VLOOKUP($C488&amp;$F488,'MARCH - VISIT DATA'!A:J, 9, FALSE)</f>
        <v>#N/A</v>
      </c>
      <c r="J488" s="85" t="str">
        <f>VLOOKUP(C488&amp;F488,'MARCH - VISIT DATA'!A:O,10,FALSE)</f>
        <v>#N/A</v>
      </c>
      <c r="K488" s="86"/>
      <c r="L488" s="86"/>
      <c r="M488" s="86"/>
      <c r="N488" s="86"/>
      <c r="O488" s="121" t="str">
        <f t="shared" si="2"/>
        <v>X</v>
      </c>
      <c r="P488" s="79" t="str">
        <f t="shared" si="3"/>
        <v>#N/A</v>
      </c>
      <c r="Q488" s="123" t="str">
        <f t="shared" si="4"/>
        <v>#N/A</v>
      </c>
      <c r="R488" s="124" t="str">
        <f t="shared" si="5"/>
        <v>#N/A</v>
      </c>
      <c r="S488" s="125" t="str">
        <f t="shared" si="6"/>
        <v>#N/A</v>
      </c>
      <c r="T488" s="125" t="str">
        <f t="shared" si="7"/>
        <v>#N/A</v>
      </c>
      <c r="U488" s="83">
        <f t="shared" si="8"/>
        <v>0</v>
      </c>
      <c r="V488" s="88" t="str">
        <f>ifs($N488="",VLOOKUP($C488&amp;$F488,'MARCH - VISIT DATA'!$A$2:$J600,7,FALSE), $N488="SWAB","OUTSA-RW",$N488="SWQU","OUTSA-SaQu", AND($L488="X",$M488="X",$N488="QUEST"),"OUT-UAQPre",$N488="QUEST","OUT-UAQ", $N488="Walk in","ColUATele")</f>
        <v>#N/A</v>
      </c>
      <c r="W488" s="70" t="str">
        <f t="shared" si="9"/>
        <v>#N/A</v>
      </c>
      <c r="X488" s="64" t="str">
        <f t="shared" si="10"/>
        <v/>
      </c>
      <c r="Y488" s="64" t="str">
        <f t="shared" si="11"/>
        <v/>
      </c>
      <c r="Z488" s="66" t="str">
        <f t="shared" si="12"/>
        <v> </v>
      </c>
      <c r="AA488" s="71"/>
    </row>
    <row r="489" ht="15.75" customHeight="1">
      <c r="A489" s="56" t="str">
        <f t="shared" si="1"/>
        <v/>
      </c>
      <c r="B489" s="56" t="str">
        <f>IFS($C489=FALSE,"",$C489,VLOOKUP($C489,'PATIENT DATA (072721)'!A:C, 2, 0))</f>
        <v/>
      </c>
      <c r="C489" s="57"/>
      <c r="D489" s="127" t="str">
        <f>IF(COUNTIF('PATIENT DATA (072721)'!A:A, C489)=0, "X","✓")</f>
        <v>X</v>
      </c>
      <c r="E489" s="79"/>
      <c r="F489" s="80"/>
      <c r="G489" s="81" t="str">
        <f>ifs($C489="","",$C489, VLOOKUP($C489&amp;$F489, 'MARCH - VISIT DATA'!A:O,3,0))</f>
        <v/>
      </c>
      <c r="H489" s="83"/>
      <c r="I489" s="122" t="str">
        <f>VLOOKUP($C489&amp;$F489,'MARCH - VISIT DATA'!A:J, 9, FALSE)</f>
        <v>#N/A</v>
      </c>
      <c r="J489" s="85" t="str">
        <f>VLOOKUP(C489&amp;F489,'MARCH - VISIT DATA'!A:O,10,FALSE)</f>
        <v>#N/A</v>
      </c>
      <c r="K489" s="86"/>
      <c r="L489" s="86"/>
      <c r="M489" s="86"/>
      <c r="N489" s="86"/>
      <c r="O489" s="121" t="str">
        <f t="shared" si="2"/>
        <v>X</v>
      </c>
      <c r="P489" s="79" t="str">
        <f t="shared" si="3"/>
        <v>#N/A</v>
      </c>
      <c r="Q489" s="123" t="str">
        <f t="shared" si="4"/>
        <v>#N/A</v>
      </c>
      <c r="R489" s="124" t="str">
        <f t="shared" si="5"/>
        <v>#N/A</v>
      </c>
      <c r="S489" s="125" t="str">
        <f t="shared" si="6"/>
        <v>#N/A</v>
      </c>
      <c r="T489" s="125" t="str">
        <f t="shared" si="7"/>
        <v>#N/A</v>
      </c>
      <c r="U489" s="83">
        <f t="shared" si="8"/>
        <v>0</v>
      </c>
      <c r="V489" s="88" t="str">
        <f>ifs($N489="",VLOOKUP($C489&amp;$F489,'MARCH - VISIT DATA'!$A$2:$J600,7,FALSE), $N489="SWAB","OUTSA-RW",$N489="SWQU","OUTSA-SaQu", AND($L489="X",$M489="X",$N489="QUEST"),"OUT-UAQPre",$N489="QUEST","OUT-UAQ", $N489="Walk in","ColUATele")</f>
        <v>#N/A</v>
      </c>
      <c r="W489" s="70" t="str">
        <f t="shared" si="9"/>
        <v>#N/A</v>
      </c>
      <c r="X489" s="64" t="str">
        <f t="shared" si="10"/>
        <v/>
      </c>
      <c r="Y489" s="64" t="str">
        <f t="shared" si="11"/>
        <v/>
      </c>
      <c r="Z489" s="66" t="str">
        <f t="shared" si="12"/>
        <v> </v>
      </c>
      <c r="AA489" s="71"/>
    </row>
    <row r="490" ht="15.75" customHeight="1">
      <c r="A490" s="56" t="str">
        <f t="shared" si="1"/>
        <v/>
      </c>
      <c r="B490" s="56" t="str">
        <f>IFS($C490=FALSE,"",$C490,VLOOKUP($C490,'PATIENT DATA (072721)'!A:C, 2, 0))</f>
        <v/>
      </c>
      <c r="C490" s="57"/>
      <c r="D490" s="127" t="str">
        <f>IF(COUNTIF('PATIENT DATA (072721)'!A:A, C490)=0, "X","✓")</f>
        <v>X</v>
      </c>
      <c r="E490" s="79"/>
      <c r="F490" s="80"/>
      <c r="G490" s="81" t="str">
        <f>ifs($C490="","",$C490, VLOOKUP($C490&amp;$F490, 'MARCH - VISIT DATA'!A:O,3,0))</f>
        <v/>
      </c>
      <c r="H490" s="83"/>
      <c r="I490" s="122" t="str">
        <f>VLOOKUP($C490&amp;$F490,'MARCH - VISIT DATA'!A:J, 9, FALSE)</f>
        <v>#N/A</v>
      </c>
      <c r="J490" s="85" t="str">
        <f>VLOOKUP(C490&amp;F490,'MARCH - VISIT DATA'!A:O,10,FALSE)</f>
        <v>#N/A</v>
      </c>
      <c r="K490" s="86"/>
      <c r="L490" s="86"/>
      <c r="M490" s="86"/>
      <c r="N490" s="86"/>
      <c r="O490" s="121" t="str">
        <f t="shared" si="2"/>
        <v>X</v>
      </c>
      <c r="P490" s="79" t="str">
        <f t="shared" si="3"/>
        <v>#N/A</v>
      </c>
      <c r="Q490" s="123" t="str">
        <f t="shared" si="4"/>
        <v>#N/A</v>
      </c>
      <c r="R490" s="124" t="str">
        <f t="shared" si="5"/>
        <v>#N/A</v>
      </c>
      <c r="S490" s="125" t="str">
        <f t="shared" si="6"/>
        <v>#N/A</v>
      </c>
      <c r="T490" s="125" t="str">
        <f t="shared" si="7"/>
        <v>#N/A</v>
      </c>
      <c r="U490" s="83">
        <f t="shared" si="8"/>
        <v>0</v>
      </c>
      <c r="V490" s="88" t="str">
        <f>ifs($N490="",VLOOKUP($C490&amp;$F490,'MARCH - VISIT DATA'!$A$2:$J600,7,FALSE), $N490="SWAB","OUTSA-RW",$N490="SWQU","OUTSA-SaQu", AND($L490="X",$M490="X",$N490="QUEST"),"OUT-UAQPre",$N490="QUEST","OUT-UAQ", $N490="Walk in","ColUATele")</f>
        <v>#N/A</v>
      </c>
      <c r="W490" s="70" t="str">
        <f t="shared" si="9"/>
        <v>#N/A</v>
      </c>
      <c r="X490" s="64" t="str">
        <f t="shared" si="10"/>
        <v/>
      </c>
      <c r="Y490" s="64" t="str">
        <f t="shared" si="11"/>
        <v/>
      </c>
      <c r="Z490" s="66" t="str">
        <f t="shared" si="12"/>
        <v> </v>
      </c>
      <c r="AA490" s="71"/>
    </row>
    <row r="491" ht="15.75" customHeight="1">
      <c r="A491" s="56" t="str">
        <f t="shared" si="1"/>
        <v/>
      </c>
      <c r="B491" s="56" t="str">
        <f>IFS($C491=FALSE,"",$C491,VLOOKUP($C491,'PATIENT DATA (072721)'!A:C, 2, 0))</f>
        <v/>
      </c>
      <c r="C491" s="57"/>
      <c r="D491" s="127" t="str">
        <f>IF(COUNTIF('PATIENT DATA (072721)'!A:A, C491)=0, "X","✓")</f>
        <v>X</v>
      </c>
      <c r="E491" s="79"/>
      <c r="F491" s="80"/>
      <c r="G491" s="81" t="str">
        <f>ifs($C491="","",$C491, VLOOKUP($C491&amp;$F491, 'MARCH - VISIT DATA'!A:O,3,0))</f>
        <v/>
      </c>
      <c r="H491" s="83"/>
      <c r="I491" s="122" t="str">
        <f>VLOOKUP($C491&amp;$F491,'MARCH - VISIT DATA'!A:J, 9, FALSE)</f>
        <v>#N/A</v>
      </c>
      <c r="J491" s="85" t="str">
        <f>VLOOKUP(C491&amp;F491,'MARCH - VISIT DATA'!A:O,10,FALSE)</f>
        <v>#N/A</v>
      </c>
      <c r="K491" s="86"/>
      <c r="L491" s="86"/>
      <c r="M491" s="86"/>
      <c r="N491" s="86"/>
      <c r="O491" s="121" t="str">
        <f t="shared" si="2"/>
        <v>X</v>
      </c>
      <c r="P491" s="79" t="str">
        <f t="shared" si="3"/>
        <v>#N/A</v>
      </c>
      <c r="Q491" s="123" t="str">
        <f t="shared" si="4"/>
        <v>#N/A</v>
      </c>
      <c r="R491" s="124" t="str">
        <f t="shared" si="5"/>
        <v>#N/A</v>
      </c>
      <c r="S491" s="125" t="str">
        <f t="shared" si="6"/>
        <v>#N/A</v>
      </c>
      <c r="T491" s="125" t="str">
        <f t="shared" si="7"/>
        <v>#N/A</v>
      </c>
      <c r="U491" s="83">
        <f t="shared" si="8"/>
        <v>0</v>
      </c>
      <c r="V491" s="88" t="str">
        <f>ifs($N491="",VLOOKUP($C491&amp;$F491,'MARCH - VISIT DATA'!$A$2:$J600,7,FALSE), $N491="SWAB","OUTSA-RW",$N491="SWQU","OUTSA-SaQu", AND($L491="X",$M491="X",$N491="QUEST"),"OUT-UAQPre",$N491="QUEST","OUT-UAQ", $N491="Walk in","ColUATele")</f>
        <v>#N/A</v>
      </c>
      <c r="W491" s="70" t="str">
        <f t="shared" si="9"/>
        <v>#N/A</v>
      </c>
      <c r="X491" s="64" t="str">
        <f t="shared" si="10"/>
        <v/>
      </c>
      <c r="Y491" s="64" t="str">
        <f t="shared" si="11"/>
        <v/>
      </c>
      <c r="Z491" s="66" t="str">
        <f t="shared" si="12"/>
        <v> </v>
      </c>
      <c r="AA491" s="71"/>
    </row>
    <row r="492" ht="15.75" customHeight="1">
      <c r="A492" s="56" t="str">
        <f t="shared" si="1"/>
        <v/>
      </c>
      <c r="B492" s="56" t="str">
        <f>IFS($C492=FALSE,"",$C492,VLOOKUP($C492,'PATIENT DATA (072721)'!A:C, 2, 0))</f>
        <v/>
      </c>
      <c r="C492" s="57"/>
      <c r="D492" s="127" t="str">
        <f>IF(COUNTIF('PATIENT DATA (072721)'!A:A, C492)=0, "X","✓")</f>
        <v>X</v>
      </c>
      <c r="E492" s="79"/>
      <c r="F492" s="80"/>
      <c r="G492" s="81" t="str">
        <f>ifs($C492="","",$C492, VLOOKUP($C492&amp;$F492, 'MARCH - VISIT DATA'!A:O,3,0))</f>
        <v/>
      </c>
      <c r="H492" s="83"/>
      <c r="I492" s="122" t="str">
        <f>VLOOKUP($C492&amp;$F492,'MARCH - VISIT DATA'!A:J, 9, FALSE)</f>
        <v>#N/A</v>
      </c>
      <c r="J492" s="85" t="str">
        <f>VLOOKUP(C492&amp;F492,'MARCH - VISIT DATA'!A:O,10,FALSE)</f>
        <v>#N/A</v>
      </c>
      <c r="K492" s="86"/>
      <c r="L492" s="86"/>
      <c r="M492" s="86"/>
      <c r="N492" s="86"/>
      <c r="O492" s="121" t="str">
        <f t="shared" si="2"/>
        <v>X</v>
      </c>
      <c r="P492" s="79" t="str">
        <f t="shared" si="3"/>
        <v>#N/A</v>
      </c>
      <c r="Q492" s="123" t="str">
        <f t="shared" si="4"/>
        <v>#N/A</v>
      </c>
      <c r="R492" s="124" t="str">
        <f t="shared" si="5"/>
        <v>#N/A</v>
      </c>
      <c r="S492" s="125" t="str">
        <f t="shared" si="6"/>
        <v>#N/A</v>
      </c>
      <c r="T492" s="125" t="str">
        <f t="shared" si="7"/>
        <v>#N/A</v>
      </c>
      <c r="U492" s="83">
        <f t="shared" si="8"/>
        <v>0</v>
      </c>
      <c r="V492" s="88" t="str">
        <f>ifs($N492="",VLOOKUP($C492&amp;$F492,'MARCH - VISIT DATA'!$A$2:$J600,7,FALSE), $N492="SWAB","OUTSA-RW",$N492="SWQU","OUTSA-SaQu", AND($L492="X",$M492="X",$N492="QUEST"),"OUT-UAQPre",$N492="QUEST","OUT-UAQ", $N492="Walk in","ColUATele")</f>
        <v>#N/A</v>
      </c>
      <c r="W492" s="70" t="str">
        <f t="shared" si="9"/>
        <v>#N/A</v>
      </c>
      <c r="X492" s="64" t="str">
        <f t="shared" si="10"/>
        <v/>
      </c>
      <c r="Y492" s="64" t="str">
        <f t="shared" si="11"/>
        <v/>
      </c>
      <c r="Z492" s="66" t="str">
        <f t="shared" si="12"/>
        <v> </v>
      </c>
      <c r="AA492" s="71"/>
    </row>
    <row r="493" ht="15.75" customHeight="1">
      <c r="A493" s="56" t="str">
        <f t="shared" si="1"/>
        <v/>
      </c>
      <c r="B493" s="56" t="str">
        <f>IFS($C493=FALSE,"",$C493,VLOOKUP($C493,'PATIENT DATA (072721)'!A:C, 2, 0))</f>
        <v/>
      </c>
      <c r="C493" s="57"/>
      <c r="D493" s="127" t="str">
        <f>IF(COUNTIF('PATIENT DATA (072721)'!A:A, C493)=0, "X","✓")</f>
        <v>X</v>
      </c>
      <c r="E493" s="79"/>
      <c r="F493" s="80"/>
      <c r="G493" s="81" t="str">
        <f>ifs($C493="","",$C493, VLOOKUP($C493&amp;$F493, 'MARCH - VISIT DATA'!A:O,3,0))</f>
        <v/>
      </c>
      <c r="H493" s="83"/>
      <c r="I493" s="122" t="str">
        <f>VLOOKUP($C493&amp;$F493,'MARCH - VISIT DATA'!A:J, 9, FALSE)</f>
        <v>#N/A</v>
      </c>
      <c r="J493" s="85" t="str">
        <f>VLOOKUP(C493&amp;F493,'MARCH - VISIT DATA'!A:O,10,FALSE)</f>
        <v>#N/A</v>
      </c>
      <c r="K493" s="86"/>
      <c r="L493" s="86"/>
      <c r="M493" s="86"/>
      <c r="N493" s="86"/>
      <c r="O493" s="121" t="str">
        <f t="shared" si="2"/>
        <v>X</v>
      </c>
      <c r="P493" s="79" t="str">
        <f t="shared" si="3"/>
        <v>#N/A</v>
      </c>
      <c r="Q493" s="123" t="str">
        <f t="shared" si="4"/>
        <v>#N/A</v>
      </c>
      <c r="R493" s="124" t="str">
        <f t="shared" si="5"/>
        <v>#N/A</v>
      </c>
      <c r="S493" s="125" t="str">
        <f t="shared" si="6"/>
        <v>#N/A</v>
      </c>
      <c r="T493" s="125" t="str">
        <f t="shared" si="7"/>
        <v>#N/A</v>
      </c>
      <c r="U493" s="83">
        <f t="shared" si="8"/>
        <v>0</v>
      </c>
      <c r="V493" s="88" t="str">
        <f>ifs($N493="",VLOOKUP($C493&amp;$F493,'MARCH - VISIT DATA'!$A$2:$J600,7,FALSE), $N493="SWAB","OUTSA-RW",$N493="SWQU","OUTSA-SaQu", AND($L493="X",$M493="X",$N493="QUEST"),"OUT-UAQPre",$N493="QUEST","OUT-UAQ", $N493="Walk in","ColUATele")</f>
        <v>#N/A</v>
      </c>
      <c r="W493" s="70" t="str">
        <f t="shared" si="9"/>
        <v>#N/A</v>
      </c>
      <c r="X493" s="64" t="str">
        <f t="shared" si="10"/>
        <v/>
      </c>
      <c r="Y493" s="64" t="str">
        <f t="shared" si="11"/>
        <v/>
      </c>
      <c r="Z493" s="66" t="str">
        <f t="shared" si="12"/>
        <v> </v>
      </c>
      <c r="AA493" s="71"/>
    </row>
    <row r="494" ht="15.75" customHeight="1">
      <c r="A494" s="56" t="str">
        <f t="shared" si="1"/>
        <v/>
      </c>
      <c r="B494" s="56" t="str">
        <f>IFS($C494=FALSE,"",$C494,VLOOKUP($C494,'PATIENT DATA (072721)'!A:C, 2, 0))</f>
        <v/>
      </c>
      <c r="C494" s="57"/>
      <c r="D494" s="127" t="str">
        <f>IF(COUNTIF('PATIENT DATA (072721)'!A:A, C494)=0, "X","✓")</f>
        <v>X</v>
      </c>
      <c r="E494" s="79"/>
      <c r="F494" s="80"/>
      <c r="G494" s="81" t="str">
        <f>ifs($C494="","",$C494, VLOOKUP($C494&amp;$F494, 'MARCH - VISIT DATA'!A:O,3,0))</f>
        <v/>
      </c>
      <c r="H494" s="83"/>
      <c r="I494" s="122" t="str">
        <f>VLOOKUP($C494&amp;$F494,'MARCH - VISIT DATA'!A:J, 9, FALSE)</f>
        <v>#N/A</v>
      </c>
      <c r="J494" s="85" t="str">
        <f>VLOOKUP(C494&amp;F494,'MARCH - VISIT DATA'!A:O,10,FALSE)</f>
        <v>#N/A</v>
      </c>
      <c r="K494" s="86"/>
      <c r="L494" s="86"/>
      <c r="M494" s="86"/>
      <c r="N494" s="86"/>
      <c r="O494" s="121" t="str">
        <f t="shared" si="2"/>
        <v>X</v>
      </c>
      <c r="P494" s="79" t="str">
        <f t="shared" si="3"/>
        <v>#N/A</v>
      </c>
      <c r="Q494" s="123" t="str">
        <f t="shared" si="4"/>
        <v>#N/A</v>
      </c>
      <c r="R494" s="124" t="str">
        <f t="shared" si="5"/>
        <v>#N/A</v>
      </c>
      <c r="S494" s="125" t="str">
        <f t="shared" si="6"/>
        <v>#N/A</v>
      </c>
      <c r="T494" s="125" t="str">
        <f t="shared" si="7"/>
        <v>#N/A</v>
      </c>
      <c r="U494" s="83">
        <f t="shared" si="8"/>
        <v>0</v>
      </c>
      <c r="V494" s="88" t="str">
        <f>ifs($N494="",VLOOKUP($C494&amp;$F494,'MARCH - VISIT DATA'!$A$2:$J600,7,FALSE), $N494="SWAB","OUTSA-RW",$N494="SWQU","OUTSA-SaQu", AND($L494="X",$M494="X",$N494="QUEST"),"OUT-UAQPre",$N494="QUEST","OUT-UAQ", $N494="Walk in","ColUATele")</f>
        <v>#N/A</v>
      </c>
      <c r="W494" s="70" t="str">
        <f t="shared" si="9"/>
        <v>#N/A</v>
      </c>
      <c r="X494" s="64" t="str">
        <f t="shared" si="10"/>
        <v/>
      </c>
      <c r="Y494" s="64" t="str">
        <f t="shared" si="11"/>
        <v/>
      </c>
      <c r="Z494" s="66" t="str">
        <f t="shared" si="12"/>
        <v> </v>
      </c>
      <c r="AA494" s="71"/>
    </row>
    <row r="495" ht="15.75" customHeight="1">
      <c r="A495" s="56" t="str">
        <f t="shared" si="1"/>
        <v/>
      </c>
      <c r="B495" s="56" t="str">
        <f>IFS($C495=FALSE,"",$C495,VLOOKUP($C495,'PATIENT DATA (072721)'!A:C, 2, 0))</f>
        <v/>
      </c>
      <c r="C495" s="57"/>
      <c r="D495" s="127" t="str">
        <f>IF(COUNTIF('PATIENT DATA (072721)'!A:A, C495)=0, "X","✓")</f>
        <v>X</v>
      </c>
      <c r="E495" s="79"/>
      <c r="F495" s="80"/>
      <c r="G495" s="81" t="str">
        <f>ifs($C495="","",$C495, VLOOKUP($C495&amp;$F495, 'MARCH - VISIT DATA'!A:O,3,0))</f>
        <v/>
      </c>
      <c r="H495" s="83"/>
      <c r="I495" s="122" t="str">
        <f>VLOOKUP($C495&amp;$F495,'MARCH - VISIT DATA'!A:J, 9, FALSE)</f>
        <v>#N/A</v>
      </c>
      <c r="J495" s="85" t="str">
        <f>VLOOKUP(C495&amp;F495,'MARCH - VISIT DATA'!A:O,10,FALSE)</f>
        <v>#N/A</v>
      </c>
      <c r="K495" s="86"/>
      <c r="L495" s="86"/>
      <c r="M495" s="86"/>
      <c r="N495" s="86"/>
      <c r="O495" s="121" t="str">
        <f t="shared" si="2"/>
        <v>X</v>
      </c>
      <c r="P495" s="79" t="str">
        <f t="shared" si="3"/>
        <v>#N/A</v>
      </c>
      <c r="Q495" s="123" t="str">
        <f t="shared" si="4"/>
        <v>#N/A</v>
      </c>
      <c r="R495" s="124" t="str">
        <f t="shared" si="5"/>
        <v>#N/A</v>
      </c>
      <c r="S495" s="125" t="str">
        <f t="shared" si="6"/>
        <v>#N/A</v>
      </c>
      <c r="T495" s="125" t="str">
        <f t="shared" si="7"/>
        <v>#N/A</v>
      </c>
      <c r="U495" s="83">
        <f t="shared" si="8"/>
        <v>0</v>
      </c>
      <c r="V495" s="88" t="str">
        <f>ifs($N495="",VLOOKUP($C495&amp;$F495,'MARCH - VISIT DATA'!$A$2:$J600,7,FALSE), $N495="SWAB","OUTSA-RW",$N495="SWQU","OUTSA-SaQu", AND($L495="X",$M495="X",$N495="QUEST"),"OUT-UAQPre",$N495="QUEST","OUT-UAQ", $N495="Walk in","ColUATele")</f>
        <v>#N/A</v>
      </c>
      <c r="W495" s="70" t="str">
        <f t="shared" si="9"/>
        <v>#N/A</v>
      </c>
      <c r="X495" s="64" t="str">
        <f t="shared" si="10"/>
        <v/>
      </c>
      <c r="Y495" s="64" t="str">
        <f t="shared" si="11"/>
        <v/>
      </c>
      <c r="Z495" s="66" t="str">
        <f t="shared" si="12"/>
        <v> </v>
      </c>
      <c r="AA495" s="71"/>
    </row>
    <row r="496" ht="15.75" customHeight="1">
      <c r="A496" s="56" t="str">
        <f t="shared" si="1"/>
        <v/>
      </c>
      <c r="B496" s="56" t="str">
        <f>IFS($C496=FALSE,"",$C496,VLOOKUP($C496,'PATIENT DATA (072721)'!A:C, 2, 0))</f>
        <v/>
      </c>
      <c r="C496" s="57"/>
      <c r="D496" s="127" t="str">
        <f>IF(COUNTIF('PATIENT DATA (072721)'!A:A, C496)=0, "X","✓")</f>
        <v>X</v>
      </c>
      <c r="E496" s="79"/>
      <c r="F496" s="80"/>
      <c r="G496" s="81" t="str">
        <f>ifs($C496="","",$C496, VLOOKUP($C496&amp;$F496, 'MARCH - VISIT DATA'!A:O,3,0))</f>
        <v/>
      </c>
      <c r="H496" s="83"/>
      <c r="I496" s="122" t="str">
        <f>VLOOKUP($C496&amp;$F496,'MARCH - VISIT DATA'!A:J, 9, FALSE)</f>
        <v>#N/A</v>
      </c>
      <c r="J496" s="85" t="str">
        <f>VLOOKUP(C496&amp;F496,'MARCH - VISIT DATA'!A:O,10,FALSE)</f>
        <v>#N/A</v>
      </c>
      <c r="K496" s="86"/>
      <c r="L496" s="86"/>
      <c r="M496" s="86"/>
      <c r="N496" s="86"/>
      <c r="O496" s="121" t="str">
        <f t="shared" si="2"/>
        <v>X</v>
      </c>
      <c r="P496" s="79" t="str">
        <f t="shared" si="3"/>
        <v>#N/A</v>
      </c>
      <c r="Q496" s="123" t="str">
        <f t="shared" si="4"/>
        <v>#N/A</v>
      </c>
      <c r="R496" s="124" t="str">
        <f t="shared" si="5"/>
        <v>#N/A</v>
      </c>
      <c r="S496" s="125" t="str">
        <f t="shared" si="6"/>
        <v>#N/A</v>
      </c>
      <c r="T496" s="125" t="str">
        <f t="shared" si="7"/>
        <v>#N/A</v>
      </c>
      <c r="U496" s="83">
        <f t="shared" si="8"/>
        <v>0</v>
      </c>
      <c r="V496" s="88" t="str">
        <f>ifs($N496="",VLOOKUP($C496&amp;$F496,'MARCH - VISIT DATA'!$A$2:$J600,7,FALSE), $N496="SWAB","OUTSA-RW",$N496="SWQU","OUTSA-SaQu", AND($L496="X",$M496="X",$N496="QUEST"),"OUT-UAQPre",$N496="QUEST","OUT-UAQ", $N496="Walk in","ColUATele")</f>
        <v>#N/A</v>
      </c>
      <c r="W496" s="70" t="str">
        <f t="shared" si="9"/>
        <v>#N/A</v>
      </c>
      <c r="X496" s="64" t="str">
        <f t="shared" si="10"/>
        <v/>
      </c>
      <c r="Y496" s="64" t="str">
        <f t="shared" si="11"/>
        <v/>
      </c>
      <c r="Z496" s="66" t="str">
        <f t="shared" si="12"/>
        <v> </v>
      </c>
      <c r="AA496" s="71"/>
    </row>
    <row r="497" ht="15.75" customHeight="1">
      <c r="A497" s="56" t="str">
        <f t="shared" si="1"/>
        <v/>
      </c>
      <c r="B497" s="56" t="str">
        <f>IFS($C497=FALSE,"",$C497,VLOOKUP($C497,'PATIENT DATA (072721)'!A:C, 2, 0))</f>
        <v/>
      </c>
      <c r="C497" s="57"/>
      <c r="D497" s="127" t="str">
        <f>IF(COUNTIF('PATIENT DATA (072721)'!A:A, C497)=0, "X","✓")</f>
        <v>X</v>
      </c>
      <c r="E497" s="79"/>
      <c r="F497" s="80"/>
      <c r="G497" s="81" t="str">
        <f>ifs($C497="","",$C497, VLOOKUP($C497&amp;$F497, 'MARCH - VISIT DATA'!A:O,3,0))</f>
        <v/>
      </c>
      <c r="H497" s="83"/>
      <c r="I497" s="122" t="str">
        <f>VLOOKUP($C497&amp;$F497,'MARCH - VISIT DATA'!A:J, 9, FALSE)</f>
        <v>#N/A</v>
      </c>
      <c r="J497" s="85" t="str">
        <f>VLOOKUP(C497&amp;F497,'MARCH - VISIT DATA'!A:O,10,FALSE)</f>
        <v>#N/A</v>
      </c>
      <c r="K497" s="86"/>
      <c r="L497" s="86"/>
      <c r="M497" s="86"/>
      <c r="N497" s="86"/>
      <c r="O497" s="121" t="str">
        <f t="shared" si="2"/>
        <v>X</v>
      </c>
      <c r="P497" s="79" t="str">
        <f t="shared" si="3"/>
        <v>#N/A</v>
      </c>
      <c r="Q497" s="123" t="str">
        <f t="shared" si="4"/>
        <v>#N/A</v>
      </c>
      <c r="R497" s="124" t="str">
        <f t="shared" si="5"/>
        <v>#N/A</v>
      </c>
      <c r="S497" s="125" t="str">
        <f t="shared" si="6"/>
        <v>#N/A</v>
      </c>
      <c r="T497" s="125" t="str">
        <f t="shared" si="7"/>
        <v>#N/A</v>
      </c>
      <c r="U497" s="83">
        <f t="shared" si="8"/>
        <v>0</v>
      </c>
      <c r="V497" s="88" t="str">
        <f>ifs($N497="",VLOOKUP($C497&amp;$F497,'MARCH - VISIT DATA'!$A$2:$J600,7,FALSE), $N497="SWAB","OUTSA-RW",$N497="SWQU","OUTSA-SaQu", AND($L497="X",$M497="X",$N497="QUEST"),"OUT-UAQPre",$N497="QUEST","OUT-UAQ", $N497="Walk in","ColUATele")</f>
        <v>#N/A</v>
      </c>
      <c r="W497" s="70" t="str">
        <f t="shared" si="9"/>
        <v>#N/A</v>
      </c>
      <c r="X497" s="64" t="str">
        <f t="shared" si="10"/>
        <v/>
      </c>
      <c r="Y497" s="64" t="str">
        <f t="shared" si="11"/>
        <v/>
      </c>
      <c r="Z497" s="66" t="str">
        <f t="shared" si="12"/>
        <v> </v>
      </c>
      <c r="AA497" s="71"/>
    </row>
    <row r="498" ht="15.75" customHeight="1">
      <c r="A498" s="56" t="str">
        <f t="shared" si="1"/>
        <v/>
      </c>
      <c r="B498" s="56" t="str">
        <f>IFS($C498=FALSE,"",$C498,VLOOKUP($C498,'PATIENT DATA (072721)'!A:C, 2, 0))</f>
        <v/>
      </c>
      <c r="C498" s="57"/>
      <c r="D498" s="127" t="str">
        <f>IF(COUNTIF('PATIENT DATA (072721)'!A:A, C498)=0, "X","✓")</f>
        <v>X</v>
      </c>
      <c r="E498" s="79"/>
      <c r="F498" s="80"/>
      <c r="G498" s="81" t="str">
        <f>ifs($C498="","",$C498, VLOOKUP($C498&amp;$F498, 'MARCH - VISIT DATA'!A:O,3,0))</f>
        <v/>
      </c>
      <c r="H498" s="83"/>
      <c r="I498" s="122" t="str">
        <f>VLOOKUP($C498&amp;$F498,'MARCH - VISIT DATA'!A:J, 9, FALSE)</f>
        <v>#N/A</v>
      </c>
      <c r="J498" s="85" t="str">
        <f>VLOOKUP(C498&amp;F498,'MARCH - VISIT DATA'!A:O,10,FALSE)</f>
        <v>#N/A</v>
      </c>
      <c r="K498" s="86"/>
      <c r="L498" s="86"/>
      <c r="M498" s="86"/>
      <c r="N498" s="86"/>
      <c r="O498" s="121" t="str">
        <f t="shared" si="2"/>
        <v>X</v>
      </c>
      <c r="P498" s="79" t="str">
        <f t="shared" si="3"/>
        <v>#N/A</v>
      </c>
      <c r="Q498" s="123" t="str">
        <f t="shared" si="4"/>
        <v>#N/A</v>
      </c>
      <c r="R498" s="124" t="str">
        <f t="shared" si="5"/>
        <v>#N/A</v>
      </c>
      <c r="S498" s="125" t="str">
        <f t="shared" si="6"/>
        <v>#N/A</v>
      </c>
      <c r="T498" s="125" t="str">
        <f t="shared" si="7"/>
        <v>#N/A</v>
      </c>
      <c r="U498" s="83">
        <f t="shared" si="8"/>
        <v>0</v>
      </c>
      <c r="V498" s="88" t="str">
        <f>ifs($N498="",VLOOKUP($C498&amp;$F498,'MARCH - VISIT DATA'!$A$2:$J600,7,FALSE), $N498="SWAB","OUTSA-RW",$N498="SWQU","OUTSA-SaQu", AND($L498="X",$M498="X",$N498="QUEST"),"OUT-UAQPre",$N498="QUEST","OUT-UAQ", $N498="Walk in","ColUATele")</f>
        <v>#N/A</v>
      </c>
      <c r="W498" s="70" t="str">
        <f t="shared" si="9"/>
        <v>#N/A</v>
      </c>
      <c r="X498" s="64" t="str">
        <f t="shared" si="10"/>
        <v/>
      </c>
      <c r="Y498" s="64" t="str">
        <f t="shared" si="11"/>
        <v/>
      </c>
      <c r="Z498" s="66" t="str">
        <f t="shared" si="12"/>
        <v> </v>
      </c>
      <c r="AA498" s="71"/>
    </row>
    <row r="499" ht="15.75" customHeight="1">
      <c r="A499" s="56" t="str">
        <f t="shared" si="1"/>
        <v/>
      </c>
      <c r="B499" s="56" t="str">
        <f>IFS($C499=FALSE,"",$C499,VLOOKUP($C499,'PATIENT DATA (072721)'!A:C, 2, 0))</f>
        <v/>
      </c>
      <c r="C499" s="57"/>
      <c r="D499" s="127" t="str">
        <f>IF(COUNTIF('PATIENT DATA (072721)'!A:A, C499)=0, "X","✓")</f>
        <v>X</v>
      </c>
      <c r="E499" s="79"/>
      <c r="F499" s="80"/>
      <c r="G499" s="81" t="str">
        <f>ifs($C499="","",$C499, VLOOKUP($C499&amp;$F499, 'MARCH - VISIT DATA'!A:O,3,0))</f>
        <v/>
      </c>
      <c r="H499" s="83"/>
      <c r="I499" s="122" t="str">
        <f>VLOOKUP($C499&amp;$F499,'MARCH - VISIT DATA'!A:J, 9, FALSE)</f>
        <v>#N/A</v>
      </c>
      <c r="J499" s="85" t="str">
        <f>VLOOKUP(C499&amp;F499,'MARCH - VISIT DATA'!A:O,10,FALSE)</f>
        <v>#N/A</v>
      </c>
      <c r="K499" s="86"/>
      <c r="L499" s="86"/>
      <c r="M499" s="86"/>
      <c r="N499" s="86"/>
      <c r="O499" s="121" t="str">
        <f t="shared" si="2"/>
        <v>X</v>
      </c>
      <c r="P499" s="79" t="str">
        <f t="shared" si="3"/>
        <v>#N/A</v>
      </c>
      <c r="Q499" s="123" t="str">
        <f t="shared" si="4"/>
        <v>#N/A</v>
      </c>
      <c r="R499" s="124" t="str">
        <f t="shared" si="5"/>
        <v>#N/A</v>
      </c>
      <c r="S499" s="125" t="str">
        <f t="shared" si="6"/>
        <v>#N/A</v>
      </c>
      <c r="T499" s="125" t="str">
        <f t="shared" si="7"/>
        <v>#N/A</v>
      </c>
      <c r="U499" s="83">
        <f t="shared" si="8"/>
        <v>0</v>
      </c>
      <c r="V499" s="88" t="str">
        <f>ifs($N499="",VLOOKUP($C499&amp;$F499,'MARCH - VISIT DATA'!$A$2:$J600,7,FALSE), $N499="SWAB","OUTSA-RW",$N499="SWQU","OUTSA-SaQu", AND($L499="X",$M499="X",$N499="QUEST"),"OUT-UAQPre",$N499="QUEST","OUT-UAQ", $N499="Walk in","ColUATele")</f>
        <v>#N/A</v>
      </c>
      <c r="W499" s="70" t="str">
        <f t="shared" si="9"/>
        <v>#N/A</v>
      </c>
      <c r="X499" s="64" t="str">
        <f t="shared" si="10"/>
        <v/>
      </c>
      <c r="Y499" s="64" t="str">
        <f t="shared" si="11"/>
        <v/>
      </c>
      <c r="Z499" s="66" t="str">
        <f t="shared" si="12"/>
        <v> </v>
      </c>
      <c r="AA499" s="71"/>
    </row>
    <row r="500" ht="15.75" customHeight="1">
      <c r="A500" s="56" t="str">
        <f t="shared" si="1"/>
        <v/>
      </c>
      <c r="B500" s="56" t="str">
        <f>IFS($C500=FALSE,"",$C500,VLOOKUP($C500,'PATIENT DATA (072721)'!A:C, 2, 0))</f>
        <v/>
      </c>
      <c r="C500" s="57"/>
      <c r="D500" s="127" t="str">
        <f>IF(COUNTIF('PATIENT DATA (072721)'!A:A, C500)=0, "X","✓")</f>
        <v>X</v>
      </c>
      <c r="E500" s="79"/>
      <c r="F500" s="80"/>
      <c r="G500" s="81" t="str">
        <f>ifs($C500="","",$C500, VLOOKUP($C500&amp;$F500, 'MARCH - VISIT DATA'!A:O,3,0))</f>
        <v/>
      </c>
      <c r="H500" s="83"/>
      <c r="I500" s="122" t="str">
        <f>VLOOKUP($C500&amp;$F500,'MARCH - VISIT DATA'!A:J, 9, FALSE)</f>
        <v>#N/A</v>
      </c>
      <c r="J500" s="85" t="str">
        <f>VLOOKUP(C500&amp;F500,'MARCH - VISIT DATA'!A:O,10,FALSE)</f>
        <v>#N/A</v>
      </c>
      <c r="K500" s="86"/>
      <c r="L500" s="86"/>
      <c r="M500" s="86"/>
      <c r="N500" s="86"/>
      <c r="O500" s="121" t="str">
        <f t="shared" si="2"/>
        <v>X</v>
      </c>
      <c r="P500" s="79" t="str">
        <f t="shared" si="3"/>
        <v>#N/A</v>
      </c>
      <c r="Q500" s="123" t="str">
        <f t="shared" si="4"/>
        <v>#N/A</v>
      </c>
      <c r="R500" s="124" t="str">
        <f t="shared" si="5"/>
        <v>#N/A</v>
      </c>
      <c r="S500" s="125" t="str">
        <f t="shared" si="6"/>
        <v>#N/A</v>
      </c>
      <c r="T500" s="125" t="str">
        <f t="shared" si="7"/>
        <v>#N/A</v>
      </c>
      <c r="U500" s="83">
        <f t="shared" si="8"/>
        <v>0</v>
      </c>
      <c r="V500" s="88" t="str">
        <f>ifs($N500="",VLOOKUP($C500&amp;$F500,'MARCH - VISIT DATA'!$A$2:$J600,7,FALSE), $N500="SWAB","OUTSA-RW",$N500="SWQU","OUTSA-SaQu", AND($L500="X",$M500="X",$N500="QUEST"),"OUT-UAQPre",$N500="QUEST","OUT-UAQ", $N500="Walk in","ColUATele")</f>
        <v>#N/A</v>
      </c>
      <c r="W500" s="70" t="str">
        <f t="shared" si="9"/>
        <v>#N/A</v>
      </c>
      <c r="X500" s="64" t="str">
        <f t="shared" si="10"/>
        <v/>
      </c>
      <c r="Y500" s="64" t="str">
        <f t="shared" si="11"/>
        <v/>
      </c>
      <c r="Z500" s="66" t="str">
        <f t="shared" si="12"/>
        <v> </v>
      </c>
      <c r="AA500" s="71"/>
    </row>
    <row r="501" ht="15.75" customHeight="1">
      <c r="A501" s="56" t="str">
        <f t="shared" si="1"/>
        <v/>
      </c>
      <c r="B501" s="56" t="str">
        <f>IFS($C501=FALSE,"",$C501,VLOOKUP($C501,'PATIENT DATA (072721)'!A:C, 2, 0))</f>
        <v/>
      </c>
      <c r="C501" s="57"/>
      <c r="D501" s="127" t="str">
        <f>IF(COUNTIF('PATIENT DATA (072721)'!A:A, C501)=0, "X","✓")</f>
        <v>X</v>
      </c>
      <c r="E501" s="79"/>
      <c r="F501" s="80"/>
      <c r="G501" s="81" t="str">
        <f>ifs($C501="","",$C501, VLOOKUP($C501&amp;$F501, 'MARCH - VISIT DATA'!A:O,3,0))</f>
        <v/>
      </c>
      <c r="H501" s="83"/>
      <c r="I501" s="122" t="str">
        <f>VLOOKUP($C501&amp;$F501,'MARCH - VISIT DATA'!A:J, 9, FALSE)</f>
        <v>#N/A</v>
      </c>
      <c r="J501" s="85" t="str">
        <f>VLOOKUP(C501&amp;F501,'MARCH - VISIT DATA'!A:O,10,FALSE)</f>
        <v>#N/A</v>
      </c>
      <c r="K501" s="86"/>
      <c r="L501" s="86"/>
      <c r="M501" s="86"/>
      <c r="N501" s="86"/>
      <c r="O501" s="121" t="str">
        <f t="shared" si="2"/>
        <v>X</v>
      </c>
      <c r="P501" s="79" t="str">
        <f t="shared" si="3"/>
        <v>#N/A</v>
      </c>
      <c r="Q501" s="123" t="str">
        <f t="shared" si="4"/>
        <v>#N/A</v>
      </c>
      <c r="R501" s="124" t="str">
        <f t="shared" si="5"/>
        <v>#N/A</v>
      </c>
      <c r="S501" s="125" t="str">
        <f t="shared" si="6"/>
        <v>#N/A</v>
      </c>
      <c r="T501" s="125" t="str">
        <f t="shared" si="7"/>
        <v>#N/A</v>
      </c>
      <c r="U501" s="83">
        <f t="shared" si="8"/>
        <v>0</v>
      </c>
      <c r="V501" s="88" t="str">
        <f>ifs($N501="",VLOOKUP($C501&amp;$F501,'MARCH - VISIT DATA'!$A$2:$J600,7,FALSE), $N501="SWAB","OUTSA-RW",$N501="SWQU","OUTSA-SaQu", AND($L501="X",$M501="X",$N501="QUEST"),"OUT-UAQPre",$N501="QUEST","OUT-UAQ", $N501="Walk in","ColUATele")</f>
        <v>#N/A</v>
      </c>
      <c r="W501" s="70" t="str">
        <f t="shared" si="9"/>
        <v>#N/A</v>
      </c>
      <c r="X501" s="64" t="str">
        <f t="shared" si="10"/>
        <v/>
      </c>
      <c r="Y501" s="64" t="str">
        <f t="shared" si="11"/>
        <v/>
      </c>
      <c r="Z501" s="66" t="str">
        <f t="shared" si="12"/>
        <v> </v>
      </c>
      <c r="AA501" s="71"/>
    </row>
    <row r="502" ht="15.75" customHeight="1">
      <c r="A502" s="56" t="str">
        <f t="shared" si="1"/>
        <v/>
      </c>
      <c r="B502" s="56" t="str">
        <f>IFS($C502=FALSE,"",$C502,VLOOKUP($C502,'PATIENT DATA (072721)'!A:C, 2, 0))</f>
        <v/>
      </c>
      <c r="C502" s="57"/>
      <c r="D502" s="127" t="str">
        <f>IF(COUNTIF('PATIENT DATA (072721)'!A:A, C502)=0, "X","✓")</f>
        <v>X</v>
      </c>
      <c r="E502" s="79"/>
      <c r="F502" s="80"/>
      <c r="G502" s="81" t="str">
        <f>ifs($C502="","",$C502, VLOOKUP($C502&amp;$F502, 'MARCH - VISIT DATA'!A:O,3,0))</f>
        <v/>
      </c>
      <c r="H502" s="83"/>
      <c r="I502" s="122" t="str">
        <f>VLOOKUP($C502&amp;$F502,'MARCH - VISIT DATA'!A:J, 9, FALSE)</f>
        <v>#N/A</v>
      </c>
      <c r="J502" s="85" t="str">
        <f>VLOOKUP(C502&amp;F502,'MARCH - VISIT DATA'!A:O,10,FALSE)</f>
        <v>#N/A</v>
      </c>
      <c r="K502" s="86"/>
      <c r="L502" s="86"/>
      <c r="M502" s="86"/>
      <c r="N502" s="86"/>
      <c r="O502" s="121" t="str">
        <f t="shared" si="2"/>
        <v>X</v>
      </c>
      <c r="P502" s="79" t="str">
        <f t="shared" si="3"/>
        <v>#N/A</v>
      </c>
      <c r="Q502" s="123" t="str">
        <f t="shared" si="4"/>
        <v>#N/A</v>
      </c>
      <c r="R502" s="124" t="str">
        <f t="shared" si="5"/>
        <v>#N/A</v>
      </c>
      <c r="S502" s="125" t="str">
        <f t="shared" si="6"/>
        <v>#N/A</v>
      </c>
      <c r="T502" s="125" t="str">
        <f t="shared" si="7"/>
        <v>#N/A</v>
      </c>
      <c r="U502" s="83">
        <f t="shared" si="8"/>
        <v>0</v>
      </c>
      <c r="V502" s="88" t="str">
        <f>ifs($N502="",VLOOKUP($C502&amp;$F502,'MARCH - VISIT DATA'!$A$2:$J600,7,FALSE), $N502="SWAB","OUTSA-RW",$N502="SWQU","OUTSA-SaQu", AND($L502="X",$M502="X",$N502="QUEST"),"OUT-UAQPre",$N502="QUEST","OUT-UAQ", $N502="Walk in","ColUATele")</f>
        <v>#N/A</v>
      </c>
      <c r="W502" s="70" t="str">
        <f t="shared" si="9"/>
        <v>#N/A</v>
      </c>
      <c r="X502" s="64" t="str">
        <f t="shared" si="10"/>
        <v/>
      </c>
      <c r="Y502" s="64" t="str">
        <f t="shared" si="11"/>
        <v/>
      </c>
      <c r="Z502" s="66" t="str">
        <f t="shared" si="12"/>
        <v> </v>
      </c>
      <c r="AA502" s="71"/>
    </row>
    <row r="503" ht="15.75" customHeight="1">
      <c r="A503" s="56" t="str">
        <f t="shared" si="1"/>
        <v/>
      </c>
      <c r="B503" s="56" t="str">
        <f>IFS($C503=FALSE,"",$C503,VLOOKUP($C503,'PATIENT DATA (072721)'!A:C, 2, 0))</f>
        <v/>
      </c>
      <c r="C503" s="57"/>
      <c r="D503" s="127" t="str">
        <f>IF(COUNTIF('PATIENT DATA (072721)'!A:A, C503)=0, "X","✓")</f>
        <v>X</v>
      </c>
      <c r="E503" s="79"/>
      <c r="F503" s="80"/>
      <c r="G503" s="81" t="str">
        <f>ifs($C503="","",$C503, VLOOKUP($C503&amp;$F503, 'MARCH - VISIT DATA'!A:O,3,0))</f>
        <v/>
      </c>
      <c r="H503" s="83"/>
      <c r="I503" s="122" t="str">
        <f>VLOOKUP($C503&amp;$F503,'MARCH - VISIT DATA'!A:J, 9, FALSE)</f>
        <v>#N/A</v>
      </c>
      <c r="J503" s="85" t="str">
        <f>VLOOKUP(C503&amp;F503,'MARCH - VISIT DATA'!A:O,10,FALSE)</f>
        <v>#N/A</v>
      </c>
      <c r="K503" s="86"/>
      <c r="L503" s="86"/>
      <c r="M503" s="86"/>
      <c r="N503" s="86"/>
      <c r="O503" s="121" t="str">
        <f t="shared" si="2"/>
        <v>X</v>
      </c>
      <c r="P503" s="79" t="str">
        <f t="shared" si="3"/>
        <v>#N/A</v>
      </c>
      <c r="Q503" s="123" t="str">
        <f t="shared" si="4"/>
        <v>#N/A</v>
      </c>
      <c r="R503" s="124" t="str">
        <f t="shared" si="5"/>
        <v>#N/A</v>
      </c>
      <c r="S503" s="125" t="str">
        <f t="shared" si="6"/>
        <v>#N/A</v>
      </c>
      <c r="T503" s="125" t="str">
        <f t="shared" si="7"/>
        <v>#N/A</v>
      </c>
      <c r="U503" s="83">
        <f t="shared" si="8"/>
        <v>0</v>
      </c>
      <c r="V503" s="88" t="str">
        <f>ifs($N503="",VLOOKUP($C503&amp;$F503,'MARCH - VISIT DATA'!$A$2:$J600,7,FALSE), $N503="SWAB","OUTSA-RW",$N503="SWQU","OUTSA-SaQu", AND($L503="X",$M503="X",$N503="QUEST"),"OUT-UAQPre",$N503="QUEST","OUT-UAQ", $N503="Walk in","ColUATele")</f>
        <v>#N/A</v>
      </c>
      <c r="W503" s="70" t="str">
        <f t="shared" si="9"/>
        <v>#N/A</v>
      </c>
      <c r="X503" s="64" t="str">
        <f t="shared" si="10"/>
        <v/>
      </c>
      <c r="Y503" s="64" t="str">
        <f t="shared" si="11"/>
        <v/>
      </c>
      <c r="Z503" s="66" t="str">
        <f t="shared" si="12"/>
        <v> </v>
      </c>
      <c r="AA503" s="71"/>
    </row>
    <row r="504" ht="15.75" customHeight="1">
      <c r="A504" s="56" t="str">
        <f t="shared" si="1"/>
        <v/>
      </c>
      <c r="B504" s="56" t="str">
        <f>IFS($C504=FALSE,"",$C504,VLOOKUP($C504,'PATIENT DATA (072721)'!A:C, 2, 0))</f>
        <v/>
      </c>
      <c r="C504" s="57"/>
      <c r="D504" s="127" t="str">
        <f>IF(COUNTIF('PATIENT DATA (072721)'!A:A, C504)=0, "X","✓")</f>
        <v>X</v>
      </c>
      <c r="E504" s="79"/>
      <c r="F504" s="80"/>
      <c r="G504" s="81" t="str">
        <f>ifs($C504="","",$C504, VLOOKUP($C504&amp;$F504, 'MARCH - VISIT DATA'!A:O,3,0))</f>
        <v/>
      </c>
      <c r="H504" s="83"/>
      <c r="I504" s="122" t="str">
        <f>VLOOKUP($C504&amp;$F504,'MARCH - VISIT DATA'!A:J, 9, FALSE)</f>
        <v>#N/A</v>
      </c>
      <c r="J504" s="85" t="str">
        <f>VLOOKUP(C504&amp;F504,'MARCH - VISIT DATA'!A:O,10,FALSE)</f>
        <v>#N/A</v>
      </c>
      <c r="K504" s="86"/>
      <c r="L504" s="86"/>
      <c r="M504" s="86"/>
      <c r="N504" s="86"/>
      <c r="O504" s="121" t="str">
        <f t="shared" si="2"/>
        <v>X</v>
      </c>
      <c r="P504" s="79" t="str">
        <f t="shared" si="3"/>
        <v>#N/A</v>
      </c>
      <c r="Q504" s="123" t="str">
        <f t="shared" si="4"/>
        <v>#N/A</v>
      </c>
      <c r="R504" s="124" t="str">
        <f t="shared" si="5"/>
        <v>#N/A</v>
      </c>
      <c r="S504" s="125" t="str">
        <f t="shared" si="6"/>
        <v>#N/A</v>
      </c>
      <c r="T504" s="125" t="str">
        <f t="shared" si="7"/>
        <v>#N/A</v>
      </c>
      <c r="U504" s="83">
        <f t="shared" si="8"/>
        <v>0</v>
      </c>
      <c r="V504" s="88" t="str">
        <f>ifs($N504="",VLOOKUP($C504&amp;$F504,'MARCH - VISIT DATA'!$A$2:$J600,7,FALSE), $N504="SWAB","OUTSA-RW",$N504="SWQU","OUTSA-SaQu", AND($L504="X",$M504="X",$N504="QUEST"),"OUT-UAQPre",$N504="QUEST","OUT-UAQ", $N504="Walk in","ColUATele")</f>
        <v>#N/A</v>
      </c>
      <c r="W504" s="70" t="str">
        <f t="shared" si="9"/>
        <v>#N/A</v>
      </c>
      <c r="X504" s="64" t="str">
        <f t="shared" si="10"/>
        <v/>
      </c>
      <c r="Y504" s="64" t="str">
        <f t="shared" si="11"/>
        <v/>
      </c>
      <c r="Z504" s="66" t="str">
        <f t="shared" si="12"/>
        <v> </v>
      </c>
      <c r="AA504" s="71"/>
    </row>
    <row r="505" ht="15.75" customHeight="1">
      <c r="A505" s="56" t="str">
        <f t="shared" si="1"/>
        <v/>
      </c>
      <c r="B505" s="56" t="str">
        <f>IFS($C505=FALSE,"",$C505,VLOOKUP($C505,'PATIENT DATA (072721)'!A:C, 2, 0))</f>
        <v/>
      </c>
      <c r="C505" s="57"/>
      <c r="D505" s="127" t="str">
        <f>IF(COUNTIF('PATIENT DATA (072721)'!A:A, C505)=0, "X","✓")</f>
        <v>X</v>
      </c>
      <c r="E505" s="79"/>
      <c r="F505" s="80"/>
      <c r="G505" s="81" t="str">
        <f>ifs($C505="","",$C505, VLOOKUP($C505&amp;$F505, 'MARCH - VISIT DATA'!A:O,3,0))</f>
        <v/>
      </c>
      <c r="H505" s="83"/>
      <c r="I505" s="122" t="str">
        <f>VLOOKUP($C505&amp;$F505,'MARCH - VISIT DATA'!A:J, 9, FALSE)</f>
        <v>#N/A</v>
      </c>
      <c r="J505" s="85" t="str">
        <f>VLOOKUP(C505&amp;F505,'MARCH - VISIT DATA'!A:O,10,FALSE)</f>
        <v>#N/A</v>
      </c>
      <c r="K505" s="86"/>
      <c r="L505" s="86"/>
      <c r="M505" s="86"/>
      <c r="N505" s="86"/>
      <c r="O505" s="121" t="str">
        <f t="shared" si="2"/>
        <v>X</v>
      </c>
      <c r="P505" s="79" t="str">
        <f t="shared" si="3"/>
        <v>#N/A</v>
      </c>
      <c r="Q505" s="123" t="str">
        <f t="shared" si="4"/>
        <v>#N/A</v>
      </c>
      <c r="R505" s="124" t="str">
        <f t="shared" si="5"/>
        <v>#N/A</v>
      </c>
      <c r="S505" s="125" t="str">
        <f t="shared" si="6"/>
        <v>#N/A</v>
      </c>
      <c r="T505" s="125" t="str">
        <f t="shared" si="7"/>
        <v>#N/A</v>
      </c>
      <c r="U505" s="83">
        <f t="shared" si="8"/>
        <v>0</v>
      </c>
      <c r="V505" s="88" t="str">
        <f>ifs($N505="",VLOOKUP($C505&amp;$F505,'MARCH - VISIT DATA'!$A$2:$J600,7,FALSE), $N505="SWAB","OUTSA-RW",$N505="SWQU","OUTSA-SaQu", AND($L505="X",$M505="X",$N505="QUEST"),"OUT-UAQPre",$N505="QUEST","OUT-UAQ", $N505="Walk in","ColUATele")</f>
        <v>#N/A</v>
      </c>
      <c r="W505" s="70" t="str">
        <f t="shared" si="9"/>
        <v>#N/A</v>
      </c>
      <c r="X505" s="64" t="str">
        <f t="shared" si="10"/>
        <v/>
      </c>
      <c r="Y505" s="64" t="str">
        <f t="shared" si="11"/>
        <v/>
      </c>
      <c r="Z505" s="66" t="str">
        <f t="shared" si="12"/>
        <v> </v>
      </c>
      <c r="AA505" s="71"/>
    </row>
    <row r="506" ht="15.75" customHeight="1">
      <c r="A506" s="56" t="str">
        <f t="shared" si="1"/>
        <v/>
      </c>
      <c r="B506" s="56" t="str">
        <f>IFS($C506=FALSE,"",$C506,VLOOKUP($C506,'PATIENT DATA (072721)'!A:C, 2, 0))</f>
        <v/>
      </c>
      <c r="C506" s="57"/>
      <c r="D506" s="127" t="str">
        <f>IF(COUNTIF('PATIENT DATA (072721)'!A:A, C506)=0, "X","✓")</f>
        <v>X</v>
      </c>
      <c r="E506" s="79"/>
      <c r="F506" s="80"/>
      <c r="G506" s="81" t="str">
        <f>ifs($C506="","",$C506, VLOOKUP($C506&amp;$F506, 'MARCH - VISIT DATA'!A:O,3,0))</f>
        <v/>
      </c>
      <c r="H506" s="83"/>
      <c r="I506" s="122" t="str">
        <f>VLOOKUP($C506&amp;$F506,'MARCH - VISIT DATA'!A:J, 9, FALSE)</f>
        <v>#N/A</v>
      </c>
      <c r="J506" s="85" t="str">
        <f>VLOOKUP(C506&amp;F506,'MARCH - VISIT DATA'!A:O,10,FALSE)</f>
        <v>#N/A</v>
      </c>
      <c r="K506" s="86"/>
      <c r="L506" s="86"/>
      <c r="M506" s="86"/>
      <c r="N506" s="86"/>
      <c r="O506" s="121" t="str">
        <f t="shared" si="2"/>
        <v>X</v>
      </c>
      <c r="P506" s="79" t="str">
        <f t="shared" si="3"/>
        <v>#N/A</v>
      </c>
      <c r="Q506" s="123" t="str">
        <f t="shared" si="4"/>
        <v>#N/A</v>
      </c>
      <c r="R506" s="124" t="str">
        <f t="shared" si="5"/>
        <v>#N/A</v>
      </c>
      <c r="S506" s="125" t="str">
        <f t="shared" si="6"/>
        <v>#N/A</v>
      </c>
      <c r="T506" s="125" t="str">
        <f t="shared" si="7"/>
        <v>#N/A</v>
      </c>
      <c r="U506" s="83">
        <f t="shared" si="8"/>
        <v>0</v>
      </c>
      <c r="V506" s="88" t="str">
        <f>ifs($N506="",VLOOKUP($C506&amp;$F506,'MARCH - VISIT DATA'!$A$2:$J600,7,FALSE), $N506="SWAB","OUTSA-RW",$N506="SWQU","OUTSA-SaQu", AND($L506="X",$M506="X",$N506="QUEST"),"OUT-UAQPre",$N506="QUEST","OUT-UAQ", $N506="Walk in","ColUATele")</f>
        <v>#N/A</v>
      </c>
      <c r="W506" s="70" t="str">
        <f t="shared" si="9"/>
        <v>#N/A</v>
      </c>
      <c r="X506" s="64" t="str">
        <f t="shared" si="10"/>
        <v/>
      </c>
      <c r="Y506" s="64" t="str">
        <f t="shared" si="11"/>
        <v/>
      </c>
      <c r="Z506" s="66" t="str">
        <f t="shared" si="12"/>
        <v> </v>
      </c>
      <c r="AA506" s="71"/>
    </row>
    <row r="507" ht="15.75" customHeight="1">
      <c r="A507" s="56" t="str">
        <f t="shared" si="1"/>
        <v/>
      </c>
      <c r="B507" s="56" t="str">
        <f>IFS($C507=FALSE,"",$C507,VLOOKUP($C507,'PATIENT DATA (072721)'!A:C, 2, 0))</f>
        <v/>
      </c>
      <c r="C507" s="57"/>
      <c r="D507" s="127" t="str">
        <f>IF(COUNTIF('PATIENT DATA (072721)'!A:A, C507)=0, "X","✓")</f>
        <v>X</v>
      </c>
      <c r="E507" s="79"/>
      <c r="F507" s="80"/>
      <c r="G507" s="81" t="str">
        <f>ifs($C507="","",$C507, VLOOKUP($C507&amp;$F507, 'MARCH - VISIT DATA'!A:O,3,0))</f>
        <v/>
      </c>
      <c r="H507" s="83"/>
      <c r="I507" s="122" t="str">
        <f>VLOOKUP($C507&amp;$F507,'MARCH - VISIT DATA'!A:J, 9, FALSE)</f>
        <v>#N/A</v>
      </c>
      <c r="J507" s="85" t="str">
        <f>VLOOKUP(C507&amp;F507,'MARCH - VISIT DATA'!A:O,10,FALSE)</f>
        <v>#N/A</v>
      </c>
      <c r="K507" s="86"/>
      <c r="L507" s="86"/>
      <c r="M507" s="86"/>
      <c r="N507" s="86"/>
      <c r="O507" s="121" t="str">
        <f t="shared" si="2"/>
        <v>X</v>
      </c>
      <c r="P507" s="79" t="str">
        <f t="shared" si="3"/>
        <v>#N/A</v>
      </c>
      <c r="Q507" s="123" t="str">
        <f t="shared" si="4"/>
        <v>#N/A</v>
      </c>
      <c r="R507" s="124" t="str">
        <f t="shared" si="5"/>
        <v>#N/A</v>
      </c>
      <c r="S507" s="125" t="str">
        <f t="shared" si="6"/>
        <v>#N/A</v>
      </c>
      <c r="T507" s="125" t="str">
        <f t="shared" si="7"/>
        <v>#N/A</v>
      </c>
      <c r="U507" s="83">
        <f t="shared" si="8"/>
        <v>0</v>
      </c>
      <c r="V507" s="88" t="str">
        <f>ifs($N507="",VLOOKUP($C507&amp;$F507,'MARCH - VISIT DATA'!$A$2:$J600,7,FALSE), $N507="SWAB","OUTSA-RW",$N507="SWQU","OUTSA-SaQu", AND($L507="X",$M507="X",$N507="QUEST"),"OUT-UAQPre",$N507="QUEST","OUT-UAQ", $N507="Walk in","ColUATele")</f>
        <v>#N/A</v>
      </c>
      <c r="W507" s="70" t="str">
        <f t="shared" si="9"/>
        <v>#N/A</v>
      </c>
      <c r="X507" s="64" t="str">
        <f t="shared" si="10"/>
        <v/>
      </c>
      <c r="Y507" s="64" t="str">
        <f t="shared" si="11"/>
        <v/>
      </c>
      <c r="Z507" s="66" t="str">
        <f t="shared" si="12"/>
        <v> </v>
      </c>
      <c r="AA507" s="71"/>
    </row>
    <row r="508" ht="15.75" customHeight="1">
      <c r="A508" s="56" t="str">
        <f t="shared" si="1"/>
        <v/>
      </c>
      <c r="B508" s="56" t="str">
        <f>IFS($C508=FALSE,"",$C508,VLOOKUP($C508,'PATIENT DATA (072721)'!A:C, 2, 0))</f>
        <v/>
      </c>
      <c r="C508" s="57"/>
      <c r="D508" s="127" t="str">
        <f>IF(COUNTIF('PATIENT DATA (072721)'!A:A, C508)=0, "X","✓")</f>
        <v>X</v>
      </c>
      <c r="E508" s="79"/>
      <c r="F508" s="80"/>
      <c r="G508" s="81" t="str">
        <f>ifs($C508="","",$C508, VLOOKUP($C508&amp;$F508, 'MARCH - VISIT DATA'!A:O,3,0))</f>
        <v/>
      </c>
      <c r="H508" s="83"/>
      <c r="I508" s="122" t="str">
        <f>VLOOKUP($C508&amp;$F508,'MARCH - VISIT DATA'!A:J, 9, FALSE)</f>
        <v>#N/A</v>
      </c>
      <c r="J508" s="85" t="str">
        <f>VLOOKUP(C508&amp;F508,'MARCH - VISIT DATA'!A:O,10,FALSE)</f>
        <v>#N/A</v>
      </c>
      <c r="K508" s="86"/>
      <c r="L508" s="86"/>
      <c r="M508" s="86"/>
      <c r="N508" s="86"/>
      <c r="O508" s="121" t="str">
        <f t="shared" si="2"/>
        <v>X</v>
      </c>
      <c r="P508" s="79" t="str">
        <f t="shared" si="3"/>
        <v>#N/A</v>
      </c>
      <c r="Q508" s="123" t="str">
        <f t="shared" si="4"/>
        <v>#N/A</v>
      </c>
      <c r="R508" s="124" t="str">
        <f t="shared" si="5"/>
        <v>#N/A</v>
      </c>
      <c r="S508" s="125" t="str">
        <f t="shared" si="6"/>
        <v>#N/A</v>
      </c>
      <c r="T508" s="125" t="str">
        <f t="shared" si="7"/>
        <v>#N/A</v>
      </c>
      <c r="U508" s="83">
        <f t="shared" si="8"/>
        <v>0</v>
      </c>
      <c r="V508" s="88" t="str">
        <f>ifs($N508="",VLOOKUP($C508&amp;$F508,'MARCH - VISIT DATA'!$A$2:$J600,7,FALSE), $N508="SWAB","OUTSA-RW",$N508="SWQU","OUTSA-SaQu", AND($L508="X",$M508="X",$N508="QUEST"),"OUT-UAQPre",$N508="QUEST","OUT-UAQ", $N508="Walk in","ColUATele")</f>
        <v>#N/A</v>
      </c>
      <c r="W508" s="70" t="str">
        <f t="shared" si="9"/>
        <v>#N/A</v>
      </c>
      <c r="X508" s="64" t="str">
        <f t="shared" si="10"/>
        <v/>
      </c>
      <c r="Y508" s="64" t="str">
        <f t="shared" si="11"/>
        <v/>
      </c>
      <c r="Z508" s="66" t="str">
        <f t="shared" si="12"/>
        <v> </v>
      </c>
      <c r="AA508" s="71"/>
    </row>
    <row r="509" ht="15.75" customHeight="1">
      <c r="A509" s="56" t="str">
        <f t="shared" si="1"/>
        <v/>
      </c>
      <c r="B509" s="56" t="str">
        <f>IFS($C509=FALSE,"",$C509,VLOOKUP($C509,'PATIENT DATA (072721)'!A:C, 2, 0))</f>
        <v/>
      </c>
      <c r="C509" s="57"/>
      <c r="D509" s="127" t="str">
        <f>IF(COUNTIF('PATIENT DATA (072721)'!A:A, C509)=0, "X","✓")</f>
        <v>X</v>
      </c>
      <c r="E509" s="79"/>
      <c r="F509" s="80"/>
      <c r="G509" s="81" t="str">
        <f>ifs($C509="","",$C509, VLOOKUP($C509&amp;$F509, 'MARCH - VISIT DATA'!A:O,3,0))</f>
        <v/>
      </c>
      <c r="H509" s="83"/>
      <c r="I509" s="122" t="str">
        <f>VLOOKUP($C509&amp;$F509,'MARCH - VISIT DATA'!A:J, 9, FALSE)</f>
        <v>#N/A</v>
      </c>
      <c r="J509" s="85" t="str">
        <f>VLOOKUP(C509&amp;F509,'MARCH - VISIT DATA'!A:O,10,FALSE)</f>
        <v>#N/A</v>
      </c>
      <c r="K509" s="86"/>
      <c r="L509" s="86"/>
      <c r="M509" s="86"/>
      <c r="N509" s="86"/>
      <c r="O509" s="121" t="str">
        <f t="shared" si="2"/>
        <v>X</v>
      </c>
      <c r="P509" s="79" t="str">
        <f t="shared" si="3"/>
        <v>#N/A</v>
      </c>
      <c r="Q509" s="123" t="str">
        <f t="shared" si="4"/>
        <v>#N/A</v>
      </c>
      <c r="R509" s="124" t="str">
        <f t="shared" si="5"/>
        <v>#N/A</v>
      </c>
      <c r="S509" s="125" t="str">
        <f t="shared" si="6"/>
        <v>#N/A</v>
      </c>
      <c r="T509" s="125" t="str">
        <f t="shared" si="7"/>
        <v>#N/A</v>
      </c>
      <c r="U509" s="83">
        <f t="shared" si="8"/>
        <v>0</v>
      </c>
      <c r="V509" s="88" t="str">
        <f>ifs($N509="",VLOOKUP($C509&amp;$F509,'MARCH - VISIT DATA'!$A$2:$J600,7,FALSE), $N509="SWAB","OUTSA-RW",$N509="SWQU","OUTSA-SaQu", AND($L509="X",$M509="X",$N509="QUEST"),"OUT-UAQPre",$N509="QUEST","OUT-UAQ", $N509="Walk in","ColUATele")</f>
        <v>#N/A</v>
      </c>
      <c r="W509" s="70" t="str">
        <f t="shared" si="9"/>
        <v>#N/A</v>
      </c>
      <c r="X509" s="64" t="str">
        <f t="shared" si="10"/>
        <v/>
      </c>
      <c r="Y509" s="64" t="str">
        <f t="shared" si="11"/>
        <v/>
      </c>
      <c r="Z509" s="66" t="str">
        <f t="shared" si="12"/>
        <v> </v>
      </c>
      <c r="AA509" s="71"/>
    </row>
    <row r="510" ht="15.75" customHeight="1">
      <c r="A510" s="56" t="str">
        <f t="shared" si="1"/>
        <v/>
      </c>
      <c r="B510" s="56" t="str">
        <f>IFS($C510=FALSE,"",$C510,VLOOKUP($C510,'PATIENT DATA (072721)'!A:C, 2, 0))</f>
        <v/>
      </c>
      <c r="C510" s="57"/>
      <c r="D510" s="127" t="str">
        <f>IF(COUNTIF('PATIENT DATA (072721)'!A:A, C510)=0, "X","✓")</f>
        <v>X</v>
      </c>
      <c r="E510" s="79"/>
      <c r="F510" s="80"/>
      <c r="G510" s="81" t="str">
        <f>ifs($C510="","",$C510, VLOOKUP($C510&amp;$F510, 'MARCH - VISIT DATA'!A:O,3,0))</f>
        <v/>
      </c>
      <c r="H510" s="83"/>
      <c r="I510" s="122" t="str">
        <f>VLOOKUP($C510&amp;$F510,'MARCH - VISIT DATA'!A:J, 9, FALSE)</f>
        <v>#N/A</v>
      </c>
      <c r="J510" s="85" t="str">
        <f>VLOOKUP(C510&amp;F510,'MARCH - VISIT DATA'!A:O,10,FALSE)</f>
        <v>#N/A</v>
      </c>
      <c r="K510" s="86"/>
      <c r="L510" s="86"/>
      <c r="M510" s="86"/>
      <c r="N510" s="86"/>
      <c r="O510" s="121" t="str">
        <f t="shared" si="2"/>
        <v>X</v>
      </c>
      <c r="P510" s="79" t="str">
        <f t="shared" si="3"/>
        <v>#N/A</v>
      </c>
      <c r="Q510" s="123" t="str">
        <f t="shared" si="4"/>
        <v>#N/A</v>
      </c>
      <c r="R510" s="124" t="str">
        <f t="shared" si="5"/>
        <v>#N/A</v>
      </c>
      <c r="S510" s="125" t="str">
        <f t="shared" si="6"/>
        <v>#N/A</v>
      </c>
      <c r="T510" s="125" t="str">
        <f t="shared" si="7"/>
        <v>#N/A</v>
      </c>
      <c r="U510" s="83">
        <f t="shared" si="8"/>
        <v>0</v>
      </c>
      <c r="V510" s="88" t="str">
        <f>ifs($N510="",VLOOKUP($C510&amp;$F510,'MARCH - VISIT DATA'!$A$2:$J600,7,FALSE), $N510="SWAB","OUTSA-RW",$N510="SWQU","OUTSA-SaQu", AND($L510="X",$M510="X",$N510="QUEST"),"OUT-UAQPre",$N510="QUEST","OUT-UAQ", $N510="Walk in","ColUATele")</f>
        <v>#N/A</v>
      </c>
      <c r="W510" s="70" t="str">
        <f t="shared" si="9"/>
        <v>#N/A</v>
      </c>
      <c r="X510" s="64" t="str">
        <f t="shared" si="10"/>
        <v/>
      </c>
      <c r="Y510" s="64" t="str">
        <f t="shared" si="11"/>
        <v/>
      </c>
      <c r="Z510" s="66" t="str">
        <f t="shared" si="12"/>
        <v> </v>
      </c>
      <c r="AA510" s="71"/>
    </row>
    <row r="511" ht="15.75" customHeight="1">
      <c r="A511" s="56" t="str">
        <f t="shared" si="1"/>
        <v/>
      </c>
      <c r="B511" s="56" t="str">
        <f>IFS($C511=FALSE,"",$C511,VLOOKUP($C511,'PATIENT DATA (072721)'!A:C, 2, 0))</f>
        <v/>
      </c>
      <c r="C511" s="57"/>
      <c r="D511" s="127" t="str">
        <f>IF(COUNTIF('PATIENT DATA (072721)'!A:A, C511)=0, "X","✓")</f>
        <v>X</v>
      </c>
      <c r="E511" s="79"/>
      <c r="F511" s="80"/>
      <c r="G511" s="81" t="str">
        <f>ifs($C511="","",$C511, VLOOKUP($C511&amp;$F511, 'MARCH - VISIT DATA'!A:O,3,0))</f>
        <v/>
      </c>
      <c r="H511" s="83"/>
      <c r="I511" s="122" t="str">
        <f>VLOOKUP($C511&amp;$F511,'MARCH - VISIT DATA'!A:J, 9, FALSE)</f>
        <v>#N/A</v>
      </c>
      <c r="J511" s="85" t="str">
        <f>VLOOKUP(C511&amp;F511,'MARCH - VISIT DATA'!A:O,10,FALSE)</f>
        <v>#N/A</v>
      </c>
      <c r="K511" s="86"/>
      <c r="L511" s="86"/>
      <c r="M511" s="86"/>
      <c r="N511" s="86"/>
      <c r="O511" s="121" t="str">
        <f t="shared" si="2"/>
        <v>X</v>
      </c>
      <c r="P511" s="79" t="str">
        <f t="shared" si="3"/>
        <v>#N/A</v>
      </c>
      <c r="Q511" s="123" t="str">
        <f t="shared" si="4"/>
        <v>#N/A</v>
      </c>
      <c r="R511" s="124" t="str">
        <f t="shared" si="5"/>
        <v>#N/A</v>
      </c>
      <c r="S511" s="125" t="str">
        <f t="shared" si="6"/>
        <v>#N/A</v>
      </c>
      <c r="T511" s="125" t="str">
        <f t="shared" si="7"/>
        <v>#N/A</v>
      </c>
      <c r="U511" s="83">
        <f t="shared" si="8"/>
        <v>0</v>
      </c>
      <c r="V511" s="88" t="str">
        <f>ifs($N511="",VLOOKUP($C511&amp;$F511,'MARCH - VISIT DATA'!$A$2:$J600,7,FALSE), $N511="SWAB","OUTSA-RW",$N511="SWQU","OUTSA-SaQu", AND($L511="X",$M511="X",$N511="QUEST"),"OUT-UAQPre",$N511="QUEST","OUT-UAQ", $N511="Walk in","ColUATele")</f>
        <v>#N/A</v>
      </c>
      <c r="W511" s="70" t="str">
        <f t="shared" si="9"/>
        <v>#N/A</v>
      </c>
      <c r="X511" s="64" t="str">
        <f t="shared" si="10"/>
        <v/>
      </c>
      <c r="Y511" s="64" t="str">
        <f t="shared" si="11"/>
        <v/>
      </c>
      <c r="Z511" s="66" t="str">
        <f t="shared" si="12"/>
        <v> </v>
      </c>
      <c r="AA511" s="71"/>
    </row>
    <row r="512" ht="15.75" customHeight="1">
      <c r="A512" s="56" t="str">
        <f t="shared" si="1"/>
        <v/>
      </c>
      <c r="B512" s="56" t="str">
        <f>IFS($C512=FALSE,"",$C512,VLOOKUP($C512,'PATIENT DATA (072721)'!A:C, 2, 0))</f>
        <v/>
      </c>
      <c r="C512" s="57"/>
      <c r="D512" s="127" t="str">
        <f>IF(COUNTIF('PATIENT DATA (072721)'!A:A, C512)=0, "X","✓")</f>
        <v>X</v>
      </c>
      <c r="E512" s="79"/>
      <c r="F512" s="80"/>
      <c r="G512" s="81" t="str">
        <f>ifs($C512="","",$C512, VLOOKUP($C512&amp;$F512, 'MARCH - VISIT DATA'!A:O,3,0))</f>
        <v/>
      </c>
      <c r="H512" s="83"/>
      <c r="I512" s="122" t="str">
        <f>VLOOKUP($C512&amp;$F512,'MARCH - VISIT DATA'!A:J, 9, FALSE)</f>
        <v>#N/A</v>
      </c>
      <c r="J512" s="85" t="str">
        <f>VLOOKUP(C512&amp;F512,'MARCH - VISIT DATA'!A:O,10,FALSE)</f>
        <v>#N/A</v>
      </c>
      <c r="K512" s="86"/>
      <c r="L512" s="86"/>
      <c r="M512" s="86"/>
      <c r="N512" s="86"/>
      <c r="O512" s="121" t="str">
        <f t="shared" si="2"/>
        <v>X</v>
      </c>
      <c r="P512" s="79" t="str">
        <f t="shared" si="3"/>
        <v>#N/A</v>
      </c>
      <c r="Q512" s="123" t="str">
        <f t="shared" si="4"/>
        <v>#N/A</v>
      </c>
      <c r="R512" s="124" t="str">
        <f t="shared" si="5"/>
        <v>#N/A</v>
      </c>
      <c r="S512" s="125" t="str">
        <f t="shared" si="6"/>
        <v>#N/A</v>
      </c>
      <c r="T512" s="125" t="str">
        <f t="shared" si="7"/>
        <v>#N/A</v>
      </c>
      <c r="U512" s="83">
        <f t="shared" si="8"/>
        <v>0</v>
      </c>
      <c r="V512" s="88" t="str">
        <f>ifs($N512="",VLOOKUP($C512&amp;$F512,'MARCH - VISIT DATA'!$A$2:$J600,7,FALSE), $N512="SWAB","OUTSA-RW",$N512="SWQU","OUTSA-SaQu", AND($L512="X",$M512="X",$N512="QUEST"),"OUT-UAQPre",$N512="QUEST","OUT-UAQ", $N512="Walk in","ColUATele")</f>
        <v>#N/A</v>
      </c>
      <c r="W512" s="70" t="str">
        <f t="shared" si="9"/>
        <v>#N/A</v>
      </c>
      <c r="X512" s="64" t="str">
        <f t="shared" si="10"/>
        <v/>
      </c>
      <c r="Y512" s="64" t="str">
        <f t="shared" si="11"/>
        <v/>
      </c>
      <c r="Z512" s="66" t="str">
        <f t="shared" si="12"/>
        <v> </v>
      </c>
      <c r="AA512" s="71"/>
    </row>
    <row r="513" ht="15.75" customHeight="1">
      <c r="A513" s="56" t="str">
        <f t="shared" si="1"/>
        <v/>
      </c>
      <c r="B513" s="56" t="str">
        <f>IFS($C513=FALSE,"",$C513,VLOOKUP($C513,'PATIENT DATA (072721)'!A:C, 2, 0))</f>
        <v/>
      </c>
      <c r="C513" s="57"/>
      <c r="D513" s="127" t="str">
        <f>IF(COUNTIF('PATIENT DATA (072721)'!A:A, C513)=0, "X","✓")</f>
        <v>X</v>
      </c>
      <c r="E513" s="79"/>
      <c r="F513" s="80"/>
      <c r="G513" s="81" t="str">
        <f>ifs($C513="","",$C513, VLOOKUP($C513&amp;$F513, 'MARCH - VISIT DATA'!A:O,3,0))</f>
        <v/>
      </c>
      <c r="H513" s="83"/>
      <c r="I513" s="122" t="str">
        <f>VLOOKUP($C513&amp;$F513,'MARCH - VISIT DATA'!A:J, 9, FALSE)</f>
        <v>#N/A</v>
      </c>
      <c r="J513" s="85" t="str">
        <f>VLOOKUP(C513&amp;F513,'MARCH - VISIT DATA'!A:O,10,FALSE)</f>
        <v>#N/A</v>
      </c>
      <c r="K513" s="86"/>
      <c r="L513" s="86"/>
      <c r="M513" s="86"/>
      <c r="N513" s="86"/>
      <c r="O513" s="121" t="str">
        <f t="shared" si="2"/>
        <v>X</v>
      </c>
      <c r="P513" s="79" t="str">
        <f t="shared" si="3"/>
        <v>#N/A</v>
      </c>
      <c r="Q513" s="123" t="str">
        <f t="shared" si="4"/>
        <v>#N/A</v>
      </c>
      <c r="R513" s="124" t="str">
        <f t="shared" si="5"/>
        <v>#N/A</v>
      </c>
      <c r="S513" s="125" t="str">
        <f t="shared" si="6"/>
        <v>#N/A</v>
      </c>
      <c r="T513" s="125" t="str">
        <f t="shared" si="7"/>
        <v>#N/A</v>
      </c>
      <c r="U513" s="83">
        <f t="shared" si="8"/>
        <v>0</v>
      </c>
      <c r="V513" s="88" t="str">
        <f>ifs($N513="",VLOOKUP($C513&amp;$F513,'MARCH - VISIT DATA'!$A$2:$J600,7,FALSE), $N513="SWAB","OUTSA-RW",$N513="SWQU","OUTSA-SaQu", AND($L513="X",$M513="X",$N513="QUEST"),"OUT-UAQPre",$N513="QUEST","OUT-UAQ", $N513="Walk in","ColUATele")</f>
        <v>#N/A</v>
      </c>
      <c r="W513" s="70" t="str">
        <f t="shared" si="9"/>
        <v>#N/A</v>
      </c>
      <c r="X513" s="64" t="str">
        <f t="shared" si="10"/>
        <v/>
      </c>
      <c r="Y513" s="64" t="str">
        <f t="shared" si="11"/>
        <v/>
      </c>
      <c r="Z513" s="66" t="str">
        <f t="shared" si="12"/>
        <v> </v>
      </c>
      <c r="AA513" s="71"/>
    </row>
    <row r="514" ht="15.75" customHeight="1">
      <c r="A514" s="56" t="str">
        <f t="shared" si="1"/>
        <v/>
      </c>
      <c r="B514" s="56" t="str">
        <f>IFS($C514=FALSE,"",$C514,VLOOKUP($C514,'PATIENT DATA (072721)'!A:C, 2, 0))</f>
        <v/>
      </c>
      <c r="C514" s="57"/>
      <c r="D514" s="127" t="str">
        <f>IF(COUNTIF('PATIENT DATA (072721)'!A:A, C514)=0, "X","✓")</f>
        <v>X</v>
      </c>
      <c r="E514" s="79"/>
      <c r="F514" s="80"/>
      <c r="G514" s="81" t="str">
        <f>ifs($C514="","",$C514, VLOOKUP($C514&amp;$F514, 'MARCH - VISIT DATA'!A:O,3,0))</f>
        <v/>
      </c>
      <c r="H514" s="83"/>
      <c r="I514" s="122" t="str">
        <f>VLOOKUP($C514&amp;$F514,'MARCH - VISIT DATA'!A:J, 9, FALSE)</f>
        <v>#N/A</v>
      </c>
      <c r="J514" s="85" t="str">
        <f>VLOOKUP(C514&amp;F514,'MARCH - VISIT DATA'!A:O,10,FALSE)</f>
        <v>#N/A</v>
      </c>
      <c r="K514" s="86"/>
      <c r="L514" s="86"/>
      <c r="M514" s="86"/>
      <c r="N514" s="86"/>
      <c r="O514" s="121" t="str">
        <f t="shared" si="2"/>
        <v>X</v>
      </c>
      <c r="P514" s="79" t="str">
        <f t="shared" si="3"/>
        <v>#N/A</v>
      </c>
      <c r="Q514" s="123" t="str">
        <f t="shared" si="4"/>
        <v>#N/A</v>
      </c>
      <c r="R514" s="124" t="str">
        <f t="shared" si="5"/>
        <v>#N/A</v>
      </c>
      <c r="S514" s="125" t="str">
        <f t="shared" si="6"/>
        <v>#N/A</v>
      </c>
      <c r="T514" s="125" t="str">
        <f t="shared" si="7"/>
        <v>#N/A</v>
      </c>
      <c r="U514" s="83">
        <f t="shared" si="8"/>
        <v>0</v>
      </c>
      <c r="V514" s="88" t="str">
        <f>ifs($N514="",VLOOKUP($C514&amp;$F514,'MARCH - VISIT DATA'!$A$2:$J600,7,FALSE), $N514="SWAB","OUTSA-RW",$N514="SWQU","OUTSA-SaQu", AND($L514="X",$M514="X",$N514="QUEST"),"OUT-UAQPre",$N514="QUEST","OUT-UAQ", $N514="Walk in","ColUATele")</f>
        <v>#N/A</v>
      </c>
      <c r="W514" s="70" t="str">
        <f t="shared" si="9"/>
        <v>#N/A</v>
      </c>
      <c r="X514" s="64" t="str">
        <f t="shared" si="10"/>
        <v/>
      </c>
      <c r="Y514" s="64" t="str">
        <f t="shared" si="11"/>
        <v/>
      </c>
      <c r="Z514" s="66" t="str">
        <f t="shared" si="12"/>
        <v> </v>
      </c>
      <c r="AA514" s="71"/>
    </row>
    <row r="515" ht="15.75" customHeight="1">
      <c r="A515" s="56" t="str">
        <f t="shared" si="1"/>
        <v/>
      </c>
      <c r="B515" s="56" t="str">
        <f>IFS($C515=FALSE,"",$C515,VLOOKUP($C515,'PATIENT DATA (072721)'!A:C, 2, 0))</f>
        <v/>
      </c>
      <c r="C515" s="57"/>
      <c r="D515" s="127" t="str">
        <f>IF(COUNTIF('PATIENT DATA (072721)'!A:A, C515)=0, "X","✓")</f>
        <v>X</v>
      </c>
      <c r="E515" s="79"/>
      <c r="F515" s="80"/>
      <c r="G515" s="81" t="str">
        <f>ifs($C515="","",$C515, VLOOKUP($C515&amp;$F515, 'MARCH - VISIT DATA'!A:O,3,0))</f>
        <v/>
      </c>
      <c r="H515" s="83"/>
      <c r="I515" s="122" t="str">
        <f>VLOOKUP($C515&amp;$F515,'MARCH - VISIT DATA'!A:J, 9, FALSE)</f>
        <v>#N/A</v>
      </c>
      <c r="J515" s="85" t="str">
        <f>VLOOKUP(C515&amp;F515,'MARCH - VISIT DATA'!A:O,10,FALSE)</f>
        <v>#N/A</v>
      </c>
      <c r="K515" s="86"/>
      <c r="L515" s="86"/>
      <c r="M515" s="86"/>
      <c r="N515" s="86"/>
      <c r="O515" s="121" t="str">
        <f t="shared" si="2"/>
        <v>X</v>
      </c>
      <c r="P515" s="79" t="str">
        <f t="shared" si="3"/>
        <v>#N/A</v>
      </c>
      <c r="Q515" s="123" t="str">
        <f t="shared" si="4"/>
        <v>#N/A</v>
      </c>
      <c r="R515" s="124" t="str">
        <f t="shared" si="5"/>
        <v>#N/A</v>
      </c>
      <c r="S515" s="125" t="str">
        <f t="shared" si="6"/>
        <v>#N/A</v>
      </c>
      <c r="T515" s="125" t="str">
        <f t="shared" si="7"/>
        <v>#N/A</v>
      </c>
      <c r="U515" s="83">
        <f t="shared" si="8"/>
        <v>0</v>
      </c>
      <c r="V515" s="88" t="str">
        <f>ifs($N515="",VLOOKUP($C515&amp;$F515,'MARCH - VISIT DATA'!$A$2:$J600,7,FALSE), $N515="SWAB","OUTSA-RW",$N515="SWQU","OUTSA-SaQu", AND($L515="X",$M515="X",$N515="QUEST"),"OUT-UAQPre",$N515="QUEST","OUT-UAQ", $N515="Walk in","ColUATele")</f>
        <v>#N/A</v>
      </c>
      <c r="W515" s="70" t="str">
        <f t="shared" si="9"/>
        <v>#N/A</v>
      </c>
      <c r="X515" s="64" t="str">
        <f t="shared" si="10"/>
        <v/>
      </c>
      <c r="Y515" s="64" t="str">
        <f t="shared" si="11"/>
        <v/>
      </c>
      <c r="Z515" s="66" t="str">
        <f t="shared" si="12"/>
        <v> </v>
      </c>
      <c r="AA515" s="71"/>
    </row>
    <row r="516" ht="15.75" customHeight="1">
      <c r="A516" s="56" t="str">
        <f t="shared" si="1"/>
        <v/>
      </c>
      <c r="B516" s="56" t="str">
        <f>IFS($C516=FALSE,"",$C516,VLOOKUP($C516,'PATIENT DATA (072721)'!A:C, 2, 0))</f>
        <v/>
      </c>
      <c r="C516" s="57"/>
      <c r="D516" s="127" t="str">
        <f>IF(COUNTIF('PATIENT DATA (072721)'!A:A, C516)=0, "X","✓")</f>
        <v>X</v>
      </c>
      <c r="E516" s="79"/>
      <c r="F516" s="80"/>
      <c r="G516" s="81" t="str">
        <f>ifs($C516="","",$C516, VLOOKUP($C516&amp;$F516, 'MARCH - VISIT DATA'!A:O,3,0))</f>
        <v/>
      </c>
      <c r="H516" s="83"/>
      <c r="I516" s="122" t="str">
        <f>VLOOKUP($C516&amp;$F516,'MARCH - VISIT DATA'!A:J, 9, FALSE)</f>
        <v>#N/A</v>
      </c>
      <c r="J516" s="85" t="str">
        <f>VLOOKUP(C516&amp;F516,'MARCH - VISIT DATA'!A:O,10,FALSE)</f>
        <v>#N/A</v>
      </c>
      <c r="K516" s="86"/>
      <c r="L516" s="86"/>
      <c r="M516" s="86"/>
      <c r="N516" s="86"/>
      <c r="O516" s="121" t="str">
        <f t="shared" si="2"/>
        <v>X</v>
      </c>
      <c r="P516" s="79" t="str">
        <f t="shared" si="3"/>
        <v>#N/A</v>
      </c>
      <c r="Q516" s="123" t="str">
        <f t="shared" si="4"/>
        <v>#N/A</v>
      </c>
      <c r="R516" s="124" t="str">
        <f t="shared" si="5"/>
        <v>#N/A</v>
      </c>
      <c r="S516" s="125" t="str">
        <f t="shared" si="6"/>
        <v>#N/A</v>
      </c>
      <c r="T516" s="125" t="str">
        <f t="shared" si="7"/>
        <v>#N/A</v>
      </c>
      <c r="U516" s="83">
        <f t="shared" si="8"/>
        <v>0</v>
      </c>
      <c r="V516" s="88" t="str">
        <f>ifs($N516="",VLOOKUP($C516&amp;$F516,'MARCH - VISIT DATA'!$A$2:$J600,7,FALSE), $N516="SWAB","OUTSA-RW",$N516="SWQU","OUTSA-SaQu", AND($L516="X",$M516="X",$N516="QUEST"),"OUT-UAQPre",$N516="QUEST","OUT-UAQ", $N516="Walk in","ColUATele")</f>
        <v>#N/A</v>
      </c>
      <c r="W516" s="70" t="str">
        <f t="shared" si="9"/>
        <v>#N/A</v>
      </c>
      <c r="X516" s="64" t="str">
        <f t="shared" si="10"/>
        <v/>
      </c>
      <c r="Y516" s="64" t="str">
        <f t="shared" si="11"/>
        <v/>
      </c>
      <c r="Z516" s="66" t="str">
        <f t="shared" si="12"/>
        <v> </v>
      </c>
      <c r="AA516" s="71"/>
    </row>
    <row r="517" ht="15.75" customHeight="1">
      <c r="A517" s="56" t="str">
        <f t="shared" si="1"/>
        <v/>
      </c>
      <c r="B517" s="56" t="str">
        <f>IFS($C517=FALSE,"",$C517,VLOOKUP($C517,'PATIENT DATA (072721)'!A:C, 2, 0))</f>
        <v/>
      </c>
      <c r="C517" s="57"/>
      <c r="D517" s="127" t="str">
        <f>IF(COUNTIF('PATIENT DATA (072721)'!A:A, C517)=0, "X","✓")</f>
        <v>X</v>
      </c>
      <c r="E517" s="79"/>
      <c r="F517" s="80"/>
      <c r="G517" s="81" t="str">
        <f>ifs($C517="","",$C517, VLOOKUP($C517&amp;$F517, 'MARCH - VISIT DATA'!A:O,3,0))</f>
        <v/>
      </c>
      <c r="H517" s="83"/>
      <c r="I517" s="122" t="str">
        <f>VLOOKUP($C517&amp;$F517,'MARCH - VISIT DATA'!A:J, 9, FALSE)</f>
        <v>#N/A</v>
      </c>
      <c r="J517" s="85" t="str">
        <f>VLOOKUP(C517&amp;F517,'MARCH - VISIT DATA'!A:O,10,FALSE)</f>
        <v>#N/A</v>
      </c>
      <c r="K517" s="86"/>
      <c r="L517" s="86"/>
      <c r="M517" s="86"/>
      <c r="N517" s="86"/>
      <c r="O517" s="121" t="str">
        <f t="shared" si="2"/>
        <v>X</v>
      </c>
      <c r="P517" s="79" t="str">
        <f t="shared" si="3"/>
        <v>#N/A</v>
      </c>
      <c r="Q517" s="123" t="str">
        <f t="shared" si="4"/>
        <v>#N/A</v>
      </c>
      <c r="R517" s="124" t="str">
        <f t="shared" si="5"/>
        <v>#N/A</v>
      </c>
      <c r="S517" s="125" t="str">
        <f t="shared" si="6"/>
        <v>#N/A</v>
      </c>
      <c r="T517" s="125" t="str">
        <f t="shared" si="7"/>
        <v>#N/A</v>
      </c>
      <c r="U517" s="83">
        <f t="shared" si="8"/>
        <v>0</v>
      </c>
      <c r="V517" s="88" t="str">
        <f>ifs($N517="",VLOOKUP($C517&amp;$F517,'MARCH - VISIT DATA'!$A$2:$J600,7,FALSE), $N517="SWAB","OUTSA-RW",$N517="SWQU","OUTSA-SaQu", AND($L517="X",$M517="X",$N517="QUEST"),"OUT-UAQPre",$N517="QUEST","OUT-UAQ", $N517="Walk in","ColUATele")</f>
        <v>#N/A</v>
      </c>
      <c r="W517" s="70" t="str">
        <f t="shared" si="9"/>
        <v>#N/A</v>
      </c>
      <c r="X517" s="64" t="str">
        <f t="shared" si="10"/>
        <v/>
      </c>
      <c r="Y517" s="64" t="str">
        <f t="shared" si="11"/>
        <v/>
      </c>
      <c r="Z517" s="66" t="str">
        <f t="shared" si="12"/>
        <v> </v>
      </c>
      <c r="AA517" s="71"/>
    </row>
    <row r="518" ht="15.75" customHeight="1">
      <c r="A518" s="56" t="str">
        <f t="shared" si="1"/>
        <v/>
      </c>
      <c r="B518" s="56" t="str">
        <f>IFS($C518=FALSE,"",$C518,VLOOKUP($C518,'PATIENT DATA (072721)'!A:C, 2, 0))</f>
        <v/>
      </c>
      <c r="C518" s="57"/>
      <c r="D518" s="127" t="str">
        <f>IF(COUNTIF('PATIENT DATA (072721)'!A:A, C518)=0, "X","✓")</f>
        <v>X</v>
      </c>
      <c r="E518" s="79"/>
      <c r="F518" s="80"/>
      <c r="G518" s="81" t="str">
        <f>ifs($C518="","",$C518, VLOOKUP($C518&amp;$F518, 'MARCH - VISIT DATA'!A:O,3,0))</f>
        <v/>
      </c>
      <c r="H518" s="83"/>
      <c r="I518" s="122" t="str">
        <f>VLOOKUP($C518&amp;$F518,'MARCH - VISIT DATA'!A:J, 9, FALSE)</f>
        <v>#N/A</v>
      </c>
      <c r="J518" s="85" t="str">
        <f>VLOOKUP(C518&amp;F518,'MARCH - VISIT DATA'!A:O,10,FALSE)</f>
        <v>#N/A</v>
      </c>
      <c r="K518" s="86"/>
      <c r="L518" s="86"/>
      <c r="M518" s="86"/>
      <c r="N518" s="86"/>
      <c r="O518" s="121" t="str">
        <f t="shared" si="2"/>
        <v>X</v>
      </c>
      <c r="P518" s="79" t="str">
        <f t="shared" si="3"/>
        <v>#N/A</v>
      </c>
      <c r="Q518" s="123" t="str">
        <f t="shared" si="4"/>
        <v>#N/A</v>
      </c>
      <c r="R518" s="124" t="str">
        <f t="shared" si="5"/>
        <v>#N/A</v>
      </c>
      <c r="S518" s="125" t="str">
        <f t="shared" si="6"/>
        <v>#N/A</v>
      </c>
      <c r="T518" s="125" t="str">
        <f t="shared" si="7"/>
        <v>#N/A</v>
      </c>
      <c r="U518" s="83">
        <f t="shared" si="8"/>
        <v>0</v>
      </c>
      <c r="V518" s="88" t="str">
        <f>ifs($N518="",VLOOKUP($C518&amp;$F518,'MARCH - VISIT DATA'!$A$2:$J600,7,FALSE), $N518="SWAB","OUTSA-RW",$N518="SWQU","OUTSA-SaQu", AND($L518="X",$M518="X",$N518="QUEST"),"OUT-UAQPre",$N518="QUEST","OUT-UAQ", $N518="Walk in","ColUATele")</f>
        <v>#N/A</v>
      </c>
      <c r="W518" s="70" t="str">
        <f t="shared" si="9"/>
        <v>#N/A</v>
      </c>
      <c r="X518" s="64" t="str">
        <f t="shared" si="10"/>
        <v/>
      </c>
      <c r="Y518" s="64" t="str">
        <f t="shared" si="11"/>
        <v/>
      </c>
      <c r="Z518" s="66" t="str">
        <f t="shared" si="12"/>
        <v> </v>
      </c>
      <c r="AA518" s="71"/>
    </row>
    <row r="519" ht="15.75" customHeight="1">
      <c r="A519" s="56" t="str">
        <f t="shared" si="1"/>
        <v/>
      </c>
      <c r="B519" s="56" t="str">
        <f>IFS($C519=FALSE,"",$C519,VLOOKUP($C519,'PATIENT DATA (072721)'!A:C, 2, 0))</f>
        <v/>
      </c>
      <c r="C519" s="57"/>
      <c r="D519" s="127" t="str">
        <f>IF(COUNTIF('PATIENT DATA (072721)'!A:A, C519)=0, "X","✓")</f>
        <v>X</v>
      </c>
      <c r="E519" s="79"/>
      <c r="F519" s="80"/>
      <c r="G519" s="81" t="str">
        <f>ifs($C519="","",$C519, VLOOKUP($C519&amp;$F519, 'MARCH - VISIT DATA'!A:O,3,0))</f>
        <v/>
      </c>
      <c r="H519" s="83"/>
      <c r="I519" s="122" t="str">
        <f>VLOOKUP($C519&amp;$F519,'MARCH - VISIT DATA'!A:J, 9, FALSE)</f>
        <v>#N/A</v>
      </c>
      <c r="J519" s="85" t="str">
        <f>VLOOKUP(C519&amp;F519,'MARCH - VISIT DATA'!A:O,10,FALSE)</f>
        <v>#N/A</v>
      </c>
      <c r="K519" s="86"/>
      <c r="L519" s="86"/>
      <c r="M519" s="86"/>
      <c r="N519" s="86"/>
      <c r="O519" s="121" t="str">
        <f t="shared" si="2"/>
        <v>X</v>
      </c>
      <c r="P519" s="79" t="str">
        <f t="shared" si="3"/>
        <v>#N/A</v>
      </c>
      <c r="Q519" s="123" t="str">
        <f t="shared" si="4"/>
        <v>#N/A</v>
      </c>
      <c r="R519" s="124" t="str">
        <f t="shared" si="5"/>
        <v>#N/A</v>
      </c>
      <c r="S519" s="125" t="str">
        <f t="shared" si="6"/>
        <v>#N/A</v>
      </c>
      <c r="T519" s="125" t="str">
        <f t="shared" si="7"/>
        <v>#N/A</v>
      </c>
      <c r="U519" s="83">
        <f t="shared" si="8"/>
        <v>0</v>
      </c>
      <c r="V519" s="88" t="str">
        <f>ifs($N519="",VLOOKUP($C519&amp;$F519,'MARCH - VISIT DATA'!$A$2:$J600,7,FALSE), $N519="SWAB","OUTSA-RW",$N519="SWQU","OUTSA-SaQu", AND($L519="X",$M519="X",$N519="QUEST"),"OUT-UAQPre",$N519="QUEST","OUT-UAQ", $N519="Walk in","ColUATele")</f>
        <v>#N/A</v>
      </c>
      <c r="W519" s="70" t="str">
        <f t="shared" si="9"/>
        <v>#N/A</v>
      </c>
      <c r="X519" s="64" t="str">
        <f t="shared" si="10"/>
        <v/>
      </c>
      <c r="Y519" s="64" t="str">
        <f t="shared" si="11"/>
        <v/>
      </c>
      <c r="Z519" s="66" t="str">
        <f t="shared" si="12"/>
        <v> </v>
      </c>
      <c r="AA519" s="71"/>
    </row>
    <row r="520" ht="15.75" customHeight="1">
      <c r="A520" s="56" t="str">
        <f t="shared" si="1"/>
        <v/>
      </c>
      <c r="B520" s="56" t="str">
        <f>IFS($C520=FALSE,"",$C520,VLOOKUP($C520,'PATIENT DATA (072721)'!A:C, 2, 0))</f>
        <v/>
      </c>
      <c r="C520" s="57"/>
      <c r="D520" s="127" t="str">
        <f>IF(COUNTIF('PATIENT DATA (072721)'!A:A, C520)=0, "X","✓")</f>
        <v>X</v>
      </c>
      <c r="E520" s="79"/>
      <c r="F520" s="80"/>
      <c r="G520" s="81" t="str">
        <f>ifs($C520="","",$C520, VLOOKUP($C520&amp;$F520, 'MARCH - VISIT DATA'!A:O,3,0))</f>
        <v/>
      </c>
      <c r="H520" s="83"/>
      <c r="I520" s="122" t="str">
        <f>VLOOKUP($C520&amp;$F520,'MARCH - VISIT DATA'!A:J, 9, FALSE)</f>
        <v>#N/A</v>
      </c>
      <c r="J520" s="85" t="str">
        <f>VLOOKUP(C520&amp;F520,'MARCH - VISIT DATA'!A:O,10,FALSE)</f>
        <v>#N/A</v>
      </c>
      <c r="K520" s="86"/>
      <c r="L520" s="86"/>
      <c r="M520" s="86"/>
      <c r="N520" s="86"/>
      <c r="O520" s="121" t="str">
        <f t="shared" si="2"/>
        <v>X</v>
      </c>
      <c r="P520" s="79" t="str">
        <f t="shared" si="3"/>
        <v>#N/A</v>
      </c>
      <c r="Q520" s="123" t="str">
        <f t="shared" si="4"/>
        <v>#N/A</v>
      </c>
      <c r="R520" s="124" t="str">
        <f t="shared" si="5"/>
        <v>#N/A</v>
      </c>
      <c r="S520" s="125" t="str">
        <f t="shared" si="6"/>
        <v>#N/A</v>
      </c>
      <c r="T520" s="125" t="str">
        <f t="shared" si="7"/>
        <v>#N/A</v>
      </c>
      <c r="U520" s="83">
        <f t="shared" si="8"/>
        <v>0</v>
      </c>
      <c r="V520" s="88" t="str">
        <f>ifs($N520="",VLOOKUP($C520&amp;$F520,'MARCH - VISIT DATA'!$A$2:$J600,7,FALSE), $N520="SWAB","OUTSA-RW",$N520="SWQU","OUTSA-SaQu", AND($L520="X",$M520="X",$N520="QUEST"),"OUT-UAQPre",$N520="QUEST","OUT-UAQ", $N520="Walk in","ColUATele")</f>
        <v>#N/A</v>
      </c>
      <c r="W520" s="70" t="str">
        <f t="shared" si="9"/>
        <v>#N/A</v>
      </c>
      <c r="X520" s="64" t="str">
        <f t="shared" si="10"/>
        <v/>
      </c>
      <c r="Y520" s="64" t="str">
        <f t="shared" si="11"/>
        <v/>
      </c>
      <c r="Z520" s="66" t="str">
        <f t="shared" si="12"/>
        <v> </v>
      </c>
      <c r="AA520" s="71"/>
    </row>
    <row r="521" ht="15.75" customHeight="1">
      <c r="A521" s="56" t="str">
        <f t="shared" si="1"/>
        <v/>
      </c>
      <c r="B521" s="56" t="str">
        <f>IFS($C521=FALSE,"",$C521,VLOOKUP($C521,'PATIENT DATA (072721)'!A:C, 2, 0))</f>
        <v/>
      </c>
      <c r="C521" s="57"/>
      <c r="D521" s="127" t="str">
        <f>IF(COUNTIF('PATIENT DATA (072721)'!A:A, C521)=0, "X","✓")</f>
        <v>X</v>
      </c>
      <c r="E521" s="79"/>
      <c r="F521" s="80"/>
      <c r="G521" s="81" t="str">
        <f>ifs($C521="","",$C521, VLOOKUP($C521&amp;$F521, 'MARCH - VISIT DATA'!A:O,3,0))</f>
        <v/>
      </c>
      <c r="H521" s="83"/>
      <c r="I521" s="122" t="str">
        <f>VLOOKUP($C521&amp;$F521,'MARCH - VISIT DATA'!A:J, 9, FALSE)</f>
        <v>#N/A</v>
      </c>
      <c r="J521" s="85" t="str">
        <f>VLOOKUP(C521&amp;F521,'MARCH - VISIT DATA'!A:O,10,FALSE)</f>
        <v>#N/A</v>
      </c>
      <c r="K521" s="86"/>
      <c r="L521" s="86"/>
      <c r="M521" s="86"/>
      <c r="N521" s="86"/>
      <c r="O521" s="121" t="str">
        <f t="shared" si="2"/>
        <v>X</v>
      </c>
      <c r="P521" s="79" t="str">
        <f t="shared" si="3"/>
        <v>#N/A</v>
      </c>
      <c r="Q521" s="123" t="str">
        <f t="shared" si="4"/>
        <v>#N/A</v>
      </c>
      <c r="R521" s="124" t="str">
        <f t="shared" si="5"/>
        <v>#N/A</v>
      </c>
      <c r="S521" s="125" t="str">
        <f t="shared" si="6"/>
        <v>#N/A</v>
      </c>
      <c r="T521" s="125" t="str">
        <f t="shared" si="7"/>
        <v>#N/A</v>
      </c>
      <c r="U521" s="83">
        <f t="shared" si="8"/>
        <v>0</v>
      </c>
      <c r="V521" s="88" t="str">
        <f>ifs($N521="",VLOOKUP($C521&amp;$F521,'MARCH - VISIT DATA'!$A$2:$J600,7,FALSE), $N521="SWAB","OUTSA-RW",$N521="SWQU","OUTSA-SaQu", AND($L521="X",$M521="X",$N521="QUEST"),"OUT-UAQPre",$N521="QUEST","OUT-UAQ", $N521="Walk in","ColUATele")</f>
        <v>#N/A</v>
      </c>
      <c r="W521" s="70" t="str">
        <f t="shared" si="9"/>
        <v>#N/A</v>
      </c>
      <c r="X521" s="64" t="str">
        <f t="shared" si="10"/>
        <v/>
      </c>
      <c r="Y521" s="64" t="str">
        <f t="shared" si="11"/>
        <v/>
      </c>
      <c r="Z521" s="66" t="str">
        <f t="shared" si="12"/>
        <v> </v>
      </c>
      <c r="AA521" s="71"/>
    </row>
    <row r="522" ht="15.75" customHeight="1">
      <c r="A522" s="56" t="str">
        <f t="shared" si="1"/>
        <v/>
      </c>
      <c r="B522" s="56" t="str">
        <f>IFS($C522=FALSE,"",$C522,VLOOKUP($C522,'PATIENT DATA (072721)'!A:C, 2, 0))</f>
        <v/>
      </c>
      <c r="C522" s="57"/>
      <c r="D522" s="127" t="str">
        <f>IF(COUNTIF('PATIENT DATA (072721)'!A:A, C522)=0, "X","✓")</f>
        <v>X</v>
      </c>
      <c r="E522" s="79"/>
      <c r="F522" s="80"/>
      <c r="G522" s="81" t="str">
        <f>ifs($C522="","",$C522, VLOOKUP($C522&amp;$F522, 'MARCH - VISIT DATA'!A:O,3,0))</f>
        <v/>
      </c>
      <c r="H522" s="83"/>
      <c r="I522" s="122" t="str">
        <f>VLOOKUP($C522&amp;$F522,'MARCH - VISIT DATA'!A:J, 9, FALSE)</f>
        <v>#N/A</v>
      </c>
      <c r="J522" s="85" t="str">
        <f>VLOOKUP(C522&amp;F522,'MARCH - VISIT DATA'!A:O,10,FALSE)</f>
        <v>#N/A</v>
      </c>
      <c r="K522" s="86"/>
      <c r="L522" s="86"/>
      <c r="M522" s="86"/>
      <c r="N522" s="86"/>
      <c r="O522" s="121" t="str">
        <f t="shared" si="2"/>
        <v>X</v>
      </c>
      <c r="P522" s="79" t="str">
        <f t="shared" si="3"/>
        <v>#N/A</v>
      </c>
      <c r="Q522" s="123" t="str">
        <f t="shared" si="4"/>
        <v>#N/A</v>
      </c>
      <c r="R522" s="124" t="str">
        <f t="shared" si="5"/>
        <v>#N/A</v>
      </c>
      <c r="S522" s="125" t="str">
        <f t="shared" si="6"/>
        <v>#N/A</v>
      </c>
      <c r="T522" s="125" t="str">
        <f t="shared" si="7"/>
        <v>#N/A</v>
      </c>
      <c r="U522" s="83">
        <f t="shared" si="8"/>
        <v>0</v>
      </c>
      <c r="V522" s="88" t="str">
        <f>ifs($N522="",VLOOKUP($C522&amp;$F522,'MARCH - VISIT DATA'!$A$2:$J600,7,FALSE), $N522="SWAB","OUTSA-RW",$N522="SWQU","OUTSA-SaQu", AND($L522="X",$M522="X",$N522="QUEST"),"OUT-UAQPre",$N522="QUEST","OUT-UAQ", $N522="Walk in","ColUATele")</f>
        <v>#N/A</v>
      </c>
      <c r="W522" s="70" t="str">
        <f t="shared" si="9"/>
        <v>#N/A</v>
      </c>
      <c r="X522" s="64" t="str">
        <f t="shared" si="10"/>
        <v/>
      </c>
      <c r="Y522" s="64" t="str">
        <f t="shared" si="11"/>
        <v/>
      </c>
      <c r="Z522" s="66" t="str">
        <f t="shared" si="12"/>
        <v> </v>
      </c>
      <c r="AA522" s="71"/>
    </row>
    <row r="523" ht="15.75" customHeight="1">
      <c r="A523" s="56" t="str">
        <f t="shared" si="1"/>
        <v/>
      </c>
      <c r="B523" s="56" t="str">
        <f>IFS($C523=FALSE,"",$C523,VLOOKUP($C523,'PATIENT DATA (072721)'!A:C, 2, 0))</f>
        <v/>
      </c>
      <c r="C523" s="57"/>
      <c r="D523" s="127" t="str">
        <f>IF(COUNTIF('PATIENT DATA (072721)'!A:A, C523)=0, "X","✓")</f>
        <v>X</v>
      </c>
      <c r="E523" s="79"/>
      <c r="F523" s="80"/>
      <c r="G523" s="81" t="str">
        <f>ifs($C523="","",$C523, VLOOKUP($C523&amp;$F523, 'MARCH - VISIT DATA'!A:O,3,0))</f>
        <v/>
      </c>
      <c r="H523" s="83"/>
      <c r="I523" s="122" t="str">
        <f>VLOOKUP($C523&amp;$F523,'MARCH - VISIT DATA'!A:J, 9, FALSE)</f>
        <v>#N/A</v>
      </c>
      <c r="J523" s="85" t="str">
        <f>VLOOKUP(C523&amp;F523,'MARCH - VISIT DATA'!A:O,10,FALSE)</f>
        <v>#N/A</v>
      </c>
      <c r="K523" s="86"/>
      <c r="L523" s="86"/>
      <c r="M523" s="86"/>
      <c r="N523" s="86"/>
      <c r="O523" s="121" t="str">
        <f t="shared" si="2"/>
        <v>X</v>
      </c>
      <c r="P523" s="79" t="str">
        <f t="shared" si="3"/>
        <v>#N/A</v>
      </c>
      <c r="Q523" s="123" t="str">
        <f t="shared" si="4"/>
        <v>#N/A</v>
      </c>
      <c r="R523" s="124" t="str">
        <f t="shared" si="5"/>
        <v>#N/A</v>
      </c>
      <c r="S523" s="125" t="str">
        <f t="shared" si="6"/>
        <v>#N/A</v>
      </c>
      <c r="T523" s="125" t="str">
        <f t="shared" si="7"/>
        <v>#N/A</v>
      </c>
      <c r="U523" s="83">
        <f t="shared" si="8"/>
        <v>0</v>
      </c>
      <c r="V523" s="88" t="str">
        <f>ifs($N523="",VLOOKUP($C523&amp;$F523,'MARCH - VISIT DATA'!$A$2:$J600,7,FALSE), $N523="SWAB","OUTSA-RW",$N523="SWQU","OUTSA-SaQu", AND($L523="X",$M523="X",$N523="QUEST"),"OUT-UAQPre",$N523="QUEST","OUT-UAQ", $N523="Walk in","ColUATele")</f>
        <v>#N/A</v>
      </c>
      <c r="W523" s="70" t="str">
        <f t="shared" si="9"/>
        <v>#N/A</v>
      </c>
      <c r="X523" s="64" t="str">
        <f t="shared" si="10"/>
        <v/>
      </c>
      <c r="Y523" s="64" t="str">
        <f t="shared" si="11"/>
        <v/>
      </c>
      <c r="Z523" s="66" t="str">
        <f t="shared" si="12"/>
        <v> </v>
      </c>
      <c r="AA523" s="71"/>
    </row>
    <row r="524" ht="15.75" customHeight="1">
      <c r="A524" s="56" t="str">
        <f t="shared" si="1"/>
        <v/>
      </c>
      <c r="B524" s="56" t="str">
        <f>IFS($C524=FALSE,"",$C524,VLOOKUP($C524,'PATIENT DATA (072721)'!A:C, 2, 0))</f>
        <v/>
      </c>
      <c r="C524" s="57"/>
      <c r="D524" s="127" t="str">
        <f>IF(COUNTIF('PATIENT DATA (072721)'!A:A, C524)=0, "X","✓")</f>
        <v>X</v>
      </c>
      <c r="E524" s="79"/>
      <c r="F524" s="80"/>
      <c r="G524" s="81" t="str">
        <f>ifs($C524="","",$C524, VLOOKUP($C524&amp;$F524, 'MARCH - VISIT DATA'!A:O,3,0))</f>
        <v/>
      </c>
      <c r="H524" s="83"/>
      <c r="I524" s="122" t="str">
        <f>VLOOKUP($C524&amp;$F524,'MARCH - VISIT DATA'!A:J, 9, FALSE)</f>
        <v>#N/A</v>
      </c>
      <c r="J524" s="85" t="str">
        <f>VLOOKUP(C524&amp;F524,'MARCH - VISIT DATA'!A:O,10,FALSE)</f>
        <v>#N/A</v>
      </c>
      <c r="K524" s="86"/>
      <c r="L524" s="86"/>
      <c r="M524" s="86"/>
      <c r="N524" s="86"/>
      <c r="O524" s="121" t="str">
        <f t="shared" si="2"/>
        <v>X</v>
      </c>
      <c r="P524" s="79" t="str">
        <f t="shared" si="3"/>
        <v>#N/A</v>
      </c>
      <c r="Q524" s="123" t="str">
        <f t="shared" si="4"/>
        <v>#N/A</v>
      </c>
      <c r="R524" s="124" t="str">
        <f t="shared" si="5"/>
        <v>#N/A</v>
      </c>
      <c r="S524" s="125" t="str">
        <f t="shared" si="6"/>
        <v>#N/A</v>
      </c>
      <c r="T524" s="125" t="str">
        <f t="shared" si="7"/>
        <v>#N/A</v>
      </c>
      <c r="U524" s="83">
        <f t="shared" si="8"/>
        <v>0</v>
      </c>
      <c r="V524" s="88" t="str">
        <f>ifs($N524="",VLOOKUP($C524&amp;$F524,'MARCH - VISIT DATA'!$A$2:$J600,7,FALSE), $N524="SWAB","OUTSA-RW",$N524="SWQU","OUTSA-SaQu", AND($L524="X",$M524="X",$N524="QUEST"),"OUT-UAQPre",$N524="QUEST","OUT-UAQ", $N524="Walk in","ColUATele")</f>
        <v>#N/A</v>
      </c>
      <c r="W524" s="70" t="str">
        <f t="shared" si="9"/>
        <v>#N/A</v>
      </c>
      <c r="X524" s="64" t="str">
        <f t="shared" si="10"/>
        <v/>
      </c>
      <c r="Y524" s="64" t="str">
        <f t="shared" si="11"/>
        <v/>
      </c>
      <c r="Z524" s="66" t="str">
        <f t="shared" si="12"/>
        <v> </v>
      </c>
      <c r="AA524" s="71"/>
    </row>
    <row r="525" ht="15.75" customHeight="1">
      <c r="A525" s="56" t="str">
        <f t="shared" si="1"/>
        <v/>
      </c>
      <c r="B525" s="56" t="str">
        <f>IFS($C525=FALSE,"",$C525,VLOOKUP($C525,'PATIENT DATA (072721)'!A:C, 2, 0))</f>
        <v/>
      </c>
      <c r="C525" s="57"/>
      <c r="D525" s="127" t="str">
        <f>IF(COUNTIF('PATIENT DATA (072721)'!A:A, C525)=0, "X","✓")</f>
        <v>X</v>
      </c>
      <c r="E525" s="79"/>
      <c r="F525" s="80"/>
      <c r="G525" s="81" t="str">
        <f>ifs($C525="","",$C525, VLOOKUP($C525&amp;$F525, 'MARCH - VISIT DATA'!A:O,3,0))</f>
        <v/>
      </c>
      <c r="H525" s="83"/>
      <c r="I525" s="122" t="str">
        <f>VLOOKUP($C525&amp;$F525,'MARCH - VISIT DATA'!A:J, 9, FALSE)</f>
        <v>#N/A</v>
      </c>
      <c r="J525" s="85" t="str">
        <f>VLOOKUP(C525&amp;F525,'MARCH - VISIT DATA'!A:O,10,FALSE)</f>
        <v>#N/A</v>
      </c>
      <c r="K525" s="86"/>
      <c r="L525" s="86"/>
      <c r="M525" s="86"/>
      <c r="N525" s="86"/>
      <c r="O525" s="121" t="str">
        <f t="shared" si="2"/>
        <v>X</v>
      </c>
      <c r="P525" s="79" t="str">
        <f t="shared" si="3"/>
        <v>#N/A</v>
      </c>
      <c r="Q525" s="123" t="str">
        <f t="shared" si="4"/>
        <v>#N/A</v>
      </c>
      <c r="R525" s="124" t="str">
        <f t="shared" si="5"/>
        <v>#N/A</v>
      </c>
      <c r="S525" s="125" t="str">
        <f t="shared" si="6"/>
        <v>#N/A</v>
      </c>
      <c r="T525" s="125" t="str">
        <f t="shared" si="7"/>
        <v>#N/A</v>
      </c>
      <c r="U525" s="83">
        <f t="shared" si="8"/>
        <v>0</v>
      </c>
      <c r="V525" s="88" t="str">
        <f>ifs($N525="",VLOOKUP($C525&amp;$F525,'MARCH - VISIT DATA'!$A$2:$J600,7,FALSE), $N525="SWAB","OUTSA-RW",$N525="SWQU","OUTSA-SaQu", AND($L525="X",$M525="X",$N525="QUEST"),"OUT-UAQPre",$N525="QUEST","OUT-UAQ", $N525="Walk in","ColUATele")</f>
        <v>#N/A</v>
      </c>
      <c r="W525" s="70" t="str">
        <f t="shared" si="9"/>
        <v>#N/A</v>
      </c>
      <c r="X525" s="64" t="str">
        <f t="shared" si="10"/>
        <v/>
      </c>
      <c r="Y525" s="64" t="str">
        <f t="shared" si="11"/>
        <v/>
      </c>
      <c r="Z525" s="66" t="str">
        <f t="shared" si="12"/>
        <v> </v>
      </c>
      <c r="AA525" s="71"/>
    </row>
    <row r="526" ht="15.75" customHeight="1">
      <c r="A526" s="56" t="str">
        <f t="shared" si="1"/>
        <v/>
      </c>
      <c r="B526" s="56" t="str">
        <f>IFS($C526=FALSE,"",$C526,VLOOKUP($C526,'PATIENT DATA (072721)'!A:C, 2, 0))</f>
        <v/>
      </c>
      <c r="C526" s="57"/>
      <c r="D526" s="127" t="str">
        <f>IF(COUNTIF('PATIENT DATA (072721)'!A:A, C526)=0, "X","✓")</f>
        <v>X</v>
      </c>
      <c r="E526" s="79"/>
      <c r="F526" s="80"/>
      <c r="G526" s="81" t="str">
        <f>ifs($C526="","",$C526, VLOOKUP($C526&amp;$F526, 'MARCH - VISIT DATA'!A:O,3,0))</f>
        <v/>
      </c>
      <c r="H526" s="83"/>
      <c r="I526" s="122" t="str">
        <f>VLOOKUP($C526&amp;$F526,'MARCH - VISIT DATA'!A:J, 9, FALSE)</f>
        <v>#N/A</v>
      </c>
      <c r="J526" s="85" t="str">
        <f>VLOOKUP(C526&amp;F526,'MARCH - VISIT DATA'!A:O,10,FALSE)</f>
        <v>#N/A</v>
      </c>
      <c r="K526" s="86"/>
      <c r="L526" s="86"/>
      <c r="M526" s="86"/>
      <c r="N526" s="86"/>
      <c r="O526" s="121" t="str">
        <f t="shared" si="2"/>
        <v>X</v>
      </c>
      <c r="P526" s="79" t="str">
        <f t="shared" si="3"/>
        <v>#N/A</v>
      </c>
      <c r="Q526" s="123" t="str">
        <f t="shared" si="4"/>
        <v>#N/A</v>
      </c>
      <c r="R526" s="124" t="str">
        <f t="shared" si="5"/>
        <v>#N/A</v>
      </c>
      <c r="S526" s="125" t="str">
        <f t="shared" si="6"/>
        <v>#N/A</v>
      </c>
      <c r="T526" s="125" t="str">
        <f t="shared" si="7"/>
        <v>#N/A</v>
      </c>
      <c r="U526" s="83">
        <f t="shared" si="8"/>
        <v>0</v>
      </c>
      <c r="V526" s="88" t="str">
        <f>ifs($N526="",VLOOKUP($C526&amp;$F526,'MARCH - VISIT DATA'!$A$2:$J600,7,FALSE), $N526="SWAB","OUTSA-RW",$N526="SWQU","OUTSA-SaQu", AND($L526="X",$M526="X",$N526="QUEST"),"OUT-UAQPre",$N526="QUEST","OUT-UAQ", $N526="Walk in","ColUATele")</f>
        <v>#N/A</v>
      </c>
      <c r="W526" s="70" t="str">
        <f t="shared" si="9"/>
        <v>#N/A</v>
      </c>
      <c r="X526" s="64" t="str">
        <f t="shared" si="10"/>
        <v/>
      </c>
      <c r="Y526" s="64" t="str">
        <f t="shared" si="11"/>
        <v/>
      </c>
      <c r="Z526" s="66" t="str">
        <f t="shared" si="12"/>
        <v> </v>
      </c>
      <c r="AA526" s="71"/>
    </row>
    <row r="527" ht="15.75" customHeight="1">
      <c r="A527" s="56" t="str">
        <f t="shared" si="1"/>
        <v/>
      </c>
      <c r="B527" s="56" t="str">
        <f>IFS($C527=FALSE,"",$C527,VLOOKUP($C527,'PATIENT DATA (072721)'!A:C, 2, 0))</f>
        <v/>
      </c>
      <c r="C527" s="57"/>
      <c r="D527" s="127" t="str">
        <f>IF(COUNTIF('PATIENT DATA (072721)'!A:A, C527)=0, "X","✓")</f>
        <v>X</v>
      </c>
      <c r="E527" s="79"/>
      <c r="F527" s="80"/>
      <c r="G527" s="81" t="str">
        <f>ifs($C527="","",$C527, VLOOKUP($C527&amp;$F527, 'MARCH - VISIT DATA'!A:O,3,0))</f>
        <v/>
      </c>
      <c r="H527" s="83"/>
      <c r="I527" s="122" t="str">
        <f>VLOOKUP($C527&amp;$F527,'MARCH - VISIT DATA'!A:J, 9, FALSE)</f>
        <v>#N/A</v>
      </c>
      <c r="J527" s="85" t="str">
        <f>VLOOKUP(C527&amp;F527,'MARCH - VISIT DATA'!A:O,10,FALSE)</f>
        <v>#N/A</v>
      </c>
      <c r="K527" s="86"/>
      <c r="L527" s="86"/>
      <c r="M527" s="86"/>
      <c r="N527" s="86"/>
      <c r="O527" s="121" t="str">
        <f t="shared" si="2"/>
        <v>X</v>
      </c>
      <c r="P527" s="79" t="str">
        <f t="shared" si="3"/>
        <v>#N/A</v>
      </c>
      <c r="Q527" s="123" t="str">
        <f t="shared" si="4"/>
        <v>#N/A</v>
      </c>
      <c r="R527" s="124" t="str">
        <f t="shared" si="5"/>
        <v>#N/A</v>
      </c>
      <c r="S527" s="125" t="str">
        <f t="shared" si="6"/>
        <v>#N/A</v>
      </c>
      <c r="T527" s="125" t="str">
        <f t="shared" si="7"/>
        <v>#N/A</v>
      </c>
      <c r="U527" s="83">
        <f t="shared" si="8"/>
        <v>0</v>
      </c>
      <c r="V527" s="88" t="str">
        <f>ifs($N527="",VLOOKUP($C527&amp;$F527,'MARCH - VISIT DATA'!$A$2:$J600,7,FALSE), $N527="SWAB","OUTSA-RW",$N527="SWQU","OUTSA-SaQu", AND($L527="X",$M527="X",$N527="QUEST"),"OUT-UAQPre",$N527="QUEST","OUT-UAQ", $N527="Walk in","ColUATele")</f>
        <v>#N/A</v>
      </c>
      <c r="W527" s="70" t="str">
        <f t="shared" si="9"/>
        <v>#N/A</v>
      </c>
      <c r="X527" s="64" t="str">
        <f t="shared" si="10"/>
        <v/>
      </c>
      <c r="Y527" s="64" t="str">
        <f t="shared" si="11"/>
        <v/>
      </c>
      <c r="Z527" s="66" t="str">
        <f t="shared" si="12"/>
        <v> </v>
      </c>
      <c r="AA527" s="71"/>
    </row>
    <row r="528" ht="15.75" customHeight="1">
      <c r="A528" s="56" t="str">
        <f t="shared" si="1"/>
        <v/>
      </c>
      <c r="B528" s="56" t="str">
        <f>IFS($C528=FALSE,"",$C528,VLOOKUP($C528,'PATIENT DATA (072721)'!A:C, 2, 0))</f>
        <v/>
      </c>
      <c r="C528" s="57"/>
      <c r="D528" s="127" t="str">
        <f>IF(COUNTIF('PATIENT DATA (072721)'!A:A, C528)=0, "X","✓")</f>
        <v>X</v>
      </c>
      <c r="E528" s="79"/>
      <c r="F528" s="80"/>
      <c r="G528" s="81" t="str">
        <f>ifs($C528="","",$C528, VLOOKUP($C528&amp;$F528, 'MARCH - VISIT DATA'!A:O,3,0))</f>
        <v/>
      </c>
      <c r="H528" s="83"/>
      <c r="I528" s="122" t="str">
        <f>VLOOKUP($C528&amp;$F528,'MARCH - VISIT DATA'!A:J, 9, FALSE)</f>
        <v>#N/A</v>
      </c>
      <c r="J528" s="85" t="str">
        <f>VLOOKUP(C528&amp;F528,'MARCH - VISIT DATA'!A:O,10,FALSE)</f>
        <v>#N/A</v>
      </c>
      <c r="K528" s="86"/>
      <c r="L528" s="86"/>
      <c r="M528" s="86"/>
      <c r="N528" s="86"/>
      <c r="O528" s="121" t="str">
        <f t="shared" si="2"/>
        <v>X</v>
      </c>
      <c r="P528" s="79" t="str">
        <f t="shared" si="3"/>
        <v>#N/A</v>
      </c>
      <c r="Q528" s="123" t="str">
        <f t="shared" si="4"/>
        <v>#N/A</v>
      </c>
      <c r="R528" s="124" t="str">
        <f t="shared" si="5"/>
        <v>#N/A</v>
      </c>
      <c r="S528" s="125" t="str">
        <f t="shared" si="6"/>
        <v>#N/A</v>
      </c>
      <c r="T528" s="125" t="str">
        <f t="shared" si="7"/>
        <v>#N/A</v>
      </c>
      <c r="U528" s="83">
        <f t="shared" si="8"/>
        <v>0</v>
      </c>
      <c r="V528" s="88" t="str">
        <f>ifs($N528="",VLOOKUP($C528&amp;$F528,'MARCH - VISIT DATA'!$A$2:$J600,7,FALSE), $N528="SWAB","OUTSA-RW",$N528="SWQU","OUTSA-SaQu", AND($L528="X",$M528="X",$N528="QUEST"),"OUT-UAQPre",$N528="QUEST","OUT-UAQ", $N528="Walk in","ColUATele")</f>
        <v>#N/A</v>
      </c>
      <c r="W528" s="70" t="str">
        <f t="shared" si="9"/>
        <v>#N/A</v>
      </c>
      <c r="X528" s="64" t="str">
        <f t="shared" si="10"/>
        <v/>
      </c>
      <c r="Y528" s="64" t="str">
        <f t="shared" si="11"/>
        <v/>
      </c>
      <c r="Z528" s="66" t="str">
        <f t="shared" si="12"/>
        <v> </v>
      </c>
      <c r="AA528" s="71"/>
    </row>
    <row r="529" ht="15.75" customHeight="1">
      <c r="A529" s="56" t="str">
        <f t="shared" si="1"/>
        <v/>
      </c>
      <c r="B529" s="56" t="str">
        <f>IFS($C529=FALSE,"",$C529,VLOOKUP($C529,'PATIENT DATA (072721)'!A:C, 2, 0))</f>
        <v/>
      </c>
      <c r="C529" s="57"/>
      <c r="D529" s="127" t="str">
        <f>IF(COUNTIF('PATIENT DATA (072721)'!A:A, C529)=0, "X","✓")</f>
        <v>X</v>
      </c>
      <c r="E529" s="79"/>
      <c r="F529" s="80"/>
      <c r="G529" s="81" t="str">
        <f>ifs($C529="","",$C529, VLOOKUP($C529&amp;$F529, 'MARCH - VISIT DATA'!A:O,3,0))</f>
        <v/>
      </c>
      <c r="H529" s="83"/>
      <c r="I529" s="122" t="str">
        <f>VLOOKUP($C529&amp;$F529,'MARCH - VISIT DATA'!A:J, 9, FALSE)</f>
        <v>#N/A</v>
      </c>
      <c r="J529" s="85" t="str">
        <f>VLOOKUP(C529&amp;F529,'MARCH - VISIT DATA'!A:O,10,FALSE)</f>
        <v>#N/A</v>
      </c>
      <c r="K529" s="86"/>
      <c r="L529" s="86"/>
      <c r="M529" s="86"/>
      <c r="N529" s="86"/>
      <c r="O529" s="121" t="str">
        <f t="shared" si="2"/>
        <v>X</v>
      </c>
      <c r="P529" s="79" t="str">
        <f t="shared" si="3"/>
        <v>#N/A</v>
      </c>
      <c r="Q529" s="123" t="str">
        <f t="shared" si="4"/>
        <v>#N/A</v>
      </c>
      <c r="R529" s="124" t="str">
        <f t="shared" si="5"/>
        <v>#N/A</v>
      </c>
      <c r="S529" s="125" t="str">
        <f t="shared" si="6"/>
        <v>#N/A</v>
      </c>
      <c r="T529" s="125" t="str">
        <f t="shared" si="7"/>
        <v>#N/A</v>
      </c>
      <c r="U529" s="83">
        <f t="shared" si="8"/>
        <v>0</v>
      </c>
      <c r="V529" s="88" t="str">
        <f>ifs($N529="",VLOOKUP($C529&amp;$F529,'MARCH - VISIT DATA'!$A$2:$J600,7,FALSE), $N529="SWAB","OUTSA-RW",$N529="SWQU","OUTSA-SaQu", AND($L529="X",$M529="X",$N529="QUEST"),"OUT-UAQPre",$N529="QUEST","OUT-UAQ", $N529="Walk in","ColUATele")</f>
        <v>#N/A</v>
      </c>
      <c r="W529" s="70" t="str">
        <f t="shared" si="9"/>
        <v>#N/A</v>
      </c>
      <c r="X529" s="64" t="str">
        <f t="shared" si="10"/>
        <v/>
      </c>
      <c r="Y529" s="64" t="str">
        <f t="shared" si="11"/>
        <v/>
      </c>
      <c r="Z529" s="66" t="str">
        <f t="shared" si="12"/>
        <v> </v>
      </c>
      <c r="AA529" s="71"/>
    </row>
    <row r="530" ht="15.75" customHeight="1">
      <c r="A530" s="56" t="str">
        <f t="shared" si="1"/>
        <v/>
      </c>
      <c r="B530" s="56" t="str">
        <f>IFS($C530=FALSE,"",$C530,VLOOKUP($C530,'PATIENT DATA (072721)'!A:C, 2, 0))</f>
        <v/>
      </c>
      <c r="C530" s="57"/>
      <c r="D530" s="127" t="str">
        <f>IF(COUNTIF('PATIENT DATA (072721)'!A:A, C530)=0, "X","✓")</f>
        <v>X</v>
      </c>
      <c r="E530" s="79"/>
      <c r="F530" s="80"/>
      <c r="G530" s="81" t="str">
        <f>ifs($C530="","",$C530, VLOOKUP($C530&amp;$F530, 'MARCH - VISIT DATA'!A:O,3,0))</f>
        <v/>
      </c>
      <c r="H530" s="83"/>
      <c r="I530" s="122" t="str">
        <f>VLOOKUP($C530&amp;$F530,'MARCH - VISIT DATA'!A:J, 9, FALSE)</f>
        <v>#N/A</v>
      </c>
      <c r="J530" s="85" t="str">
        <f>VLOOKUP(C530&amp;F530,'MARCH - VISIT DATA'!A:O,10,FALSE)</f>
        <v>#N/A</v>
      </c>
      <c r="K530" s="86"/>
      <c r="L530" s="86"/>
      <c r="M530" s="86"/>
      <c r="N530" s="86"/>
      <c r="O530" s="121" t="str">
        <f t="shared" si="2"/>
        <v>X</v>
      </c>
      <c r="P530" s="79" t="str">
        <f t="shared" si="3"/>
        <v>#N/A</v>
      </c>
      <c r="Q530" s="123" t="str">
        <f t="shared" si="4"/>
        <v>#N/A</v>
      </c>
      <c r="R530" s="124" t="str">
        <f t="shared" si="5"/>
        <v>#N/A</v>
      </c>
      <c r="S530" s="125" t="str">
        <f t="shared" si="6"/>
        <v>#N/A</v>
      </c>
      <c r="T530" s="125" t="str">
        <f t="shared" si="7"/>
        <v>#N/A</v>
      </c>
      <c r="U530" s="83">
        <f t="shared" si="8"/>
        <v>0</v>
      </c>
      <c r="V530" s="88" t="str">
        <f>ifs($N530="",VLOOKUP($C530&amp;$F530,'MARCH - VISIT DATA'!$A$2:$J600,7,FALSE), $N530="SWAB","OUTSA-RW",$N530="SWQU","OUTSA-SaQu", AND($L530="X",$M530="X",$N530="QUEST"),"OUT-UAQPre",$N530="QUEST","OUT-UAQ", $N530="Walk in","ColUATele")</f>
        <v>#N/A</v>
      </c>
      <c r="W530" s="70" t="str">
        <f t="shared" si="9"/>
        <v>#N/A</v>
      </c>
      <c r="X530" s="64" t="str">
        <f t="shared" si="10"/>
        <v/>
      </c>
      <c r="Y530" s="64" t="str">
        <f t="shared" si="11"/>
        <v/>
      </c>
      <c r="Z530" s="66" t="str">
        <f t="shared" si="12"/>
        <v> </v>
      </c>
      <c r="AA530" s="71"/>
    </row>
    <row r="531" ht="15.75" customHeight="1">
      <c r="A531" s="56" t="str">
        <f t="shared" si="1"/>
        <v/>
      </c>
      <c r="B531" s="56" t="str">
        <f>IFS($C531=FALSE,"",$C531,VLOOKUP($C531,'PATIENT DATA (072721)'!A:C, 2, 0))</f>
        <v/>
      </c>
      <c r="C531" s="57"/>
      <c r="D531" s="127" t="str">
        <f>IF(COUNTIF('PATIENT DATA (072721)'!A:A, C531)=0, "X","✓")</f>
        <v>X</v>
      </c>
      <c r="E531" s="79"/>
      <c r="F531" s="80"/>
      <c r="G531" s="81" t="str">
        <f>ifs($C531="","",$C531, VLOOKUP($C531&amp;$F531, 'MARCH - VISIT DATA'!A:O,3,0))</f>
        <v/>
      </c>
      <c r="H531" s="83"/>
      <c r="I531" s="122" t="str">
        <f>VLOOKUP($C531&amp;$F531,'MARCH - VISIT DATA'!A:J, 9, FALSE)</f>
        <v>#N/A</v>
      </c>
      <c r="J531" s="85" t="str">
        <f>VLOOKUP(C531&amp;F531,'MARCH - VISIT DATA'!A:O,10,FALSE)</f>
        <v>#N/A</v>
      </c>
      <c r="K531" s="86"/>
      <c r="L531" s="86"/>
      <c r="M531" s="86"/>
      <c r="N531" s="86"/>
      <c r="O531" s="121" t="str">
        <f t="shared" si="2"/>
        <v>X</v>
      </c>
      <c r="P531" s="79" t="str">
        <f t="shared" si="3"/>
        <v>#N/A</v>
      </c>
      <c r="Q531" s="123" t="str">
        <f t="shared" si="4"/>
        <v>#N/A</v>
      </c>
      <c r="R531" s="124" t="str">
        <f t="shared" si="5"/>
        <v>#N/A</v>
      </c>
      <c r="S531" s="125" t="str">
        <f t="shared" si="6"/>
        <v>#N/A</v>
      </c>
      <c r="T531" s="125" t="str">
        <f t="shared" si="7"/>
        <v>#N/A</v>
      </c>
      <c r="U531" s="83">
        <f t="shared" si="8"/>
        <v>0</v>
      </c>
      <c r="V531" s="88" t="str">
        <f>ifs($N531="",VLOOKUP($C531&amp;$F531,'MARCH - VISIT DATA'!$A$2:$J600,7,FALSE), $N531="SWAB","OUTSA-RW",$N531="SWQU","OUTSA-SaQu", AND($L531="X",$M531="X",$N531="QUEST"),"OUT-UAQPre",$N531="QUEST","OUT-UAQ", $N531="Walk in","ColUATele")</f>
        <v>#N/A</v>
      </c>
      <c r="W531" s="70" t="str">
        <f t="shared" si="9"/>
        <v>#N/A</v>
      </c>
      <c r="X531" s="64" t="str">
        <f t="shared" si="10"/>
        <v/>
      </c>
      <c r="Y531" s="64" t="str">
        <f t="shared" si="11"/>
        <v/>
      </c>
      <c r="Z531" s="66" t="str">
        <f t="shared" si="12"/>
        <v> </v>
      </c>
      <c r="AA531" s="71"/>
    </row>
    <row r="532" ht="15.75" customHeight="1">
      <c r="A532" s="56" t="str">
        <f t="shared" si="1"/>
        <v/>
      </c>
      <c r="B532" s="56" t="str">
        <f>IFS($C532=FALSE,"",$C532,VLOOKUP($C532,'PATIENT DATA (072721)'!A:C, 2, 0))</f>
        <v/>
      </c>
      <c r="C532" s="57"/>
      <c r="D532" s="127" t="str">
        <f>IF(COUNTIF('PATIENT DATA (072721)'!A:A, C532)=0, "X","✓")</f>
        <v>X</v>
      </c>
      <c r="E532" s="79"/>
      <c r="F532" s="80"/>
      <c r="G532" s="81" t="str">
        <f>ifs($C532="","",$C532, VLOOKUP($C532&amp;$F532, 'MARCH - VISIT DATA'!A:O,3,0))</f>
        <v/>
      </c>
      <c r="H532" s="83"/>
      <c r="I532" s="122" t="str">
        <f>VLOOKUP($C532&amp;$F532,'MARCH - VISIT DATA'!A:J, 9, FALSE)</f>
        <v>#N/A</v>
      </c>
      <c r="J532" s="85" t="str">
        <f>VLOOKUP(C532&amp;F532,'MARCH - VISIT DATA'!A:O,10,FALSE)</f>
        <v>#N/A</v>
      </c>
      <c r="K532" s="86"/>
      <c r="L532" s="86"/>
      <c r="M532" s="86"/>
      <c r="N532" s="86"/>
      <c r="O532" s="121" t="str">
        <f t="shared" si="2"/>
        <v>X</v>
      </c>
      <c r="P532" s="79" t="str">
        <f t="shared" si="3"/>
        <v>#N/A</v>
      </c>
      <c r="Q532" s="123" t="str">
        <f t="shared" si="4"/>
        <v>#N/A</v>
      </c>
      <c r="R532" s="124" t="str">
        <f t="shared" si="5"/>
        <v>#N/A</v>
      </c>
      <c r="S532" s="125" t="str">
        <f t="shared" si="6"/>
        <v>#N/A</v>
      </c>
      <c r="T532" s="125" t="str">
        <f t="shared" si="7"/>
        <v>#N/A</v>
      </c>
      <c r="U532" s="83">
        <f t="shared" si="8"/>
        <v>0</v>
      </c>
      <c r="V532" s="88" t="str">
        <f>ifs($N532="",VLOOKUP($C532&amp;$F532,'MARCH - VISIT DATA'!$A$2:$J600,7,FALSE), $N532="SWAB","OUTSA-RW",$N532="SWQU","OUTSA-SaQu", AND($L532="X",$M532="X",$N532="QUEST"),"OUT-UAQPre",$N532="QUEST","OUT-UAQ", $N532="Walk in","ColUATele")</f>
        <v>#N/A</v>
      </c>
      <c r="W532" s="70" t="str">
        <f t="shared" si="9"/>
        <v>#N/A</v>
      </c>
      <c r="X532" s="64" t="str">
        <f t="shared" si="10"/>
        <v/>
      </c>
      <c r="Y532" s="64" t="str">
        <f t="shared" si="11"/>
        <v/>
      </c>
      <c r="Z532" s="66" t="str">
        <f t="shared" si="12"/>
        <v> </v>
      </c>
      <c r="AA532" s="71"/>
    </row>
    <row r="533" ht="15.75" customHeight="1">
      <c r="A533" s="56" t="str">
        <f t="shared" si="1"/>
        <v/>
      </c>
      <c r="B533" s="56" t="str">
        <f>IFS($C533=FALSE,"",$C533,VLOOKUP($C533,'PATIENT DATA (072721)'!A:C, 2, 0))</f>
        <v/>
      </c>
      <c r="C533" s="57"/>
      <c r="D533" s="127" t="str">
        <f>IF(COUNTIF('PATIENT DATA (072721)'!A:A, C533)=0, "X","✓")</f>
        <v>X</v>
      </c>
      <c r="E533" s="79"/>
      <c r="F533" s="80"/>
      <c r="G533" s="81" t="str">
        <f>ifs($C533="","",$C533, VLOOKUP($C533&amp;$F533, 'MARCH - VISIT DATA'!A:O,3,0))</f>
        <v/>
      </c>
      <c r="H533" s="83"/>
      <c r="I533" s="122" t="str">
        <f>VLOOKUP($C533&amp;$F533,'MARCH - VISIT DATA'!A:J, 9, FALSE)</f>
        <v>#N/A</v>
      </c>
      <c r="J533" s="85" t="str">
        <f>VLOOKUP(C533&amp;F533,'MARCH - VISIT DATA'!A:O,10,FALSE)</f>
        <v>#N/A</v>
      </c>
      <c r="K533" s="86"/>
      <c r="L533" s="86"/>
      <c r="M533" s="86"/>
      <c r="N533" s="86"/>
      <c r="O533" s="121" t="str">
        <f t="shared" si="2"/>
        <v>X</v>
      </c>
      <c r="P533" s="79" t="str">
        <f t="shared" si="3"/>
        <v>#N/A</v>
      </c>
      <c r="Q533" s="123" t="str">
        <f t="shared" si="4"/>
        <v>#N/A</v>
      </c>
      <c r="R533" s="124" t="str">
        <f t="shared" si="5"/>
        <v>#N/A</v>
      </c>
      <c r="S533" s="125" t="str">
        <f t="shared" si="6"/>
        <v>#N/A</v>
      </c>
      <c r="T533" s="125" t="str">
        <f t="shared" si="7"/>
        <v>#N/A</v>
      </c>
      <c r="U533" s="83">
        <f t="shared" si="8"/>
        <v>0</v>
      </c>
      <c r="V533" s="88" t="str">
        <f>ifs($N533="",VLOOKUP($C533&amp;$F533,'MARCH - VISIT DATA'!$A$2:$J600,7,FALSE), $N533="SWAB","OUTSA-RW",$N533="SWQU","OUTSA-SaQu", AND($L533="X",$M533="X",$N533="QUEST"),"OUT-UAQPre",$N533="QUEST","OUT-UAQ", $N533="Walk in","ColUATele")</f>
        <v>#N/A</v>
      </c>
      <c r="W533" s="70" t="str">
        <f t="shared" si="9"/>
        <v>#N/A</v>
      </c>
      <c r="X533" s="64" t="str">
        <f t="shared" si="10"/>
        <v/>
      </c>
      <c r="Y533" s="64" t="str">
        <f t="shared" si="11"/>
        <v/>
      </c>
      <c r="Z533" s="66" t="str">
        <f t="shared" si="12"/>
        <v> </v>
      </c>
      <c r="AA533" s="71"/>
    </row>
    <row r="534" ht="15.75" customHeight="1">
      <c r="A534" s="56" t="str">
        <f t="shared" si="1"/>
        <v/>
      </c>
      <c r="B534" s="56" t="str">
        <f>IFS($C534=FALSE,"",$C534,VLOOKUP($C534,'PATIENT DATA (072721)'!A:C, 2, 0))</f>
        <v/>
      </c>
      <c r="C534" s="57"/>
      <c r="D534" s="127" t="str">
        <f>IF(COUNTIF('PATIENT DATA (072721)'!A:A, C534)=0, "X","✓")</f>
        <v>X</v>
      </c>
      <c r="E534" s="79"/>
      <c r="F534" s="80"/>
      <c r="G534" s="81" t="str">
        <f>ifs($C534="","",$C534, VLOOKUP($C534&amp;$F534, 'MARCH - VISIT DATA'!A:O,3,0))</f>
        <v/>
      </c>
      <c r="H534" s="83"/>
      <c r="I534" s="122" t="str">
        <f>VLOOKUP($C534&amp;$F534,'MARCH - VISIT DATA'!A:J, 9, FALSE)</f>
        <v>#N/A</v>
      </c>
      <c r="J534" s="85" t="str">
        <f>VLOOKUP(C534&amp;F534,'MARCH - VISIT DATA'!A:O,10,FALSE)</f>
        <v>#N/A</v>
      </c>
      <c r="K534" s="86"/>
      <c r="L534" s="86"/>
      <c r="M534" s="86"/>
      <c r="N534" s="86"/>
      <c r="O534" s="121" t="str">
        <f t="shared" si="2"/>
        <v>X</v>
      </c>
      <c r="P534" s="79" t="str">
        <f t="shared" si="3"/>
        <v>#N/A</v>
      </c>
      <c r="Q534" s="123" t="str">
        <f t="shared" si="4"/>
        <v>#N/A</v>
      </c>
      <c r="R534" s="124" t="str">
        <f t="shared" si="5"/>
        <v>#N/A</v>
      </c>
      <c r="S534" s="125" t="str">
        <f t="shared" si="6"/>
        <v>#N/A</v>
      </c>
      <c r="T534" s="125" t="str">
        <f t="shared" si="7"/>
        <v>#N/A</v>
      </c>
      <c r="U534" s="83">
        <f t="shared" si="8"/>
        <v>0</v>
      </c>
      <c r="V534" s="88" t="str">
        <f>ifs($N534="",VLOOKUP($C534&amp;$F534,'MARCH - VISIT DATA'!$A$2:$J600,7,FALSE), $N534="SWAB","OUTSA-RW",$N534="SWQU","OUTSA-SaQu", AND($L534="X",$M534="X",$N534="QUEST"),"OUT-UAQPre",$N534="QUEST","OUT-UAQ", $N534="Walk in","ColUATele")</f>
        <v>#N/A</v>
      </c>
      <c r="W534" s="70" t="str">
        <f t="shared" si="9"/>
        <v>#N/A</v>
      </c>
      <c r="X534" s="64" t="str">
        <f t="shared" si="10"/>
        <v/>
      </c>
      <c r="Y534" s="64" t="str">
        <f t="shared" si="11"/>
        <v/>
      </c>
      <c r="Z534" s="66" t="str">
        <f t="shared" si="12"/>
        <v> </v>
      </c>
      <c r="AA534" s="71"/>
    </row>
    <row r="535" ht="15.75" customHeight="1">
      <c r="A535" s="56" t="str">
        <f t="shared" si="1"/>
        <v/>
      </c>
      <c r="B535" s="56" t="str">
        <f>IFS($C535=FALSE,"",$C535,VLOOKUP($C535,'PATIENT DATA (072721)'!A:C, 2, 0))</f>
        <v/>
      </c>
      <c r="C535" s="57"/>
      <c r="D535" s="127" t="str">
        <f>IF(COUNTIF('PATIENT DATA (072721)'!A:A, C535)=0, "X","✓")</f>
        <v>X</v>
      </c>
      <c r="E535" s="79"/>
      <c r="F535" s="80"/>
      <c r="G535" s="81" t="str">
        <f>ifs($C535="","",$C535, VLOOKUP($C535&amp;$F535, 'MARCH - VISIT DATA'!A:O,3,0))</f>
        <v/>
      </c>
      <c r="H535" s="83"/>
      <c r="I535" s="122" t="str">
        <f>VLOOKUP($C535&amp;$F535,'MARCH - VISIT DATA'!A:J, 9, FALSE)</f>
        <v>#N/A</v>
      </c>
      <c r="J535" s="85" t="str">
        <f>VLOOKUP(C535&amp;F535,'MARCH - VISIT DATA'!A:O,10,FALSE)</f>
        <v>#N/A</v>
      </c>
      <c r="K535" s="86"/>
      <c r="L535" s="86"/>
      <c r="M535" s="86"/>
      <c r="N535" s="86"/>
      <c r="O535" s="121" t="str">
        <f t="shared" si="2"/>
        <v>X</v>
      </c>
      <c r="P535" s="79" t="str">
        <f t="shared" si="3"/>
        <v>#N/A</v>
      </c>
      <c r="Q535" s="123" t="str">
        <f t="shared" si="4"/>
        <v>#N/A</v>
      </c>
      <c r="R535" s="124" t="str">
        <f t="shared" si="5"/>
        <v>#N/A</v>
      </c>
      <c r="S535" s="125" t="str">
        <f t="shared" si="6"/>
        <v>#N/A</v>
      </c>
      <c r="T535" s="125" t="str">
        <f t="shared" si="7"/>
        <v>#N/A</v>
      </c>
      <c r="U535" s="83">
        <f t="shared" si="8"/>
        <v>0</v>
      </c>
      <c r="V535" s="88" t="str">
        <f>ifs($N535="",VLOOKUP($C535&amp;$F535,'MARCH - VISIT DATA'!$A$2:$J600,7,FALSE), $N535="SWAB","OUTSA-RW",$N535="SWQU","OUTSA-SaQu", AND($L535="X",$M535="X",$N535="QUEST"),"OUT-UAQPre",$N535="QUEST","OUT-UAQ", $N535="Walk in","ColUATele")</f>
        <v>#N/A</v>
      </c>
      <c r="W535" s="70" t="str">
        <f t="shared" si="9"/>
        <v>#N/A</v>
      </c>
      <c r="X535" s="64" t="str">
        <f t="shared" si="10"/>
        <v/>
      </c>
      <c r="Y535" s="64" t="str">
        <f t="shared" si="11"/>
        <v/>
      </c>
      <c r="Z535" s="66" t="str">
        <f t="shared" si="12"/>
        <v> </v>
      </c>
      <c r="AA535" s="71"/>
    </row>
    <row r="536" ht="15.75" customHeight="1">
      <c r="A536" s="56" t="str">
        <f t="shared" si="1"/>
        <v/>
      </c>
      <c r="B536" s="56" t="str">
        <f>IFS($C536=FALSE,"",$C536,VLOOKUP($C536,'PATIENT DATA (072721)'!A:C, 2, 0))</f>
        <v/>
      </c>
      <c r="C536" s="57"/>
      <c r="D536" s="127" t="str">
        <f>IF(COUNTIF('PATIENT DATA (072721)'!A:A, C536)=0, "X","✓")</f>
        <v>X</v>
      </c>
      <c r="E536" s="79"/>
      <c r="F536" s="80"/>
      <c r="G536" s="81" t="str">
        <f>ifs($C536="","",$C536, VLOOKUP($C536&amp;$F536, 'MARCH - VISIT DATA'!A:O,3,0))</f>
        <v/>
      </c>
      <c r="H536" s="83"/>
      <c r="I536" s="122" t="str">
        <f>VLOOKUP($C536&amp;$F536,'MARCH - VISIT DATA'!A:J, 9, FALSE)</f>
        <v>#N/A</v>
      </c>
      <c r="J536" s="85" t="str">
        <f>VLOOKUP(C536&amp;F536,'MARCH - VISIT DATA'!A:O,10,FALSE)</f>
        <v>#N/A</v>
      </c>
      <c r="K536" s="86"/>
      <c r="L536" s="86"/>
      <c r="M536" s="86"/>
      <c r="N536" s="86"/>
      <c r="O536" s="121" t="str">
        <f t="shared" si="2"/>
        <v>X</v>
      </c>
      <c r="P536" s="79" t="str">
        <f t="shared" si="3"/>
        <v>#N/A</v>
      </c>
      <c r="Q536" s="123" t="str">
        <f t="shared" si="4"/>
        <v>#N/A</v>
      </c>
      <c r="R536" s="124" t="str">
        <f t="shared" si="5"/>
        <v>#N/A</v>
      </c>
      <c r="S536" s="125" t="str">
        <f t="shared" si="6"/>
        <v>#N/A</v>
      </c>
      <c r="T536" s="125" t="str">
        <f t="shared" si="7"/>
        <v>#N/A</v>
      </c>
      <c r="U536" s="83">
        <f t="shared" si="8"/>
        <v>0</v>
      </c>
      <c r="V536" s="88" t="str">
        <f>ifs($N536="",VLOOKUP($C536&amp;$F536,'MARCH - VISIT DATA'!$A$2:$J600,7,FALSE), $N536="SWAB","OUTSA-RW",$N536="SWQU","OUTSA-SaQu", AND($L536="X",$M536="X",$N536="QUEST"),"OUT-UAQPre",$N536="QUEST","OUT-UAQ", $N536="Walk in","ColUATele")</f>
        <v>#N/A</v>
      </c>
      <c r="W536" s="70" t="str">
        <f t="shared" si="9"/>
        <v>#N/A</v>
      </c>
      <c r="X536" s="64" t="str">
        <f t="shared" si="10"/>
        <v/>
      </c>
      <c r="Y536" s="64" t="str">
        <f t="shared" si="11"/>
        <v/>
      </c>
      <c r="Z536" s="66" t="str">
        <f t="shared" si="12"/>
        <v> </v>
      </c>
      <c r="AA536" s="71"/>
    </row>
    <row r="537" ht="15.75" customHeight="1">
      <c r="A537" s="56" t="str">
        <f t="shared" si="1"/>
        <v/>
      </c>
      <c r="B537" s="56" t="str">
        <f>IFS($C537=FALSE,"",$C537,VLOOKUP($C537,'PATIENT DATA (072721)'!A:C, 2, 0))</f>
        <v/>
      </c>
      <c r="C537" s="57"/>
      <c r="D537" s="127" t="str">
        <f>IF(COUNTIF('PATIENT DATA (072721)'!A:A, C537)=0, "X","✓")</f>
        <v>X</v>
      </c>
      <c r="E537" s="79"/>
      <c r="F537" s="80"/>
      <c r="G537" s="81" t="str">
        <f>ifs($C537="","",$C537, VLOOKUP($C537&amp;$F537, 'MARCH - VISIT DATA'!A:O,3,0))</f>
        <v/>
      </c>
      <c r="H537" s="83"/>
      <c r="I537" s="122" t="str">
        <f>VLOOKUP($C537&amp;$F537,'MARCH - VISIT DATA'!A:J, 9, FALSE)</f>
        <v>#N/A</v>
      </c>
      <c r="J537" s="85" t="str">
        <f>VLOOKUP(C537&amp;F537,'MARCH - VISIT DATA'!A:O,10,FALSE)</f>
        <v>#N/A</v>
      </c>
      <c r="K537" s="86"/>
      <c r="L537" s="86"/>
      <c r="M537" s="86"/>
      <c r="N537" s="86"/>
      <c r="O537" s="121" t="str">
        <f t="shared" si="2"/>
        <v>X</v>
      </c>
      <c r="P537" s="79" t="str">
        <f t="shared" si="3"/>
        <v>#N/A</v>
      </c>
      <c r="Q537" s="123" t="str">
        <f t="shared" si="4"/>
        <v>#N/A</v>
      </c>
      <c r="R537" s="124" t="str">
        <f t="shared" si="5"/>
        <v>#N/A</v>
      </c>
      <c r="S537" s="125" t="str">
        <f t="shared" si="6"/>
        <v>#N/A</v>
      </c>
      <c r="T537" s="125" t="str">
        <f t="shared" si="7"/>
        <v>#N/A</v>
      </c>
      <c r="U537" s="83">
        <f t="shared" si="8"/>
        <v>0</v>
      </c>
      <c r="V537" s="88" t="str">
        <f>ifs($N537="",VLOOKUP($C537&amp;$F537,'MARCH - VISIT DATA'!$A$2:$J600,7,FALSE), $N537="SWAB","OUTSA-RW",$N537="SWQU","OUTSA-SaQu", AND($L537="X",$M537="X",$N537="QUEST"),"OUT-UAQPre",$N537="QUEST","OUT-UAQ", $N537="Walk in","ColUATele")</f>
        <v>#N/A</v>
      </c>
      <c r="W537" s="70" t="str">
        <f t="shared" si="9"/>
        <v>#N/A</v>
      </c>
      <c r="X537" s="64" t="str">
        <f t="shared" si="10"/>
        <v/>
      </c>
      <c r="Y537" s="64" t="str">
        <f t="shared" si="11"/>
        <v/>
      </c>
      <c r="Z537" s="66" t="str">
        <f t="shared" si="12"/>
        <v> </v>
      </c>
      <c r="AA537" s="71"/>
    </row>
    <row r="538" ht="15.75" customHeight="1">
      <c r="A538" s="56" t="str">
        <f t="shared" si="1"/>
        <v/>
      </c>
      <c r="B538" s="56" t="str">
        <f>IFS($C538=FALSE,"",$C538,VLOOKUP($C538,'PATIENT DATA (072721)'!A:C, 2, 0))</f>
        <v/>
      </c>
      <c r="C538" s="57"/>
      <c r="D538" s="127" t="str">
        <f>IF(COUNTIF('PATIENT DATA (072721)'!A:A, C538)=0, "X","✓")</f>
        <v>X</v>
      </c>
      <c r="E538" s="79"/>
      <c r="F538" s="80"/>
      <c r="G538" s="81" t="str">
        <f>ifs($C538="","",$C538, VLOOKUP($C538&amp;$F538, 'MARCH - VISIT DATA'!A:O,3,0))</f>
        <v/>
      </c>
      <c r="H538" s="83"/>
      <c r="I538" s="122" t="str">
        <f>VLOOKUP($C538&amp;$F538,'MARCH - VISIT DATA'!A:J, 9, FALSE)</f>
        <v>#N/A</v>
      </c>
      <c r="J538" s="85" t="str">
        <f>VLOOKUP(C538&amp;F538,'MARCH - VISIT DATA'!A:O,10,FALSE)</f>
        <v>#N/A</v>
      </c>
      <c r="K538" s="86"/>
      <c r="L538" s="86"/>
      <c r="M538" s="86"/>
      <c r="N538" s="86"/>
      <c r="O538" s="121" t="str">
        <f t="shared" si="2"/>
        <v>X</v>
      </c>
      <c r="P538" s="79" t="str">
        <f t="shared" si="3"/>
        <v>#N/A</v>
      </c>
      <c r="Q538" s="123" t="str">
        <f t="shared" si="4"/>
        <v>#N/A</v>
      </c>
      <c r="R538" s="124" t="str">
        <f t="shared" si="5"/>
        <v>#N/A</v>
      </c>
      <c r="S538" s="125" t="str">
        <f t="shared" si="6"/>
        <v>#N/A</v>
      </c>
      <c r="T538" s="125" t="str">
        <f t="shared" si="7"/>
        <v>#N/A</v>
      </c>
      <c r="U538" s="83">
        <f t="shared" si="8"/>
        <v>0</v>
      </c>
      <c r="V538" s="88" t="str">
        <f>ifs($N538="",VLOOKUP($C538&amp;$F538,'MARCH - VISIT DATA'!$A$2:$J600,7,FALSE), $N538="SWAB","OUTSA-RW",$N538="SWQU","OUTSA-SaQu", AND($L538="X",$M538="X",$N538="QUEST"),"OUT-UAQPre",$N538="QUEST","OUT-UAQ", $N538="Walk in","ColUATele")</f>
        <v>#N/A</v>
      </c>
      <c r="W538" s="70" t="str">
        <f t="shared" si="9"/>
        <v>#N/A</v>
      </c>
      <c r="X538" s="64" t="str">
        <f t="shared" si="10"/>
        <v/>
      </c>
      <c r="Y538" s="64" t="str">
        <f t="shared" si="11"/>
        <v/>
      </c>
      <c r="Z538" s="66" t="str">
        <f t="shared" si="12"/>
        <v> </v>
      </c>
      <c r="AA538" s="71"/>
    </row>
    <row r="539" ht="15.75" customHeight="1">
      <c r="A539" s="56" t="str">
        <f t="shared" si="1"/>
        <v/>
      </c>
      <c r="B539" s="56" t="str">
        <f>IFS($C539=FALSE,"",$C539,VLOOKUP($C539,'PATIENT DATA (072721)'!A:C, 2, 0))</f>
        <v/>
      </c>
      <c r="C539" s="57"/>
      <c r="D539" s="127" t="str">
        <f>IF(COUNTIF('PATIENT DATA (072721)'!A:A, C539)=0, "X","✓")</f>
        <v>X</v>
      </c>
      <c r="E539" s="79"/>
      <c r="F539" s="80"/>
      <c r="G539" s="81" t="str">
        <f>ifs($C539="","",$C539, VLOOKUP($C539&amp;$F539, 'MARCH - VISIT DATA'!A:O,3,0))</f>
        <v/>
      </c>
      <c r="H539" s="83"/>
      <c r="I539" s="122" t="str">
        <f>VLOOKUP($C539&amp;$F539,'MARCH - VISIT DATA'!A:J, 9, FALSE)</f>
        <v>#N/A</v>
      </c>
      <c r="J539" s="85" t="str">
        <f>VLOOKUP(C539&amp;F539,'MARCH - VISIT DATA'!A:O,10,FALSE)</f>
        <v>#N/A</v>
      </c>
      <c r="K539" s="86"/>
      <c r="L539" s="86"/>
      <c r="M539" s="86"/>
      <c r="N539" s="86"/>
      <c r="O539" s="121" t="str">
        <f t="shared" si="2"/>
        <v>X</v>
      </c>
      <c r="P539" s="79" t="str">
        <f t="shared" si="3"/>
        <v>#N/A</v>
      </c>
      <c r="Q539" s="123" t="str">
        <f t="shared" si="4"/>
        <v>#N/A</v>
      </c>
      <c r="R539" s="124" t="str">
        <f t="shared" si="5"/>
        <v>#N/A</v>
      </c>
      <c r="S539" s="125" t="str">
        <f t="shared" si="6"/>
        <v>#N/A</v>
      </c>
      <c r="T539" s="125" t="str">
        <f t="shared" si="7"/>
        <v>#N/A</v>
      </c>
      <c r="U539" s="83">
        <f t="shared" si="8"/>
        <v>0</v>
      </c>
      <c r="V539" s="88" t="str">
        <f>ifs($N539="",VLOOKUP($C539&amp;$F539,'MARCH - VISIT DATA'!$A$2:$J600,7,FALSE), $N539="SWAB","OUTSA-RW",$N539="SWQU","OUTSA-SaQu", AND($L539="X",$M539="X",$N539="QUEST"),"OUT-UAQPre",$N539="QUEST","OUT-UAQ", $N539="Walk in","ColUATele")</f>
        <v>#N/A</v>
      </c>
      <c r="W539" s="70" t="str">
        <f t="shared" si="9"/>
        <v>#N/A</v>
      </c>
      <c r="X539" s="64" t="str">
        <f t="shared" si="10"/>
        <v/>
      </c>
      <c r="Y539" s="64" t="str">
        <f t="shared" si="11"/>
        <v/>
      </c>
      <c r="Z539" s="66" t="str">
        <f t="shared" si="12"/>
        <v> </v>
      </c>
      <c r="AA539" s="71"/>
    </row>
    <row r="540" ht="15.75" customHeight="1">
      <c r="A540" s="56" t="str">
        <f t="shared" si="1"/>
        <v/>
      </c>
      <c r="B540" s="56" t="str">
        <f>IFS($C540=FALSE,"",$C540,VLOOKUP($C540,'PATIENT DATA (072721)'!A:C, 2, 0))</f>
        <v/>
      </c>
      <c r="C540" s="57"/>
      <c r="D540" s="127" t="str">
        <f>IF(COUNTIF('PATIENT DATA (072721)'!A:A, C540)=0, "X","✓")</f>
        <v>X</v>
      </c>
      <c r="E540" s="79"/>
      <c r="F540" s="80"/>
      <c r="G540" s="81" t="str">
        <f>ifs($C540="","",$C540, VLOOKUP($C540&amp;$F540, 'MARCH - VISIT DATA'!A:O,3,0))</f>
        <v/>
      </c>
      <c r="H540" s="83"/>
      <c r="I540" s="122" t="str">
        <f>VLOOKUP($C540&amp;$F540,'MARCH - VISIT DATA'!A:J, 9, FALSE)</f>
        <v>#N/A</v>
      </c>
      <c r="J540" s="85" t="str">
        <f>VLOOKUP(C540&amp;F540,'MARCH - VISIT DATA'!A:O,10,FALSE)</f>
        <v>#N/A</v>
      </c>
      <c r="K540" s="86"/>
      <c r="L540" s="86"/>
      <c r="M540" s="86"/>
      <c r="N540" s="86"/>
      <c r="O540" s="121" t="str">
        <f t="shared" si="2"/>
        <v>X</v>
      </c>
      <c r="P540" s="79" t="str">
        <f t="shared" si="3"/>
        <v>#N/A</v>
      </c>
      <c r="Q540" s="123" t="str">
        <f t="shared" si="4"/>
        <v>#N/A</v>
      </c>
      <c r="R540" s="124" t="str">
        <f t="shared" si="5"/>
        <v>#N/A</v>
      </c>
      <c r="S540" s="125" t="str">
        <f t="shared" si="6"/>
        <v>#N/A</v>
      </c>
      <c r="T540" s="125" t="str">
        <f t="shared" si="7"/>
        <v>#N/A</v>
      </c>
      <c r="U540" s="83">
        <f t="shared" si="8"/>
        <v>0</v>
      </c>
      <c r="V540" s="88" t="str">
        <f>ifs($N540="",VLOOKUP($C540&amp;$F540,'MARCH - VISIT DATA'!$A$2:$J600,7,FALSE), $N540="SWAB","OUTSA-RW",$N540="SWQU","OUTSA-SaQu", AND($L540="X",$M540="X",$N540="QUEST"),"OUT-UAQPre",$N540="QUEST","OUT-UAQ", $N540="Walk in","ColUATele")</f>
        <v>#N/A</v>
      </c>
      <c r="W540" s="70" t="str">
        <f t="shared" si="9"/>
        <v>#N/A</v>
      </c>
      <c r="X540" s="64" t="str">
        <f t="shared" si="10"/>
        <v/>
      </c>
      <c r="Y540" s="64" t="str">
        <f t="shared" si="11"/>
        <v/>
      </c>
      <c r="Z540" s="66" t="str">
        <f t="shared" si="12"/>
        <v> </v>
      </c>
      <c r="AA540" s="71"/>
    </row>
    <row r="541" ht="15.75" customHeight="1">
      <c r="A541" s="56" t="str">
        <f t="shared" si="1"/>
        <v/>
      </c>
      <c r="B541" s="56" t="str">
        <f>IFS($C541=FALSE,"",$C541,VLOOKUP($C541,'PATIENT DATA (072721)'!A:C, 2, 0))</f>
        <v/>
      </c>
      <c r="C541" s="57"/>
      <c r="D541" s="127" t="str">
        <f>IF(COUNTIF('PATIENT DATA (072721)'!A:A, C541)=0, "X","✓")</f>
        <v>X</v>
      </c>
      <c r="E541" s="79"/>
      <c r="F541" s="80"/>
      <c r="G541" s="81" t="str">
        <f>ifs($C541="","",$C541, VLOOKUP($C541&amp;$F541, 'MARCH - VISIT DATA'!A:O,3,0))</f>
        <v/>
      </c>
      <c r="H541" s="83"/>
      <c r="I541" s="122" t="str">
        <f>VLOOKUP($C541&amp;$F541,'MARCH - VISIT DATA'!A:J, 9, FALSE)</f>
        <v>#N/A</v>
      </c>
      <c r="J541" s="85" t="str">
        <f>VLOOKUP(C541&amp;F541,'MARCH - VISIT DATA'!A:O,10,FALSE)</f>
        <v>#N/A</v>
      </c>
      <c r="K541" s="86"/>
      <c r="L541" s="86"/>
      <c r="M541" s="86"/>
      <c r="N541" s="86"/>
      <c r="O541" s="121" t="str">
        <f t="shared" si="2"/>
        <v>X</v>
      </c>
      <c r="P541" s="79" t="str">
        <f t="shared" si="3"/>
        <v>#N/A</v>
      </c>
      <c r="Q541" s="123" t="str">
        <f t="shared" si="4"/>
        <v>#N/A</v>
      </c>
      <c r="R541" s="124" t="str">
        <f t="shared" si="5"/>
        <v>#N/A</v>
      </c>
      <c r="S541" s="125" t="str">
        <f t="shared" si="6"/>
        <v>#N/A</v>
      </c>
      <c r="T541" s="125" t="str">
        <f t="shared" si="7"/>
        <v>#N/A</v>
      </c>
      <c r="U541" s="83">
        <f t="shared" si="8"/>
        <v>0</v>
      </c>
      <c r="V541" s="88" t="str">
        <f>ifs($N541="",VLOOKUP($C541&amp;$F541,'MARCH - VISIT DATA'!$A$2:$J600,7,FALSE), $N541="SWAB","OUTSA-RW",$N541="SWQU","OUTSA-SaQu", AND($L541="X",$M541="X",$N541="QUEST"),"OUT-UAQPre",$N541="QUEST","OUT-UAQ", $N541="Walk in","ColUATele")</f>
        <v>#N/A</v>
      </c>
      <c r="W541" s="70" t="str">
        <f t="shared" si="9"/>
        <v>#N/A</v>
      </c>
      <c r="X541" s="64" t="str">
        <f t="shared" si="10"/>
        <v/>
      </c>
      <c r="Y541" s="64" t="str">
        <f t="shared" si="11"/>
        <v/>
      </c>
      <c r="Z541" s="66" t="str">
        <f t="shared" si="12"/>
        <v> </v>
      </c>
      <c r="AA541" s="71"/>
    </row>
    <row r="542" ht="15.75" customHeight="1">
      <c r="A542" s="56" t="str">
        <f t="shared" si="1"/>
        <v/>
      </c>
      <c r="B542" s="56" t="str">
        <f>IFS($C542=FALSE,"",$C542,VLOOKUP($C542,'PATIENT DATA (072721)'!A:C, 2, 0))</f>
        <v/>
      </c>
      <c r="C542" s="57"/>
      <c r="D542" s="127" t="str">
        <f>IF(COUNTIF('PATIENT DATA (072721)'!A:A, C542)=0, "X","✓")</f>
        <v>X</v>
      </c>
      <c r="E542" s="79"/>
      <c r="F542" s="80"/>
      <c r="G542" s="81" t="str">
        <f>ifs($C542="","",$C542, VLOOKUP($C542&amp;$F542, 'MARCH - VISIT DATA'!A:O,3,0))</f>
        <v/>
      </c>
      <c r="H542" s="83"/>
      <c r="I542" s="122" t="str">
        <f>VLOOKUP($C542&amp;$F542,'MARCH - VISIT DATA'!A:J, 9, FALSE)</f>
        <v>#N/A</v>
      </c>
      <c r="J542" s="85" t="str">
        <f>VLOOKUP(C542&amp;F542,'MARCH - VISIT DATA'!A:O,10,FALSE)</f>
        <v>#N/A</v>
      </c>
      <c r="K542" s="86"/>
      <c r="L542" s="86"/>
      <c r="M542" s="86"/>
      <c r="N542" s="86"/>
      <c r="O542" s="121" t="str">
        <f t="shared" si="2"/>
        <v>X</v>
      </c>
      <c r="P542" s="79" t="str">
        <f t="shared" si="3"/>
        <v>#N/A</v>
      </c>
      <c r="Q542" s="123" t="str">
        <f t="shared" si="4"/>
        <v>#N/A</v>
      </c>
      <c r="R542" s="124" t="str">
        <f t="shared" si="5"/>
        <v>#N/A</v>
      </c>
      <c r="S542" s="125" t="str">
        <f t="shared" si="6"/>
        <v>#N/A</v>
      </c>
      <c r="T542" s="125" t="str">
        <f t="shared" si="7"/>
        <v>#N/A</v>
      </c>
      <c r="U542" s="83">
        <f t="shared" si="8"/>
        <v>0</v>
      </c>
      <c r="V542" s="88" t="str">
        <f>ifs($N542="",VLOOKUP($C542&amp;$F542,'MARCH - VISIT DATA'!$A$2:$J600,7,FALSE), $N542="SWAB","OUTSA-RW",$N542="SWQU","OUTSA-SaQu", AND($L542="X",$M542="X",$N542="QUEST"),"OUT-UAQPre",$N542="QUEST","OUT-UAQ", $N542="Walk in","ColUATele")</f>
        <v>#N/A</v>
      </c>
      <c r="W542" s="70" t="str">
        <f t="shared" si="9"/>
        <v>#N/A</v>
      </c>
      <c r="X542" s="64" t="str">
        <f t="shared" si="10"/>
        <v/>
      </c>
      <c r="Y542" s="64" t="str">
        <f t="shared" si="11"/>
        <v/>
      </c>
      <c r="Z542" s="66" t="str">
        <f t="shared" si="12"/>
        <v> </v>
      </c>
      <c r="AA542" s="71"/>
    </row>
    <row r="543" ht="15.75" customHeight="1">
      <c r="A543" s="56" t="str">
        <f t="shared" si="1"/>
        <v/>
      </c>
      <c r="B543" s="56" t="str">
        <f>IFS($C543=FALSE,"",$C543,VLOOKUP($C543,'PATIENT DATA (072721)'!A:C, 2, 0))</f>
        <v/>
      </c>
      <c r="C543" s="57"/>
      <c r="D543" s="127" t="str">
        <f>IF(COUNTIF('PATIENT DATA (072721)'!A:A, C543)=0, "X","✓")</f>
        <v>X</v>
      </c>
      <c r="E543" s="79"/>
      <c r="F543" s="80"/>
      <c r="G543" s="81" t="str">
        <f>ifs($C543="","",$C543, VLOOKUP($C543&amp;$F543, 'MARCH - VISIT DATA'!A:O,3,0))</f>
        <v/>
      </c>
      <c r="H543" s="83"/>
      <c r="I543" s="122" t="str">
        <f>VLOOKUP($C543&amp;$F543,'MARCH - VISIT DATA'!A:J, 9, FALSE)</f>
        <v>#N/A</v>
      </c>
      <c r="J543" s="85" t="str">
        <f>VLOOKUP(C543&amp;F543,'MARCH - VISIT DATA'!A:O,10,FALSE)</f>
        <v>#N/A</v>
      </c>
      <c r="K543" s="86"/>
      <c r="L543" s="86"/>
      <c r="M543" s="86"/>
      <c r="N543" s="86"/>
      <c r="O543" s="121" t="str">
        <f t="shared" si="2"/>
        <v>X</v>
      </c>
      <c r="P543" s="79" t="str">
        <f t="shared" si="3"/>
        <v>#N/A</v>
      </c>
      <c r="Q543" s="123" t="str">
        <f t="shared" si="4"/>
        <v>#N/A</v>
      </c>
      <c r="R543" s="124" t="str">
        <f t="shared" si="5"/>
        <v>#N/A</v>
      </c>
      <c r="S543" s="125" t="str">
        <f t="shared" si="6"/>
        <v>#N/A</v>
      </c>
      <c r="T543" s="125" t="str">
        <f t="shared" si="7"/>
        <v>#N/A</v>
      </c>
      <c r="U543" s="83">
        <f t="shared" si="8"/>
        <v>0</v>
      </c>
      <c r="V543" s="88" t="str">
        <f>ifs($N543="",VLOOKUP($C543&amp;$F543,'MARCH - VISIT DATA'!$A$2:$J600,7,FALSE), $N543="SWAB","OUTSA-RW",$N543="SWQU","OUTSA-SaQu", AND($L543="X",$M543="X",$N543="QUEST"),"OUT-UAQPre",$N543="QUEST","OUT-UAQ", $N543="Walk in","ColUATele")</f>
        <v>#N/A</v>
      </c>
      <c r="W543" s="70" t="str">
        <f t="shared" si="9"/>
        <v>#N/A</v>
      </c>
      <c r="X543" s="64" t="str">
        <f t="shared" si="10"/>
        <v/>
      </c>
      <c r="Y543" s="64" t="str">
        <f t="shared" si="11"/>
        <v/>
      </c>
      <c r="Z543" s="66" t="str">
        <f t="shared" si="12"/>
        <v> </v>
      </c>
      <c r="AA543" s="71"/>
    </row>
    <row r="544" ht="15.75" customHeight="1">
      <c r="A544" s="56" t="str">
        <f t="shared" si="1"/>
        <v/>
      </c>
      <c r="B544" s="56" t="str">
        <f>IFS($C544=FALSE,"",$C544,VLOOKUP($C544,'PATIENT DATA (072721)'!A:C, 2, 0))</f>
        <v/>
      </c>
      <c r="C544" s="57"/>
      <c r="D544" s="127" t="str">
        <f>IF(COUNTIF('PATIENT DATA (072721)'!A:A, C544)=0, "X","✓")</f>
        <v>X</v>
      </c>
      <c r="E544" s="79"/>
      <c r="F544" s="80"/>
      <c r="G544" s="81" t="str">
        <f>ifs($C544="","",$C544, VLOOKUP($C544&amp;$F544, 'MARCH - VISIT DATA'!A:O,3,0))</f>
        <v/>
      </c>
      <c r="H544" s="83"/>
      <c r="I544" s="122" t="str">
        <f>VLOOKUP($C544&amp;$F544,'MARCH - VISIT DATA'!A:J, 9, FALSE)</f>
        <v>#N/A</v>
      </c>
      <c r="J544" s="85" t="str">
        <f>VLOOKUP(C544&amp;F544,'MARCH - VISIT DATA'!A:O,10,FALSE)</f>
        <v>#N/A</v>
      </c>
      <c r="K544" s="86"/>
      <c r="L544" s="86"/>
      <c r="M544" s="86"/>
      <c r="N544" s="86"/>
      <c r="O544" s="121" t="str">
        <f t="shared" si="2"/>
        <v>X</v>
      </c>
      <c r="P544" s="79" t="str">
        <f t="shared" si="3"/>
        <v>#N/A</v>
      </c>
      <c r="Q544" s="123" t="str">
        <f t="shared" si="4"/>
        <v>#N/A</v>
      </c>
      <c r="R544" s="124" t="str">
        <f t="shared" si="5"/>
        <v>#N/A</v>
      </c>
      <c r="S544" s="125" t="str">
        <f t="shared" si="6"/>
        <v>#N/A</v>
      </c>
      <c r="T544" s="125" t="str">
        <f t="shared" si="7"/>
        <v>#N/A</v>
      </c>
      <c r="U544" s="83">
        <f t="shared" si="8"/>
        <v>0</v>
      </c>
      <c r="V544" s="88" t="str">
        <f>ifs($N544="",VLOOKUP($C544&amp;$F544,'MARCH - VISIT DATA'!$A$2:$J600,7,FALSE), $N544="SWAB","OUTSA-RW",$N544="SWQU","OUTSA-SaQu", AND($L544="X",$M544="X",$N544="QUEST"),"OUT-UAQPre",$N544="QUEST","OUT-UAQ", $N544="Walk in","ColUATele")</f>
        <v>#N/A</v>
      </c>
      <c r="W544" s="70" t="str">
        <f t="shared" si="9"/>
        <v>#N/A</v>
      </c>
      <c r="X544" s="64" t="str">
        <f t="shared" si="10"/>
        <v/>
      </c>
      <c r="Y544" s="64" t="str">
        <f t="shared" si="11"/>
        <v/>
      </c>
      <c r="Z544" s="66" t="str">
        <f t="shared" si="12"/>
        <v> </v>
      </c>
      <c r="AA544" s="71"/>
    </row>
    <row r="545" ht="15.75" customHeight="1">
      <c r="A545" s="56" t="str">
        <f t="shared" si="1"/>
        <v/>
      </c>
      <c r="B545" s="56" t="str">
        <f>IFS($C545=FALSE,"",$C545,VLOOKUP($C545,'PATIENT DATA (072721)'!A:C, 2, 0))</f>
        <v/>
      </c>
      <c r="C545" s="57"/>
      <c r="D545" s="127" t="str">
        <f>IF(COUNTIF('PATIENT DATA (072721)'!A:A, C545)=0, "X","✓")</f>
        <v>X</v>
      </c>
      <c r="E545" s="79"/>
      <c r="F545" s="80"/>
      <c r="G545" s="81" t="str">
        <f>ifs($C545="","",$C545, VLOOKUP($C545&amp;$F545, 'MARCH - VISIT DATA'!A:O,3,0))</f>
        <v/>
      </c>
      <c r="H545" s="83"/>
      <c r="I545" s="122" t="str">
        <f>VLOOKUP($C545&amp;$F545,'MARCH - VISIT DATA'!A:J, 9, FALSE)</f>
        <v>#N/A</v>
      </c>
      <c r="J545" s="85" t="str">
        <f>VLOOKUP(C545&amp;F545,'MARCH - VISIT DATA'!A:O,10,FALSE)</f>
        <v>#N/A</v>
      </c>
      <c r="K545" s="86"/>
      <c r="L545" s="86"/>
      <c r="M545" s="86"/>
      <c r="N545" s="86"/>
      <c r="O545" s="121" t="str">
        <f t="shared" si="2"/>
        <v>X</v>
      </c>
      <c r="P545" s="79" t="str">
        <f t="shared" si="3"/>
        <v>#N/A</v>
      </c>
      <c r="Q545" s="123" t="str">
        <f t="shared" si="4"/>
        <v>#N/A</v>
      </c>
      <c r="R545" s="124" t="str">
        <f t="shared" si="5"/>
        <v>#N/A</v>
      </c>
      <c r="S545" s="125" t="str">
        <f t="shared" si="6"/>
        <v>#N/A</v>
      </c>
      <c r="T545" s="125" t="str">
        <f t="shared" si="7"/>
        <v>#N/A</v>
      </c>
      <c r="U545" s="83">
        <f t="shared" si="8"/>
        <v>0</v>
      </c>
      <c r="V545" s="88" t="str">
        <f>ifs($N545="",VLOOKUP($C545&amp;$F545,'MARCH - VISIT DATA'!$A$2:$J600,7,FALSE), $N545="SWAB","OUTSA-RW",$N545="SWQU","OUTSA-SaQu", AND($L545="X",$M545="X",$N545="QUEST"),"OUT-UAQPre",$N545="QUEST","OUT-UAQ", $N545="Walk in","ColUATele")</f>
        <v>#N/A</v>
      </c>
      <c r="W545" s="70" t="str">
        <f t="shared" si="9"/>
        <v>#N/A</v>
      </c>
      <c r="X545" s="64" t="str">
        <f t="shared" si="10"/>
        <v/>
      </c>
      <c r="Y545" s="64" t="str">
        <f t="shared" si="11"/>
        <v/>
      </c>
      <c r="Z545" s="66" t="str">
        <f t="shared" si="12"/>
        <v> </v>
      </c>
      <c r="AA545" s="71"/>
    </row>
    <row r="546" ht="15.75" customHeight="1">
      <c r="A546" s="56" t="str">
        <f t="shared" si="1"/>
        <v/>
      </c>
      <c r="B546" s="56" t="str">
        <f>IFS($C546=FALSE,"",$C546,VLOOKUP($C546,'PATIENT DATA (072721)'!A:C, 2, 0))</f>
        <v/>
      </c>
      <c r="C546" s="57"/>
      <c r="D546" s="127" t="str">
        <f>IF(COUNTIF('PATIENT DATA (072721)'!A:A, C546)=0, "X","✓")</f>
        <v>X</v>
      </c>
      <c r="E546" s="79"/>
      <c r="F546" s="80"/>
      <c r="G546" s="81" t="str">
        <f>ifs($C546="","",$C546, VLOOKUP($C546&amp;$F546, 'MARCH - VISIT DATA'!A:O,3,0))</f>
        <v/>
      </c>
      <c r="H546" s="83"/>
      <c r="I546" s="122" t="str">
        <f>VLOOKUP($C546&amp;$F546,'MARCH - VISIT DATA'!A:J, 9, FALSE)</f>
        <v>#N/A</v>
      </c>
      <c r="J546" s="85" t="str">
        <f>VLOOKUP(C546&amp;F546,'MARCH - VISIT DATA'!A:O,10,FALSE)</f>
        <v>#N/A</v>
      </c>
      <c r="K546" s="86"/>
      <c r="L546" s="86"/>
      <c r="M546" s="86"/>
      <c r="N546" s="86"/>
      <c r="O546" s="121" t="str">
        <f t="shared" si="2"/>
        <v>X</v>
      </c>
      <c r="P546" s="79" t="str">
        <f t="shared" si="3"/>
        <v>#N/A</v>
      </c>
      <c r="Q546" s="123" t="str">
        <f t="shared" si="4"/>
        <v>#N/A</v>
      </c>
      <c r="R546" s="124" t="str">
        <f t="shared" si="5"/>
        <v>#N/A</v>
      </c>
      <c r="S546" s="125" t="str">
        <f t="shared" si="6"/>
        <v>#N/A</v>
      </c>
      <c r="T546" s="125" t="str">
        <f t="shared" si="7"/>
        <v>#N/A</v>
      </c>
      <c r="U546" s="83">
        <f t="shared" si="8"/>
        <v>0</v>
      </c>
      <c r="V546" s="88" t="str">
        <f>ifs($N546="",VLOOKUP($C546&amp;$F546,'MARCH - VISIT DATA'!$A$2:$J600,7,FALSE), $N546="SWAB","OUTSA-RW",$N546="SWQU","OUTSA-SaQu", AND($L546="X",$M546="X",$N546="QUEST"),"OUT-UAQPre",$N546="QUEST","OUT-UAQ", $N546="Walk in","ColUATele")</f>
        <v>#N/A</v>
      </c>
      <c r="W546" s="70" t="str">
        <f t="shared" si="9"/>
        <v>#N/A</v>
      </c>
      <c r="X546" s="64" t="str">
        <f t="shared" si="10"/>
        <v/>
      </c>
      <c r="Y546" s="64" t="str">
        <f t="shared" si="11"/>
        <v/>
      </c>
      <c r="Z546" s="66" t="str">
        <f t="shared" si="12"/>
        <v> </v>
      </c>
      <c r="AA546" s="71"/>
    </row>
    <row r="547" ht="15.75" customHeight="1">
      <c r="A547" s="56" t="str">
        <f t="shared" si="1"/>
        <v/>
      </c>
      <c r="B547" s="56" t="str">
        <f>IFS($C547=FALSE,"",$C547,VLOOKUP($C547,'PATIENT DATA (072721)'!A:C, 2, 0))</f>
        <v/>
      </c>
      <c r="C547" s="57"/>
      <c r="D547" s="127" t="str">
        <f>IF(COUNTIF('PATIENT DATA (072721)'!A:A, C547)=0, "X","✓")</f>
        <v>X</v>
      </c>
      <c r="E547" s="79"/>
      <c r="F547" s="80"/>
      <c r="G547" s="81" t="str">
        <f>ifs($C547="","",$C547, VLOOKUP($C547&amp;$F547, 'MARCH - VISIT DATA'!A:O,3,0))</f>
        <v/>
      </c>
      <c r="H547" s="83"/>
      <c r="I547" s="122" t="str">
        <f>VLOOKUP($C547&amp;$F547,'MARCH - VISIT DATA'!A:J, 9, FALSE)</f>
        <v>#N/A</v>
      </c>
      <c r="J547" s="85" t="str">
        <f>VLOOKUP(C547&amp;F547,'MARCH - VISIT DATA'!A:O,10,FALSE)</f>
        <v>#N/A</v>
      </c>
      <c r="K547" s="86"/>
      <c r="L547" s="86"/>
      <c r="M547" s="86"/>
      <c r="N547" s="86"/>
      <c r="O547" s="121" t="str">
        <f t="shared" si="2"/>
        <v>X</v>
      </c>
      <c r="P547" s="79" t="str">
        <f t="shared" si="3"/>
        <v>#N/A</v>
      </c>
      <c r="Q547" s="123" t="str">
        <f t="shared" si="4"/>
        <v>#N/A</v>
      </c>
      <c r="R547" s="124" t="str">
        <f t="shared" si="5"/>
        <v>#N/A</v>
      </c>
      <c r="S547" s="125" t="str">
        <f t="shared" si="6"/>
        <v>#N/A</v>
      </c>
      <c r="T547" s="125" t="str">
        <f t="shared" si="7"/>
        <v>#N/A</v>
      </c>
      <c r="U547" s="83">
        <f t="shared" si="8"/>
        <v>0</v>
      </c>
      <c r="V547" s="88" t="str">
        <f>ifs($N547="",VLOOKUP($C547&amp;$F547,'MARCH - VISIT DATA'!$A$2:$J600,7,FALSE), $N547="SWAB","OUTSA-RW",$N547="SWQU","OUTSA-SaQu", AND($L547="X",$M547="X",$N547="QUEST"),"OUT-UAQPre",$N547="QUEST","OUT-UAQ", $N547="Walk in","ColUATele")</f>
        <v>#N/A</v>
      </c>
      <c r="W547" s="70" t="str">
        <f t="shared" si="9"/>
        <v>#N/A</v>
      </c>
      <c r="X547" s="64" t="str">
        <f t="shared" si="10"/>
        <v/>
      </c>
      <c r="Y547" s="64" t="str">
        <f t="shared" si="11"/>
        <v/>
      </c>
      <c r="Z547" s="66" t="str">
        <f t="shared" si="12"/>
        <v> </v>
      </c>
      <c r="AA547" s="71"/>
    </row>
    <row r="548" ht="15.75" customHeight="1">
      <c r="A548" s="56" t="str">
        <f t="shared" si="1"/>
        <v/>
      </c>
      <c r="B548" s="56" t="str">
        <f>IFS($C548=FALSE,"",$C548,VLOOKUP($C548,'PATIENT DATA (072721)'!A:C, 2, 0))</f>
        <v/>
      </c>
      <c r="C548" s="57"/>
      <c r="D548" s="127" t="str">
        <f>IF(COUNTIF('PATIENT DATA (072721)'!A:A, C548)=0, "X","✓")</f>
        <v>X</v>
      </c>
      <c r="E548" s="79"/>
      <c r="F548" s="80"/>
      <c r="G548" s="81" t="str">
        <f>ifs($C548="","",$C548, VLOOKUP($C548&amp;$F548, 'MARCH - VISIT DATA'!A:O,3,0))</f>
        <v/>
      </c>
      <c r="H548" s="83"/>
      <c r="I548" s="122" t="str">
        <f>VLOOKUP($C548&amp;$F548,'MARCH - VISIT DATA'!A:J, 9, FALSE)</f>
        <v>#N/A</v>
      </c>
      <c r="J548" s="85" t="str">
        <f>VLOOKUP(C548&amp;F548,'MARCH - VISIT DATA'!A:O,10,FALSE)</f>
        <v>#N/A</v>
      </c>
      <c r="K548" s="86"/>
      <c r="L548" s="86"/>
      <c r="M548" s="86"/>
      <c r="N548" s="86"/>
      <c r="O548" s="121" t="str">
        <f t="shared" si="2"/>
        <v>X</v>
      </c>
      <c r="P548" s="79" t="str">
        <f t="shared" si="3"/>
        <v>#N/A</v>
      </c>
      <c r="Q548" s="123" t="str">
        <f t="shared" si="4"/>
        <v>#N/A</v>
      </c>
      <c r="R548" s="124" t="str">
        <f t="shared" si="5"/>
        <v>#N/A</v>
      </c>
      <c r="S548" s="125" t="str">
        <f t="shared" si="6"/>
        <v>#N/A</v>
      </c>
      <c r="T548" s="125" t="str">
        <f t="shared" si="7"/>
        <v>#N/A</v>
      </c>
      <c r="U548" s="83">
        <f t="shared" si="8"/>
        <v>0</v>
      </c>
      <c r="V548" s="88" t="str">
        <f>ifs($N548="",VLOOKUP($C548&amp;$F548,'MARCH - VISIT DATA'!$A$2:$J600,7,FALSE), $N548="SWAB","OUTSA-RW",$N548="SWQU","OUTSA-SaQu", AND($L548="X",$M548="X",$N548="QUEST"),"OUT-UAQPre",$N548="QUEST","OUT-UAQ", $N548="Walk in","ColUATele")</f>
        <v>#N/A</v>
      </c>
      <c r="W548" s="70" t="str">
        <f t="shared" si="9"/>
        <v>#N/A</v>
      </c>
      <c r="X548" s="64" t="str">
        <f t="shared" si="10"/>
        <v/>
      </c>
      <c r="Y548" s="64" t="str">
        <f t="shared" si="11"/>
        <v/>
      </c>
      <c r="Z548" s="66" t="str">
        <f t="shared" si="12"/>
        <v> </v>
      </c>
      <c r="AA548" s="71"/>
    </row>
    <row r="549" ht="15.75" customHeight="1">
      <c r="A549" s="56" t="str">
        <f t="shared" si="1"/>
        <v/>
      </c>
      <c r="B549" s="56" t="str">
        <f>IFS($C549=FALSE,"",$C549,VLOOKUP($C549,'PATIENT DATA (072721)'!A:C, 2, 0))</f>
        <v/>
      </c>
      <c r="C549" s="57"/>
      <c r="D549" s="127" t="str">
        <f>IF(COUNTIF('PATIENT DATA (072721)'!A:A, C549)=0, "X","✓")</f>
        <v>X</v>
      </c>
      <c r="E549" s="79"/>
      <c r="F549" s="80"/>
      <c r="G549" s="81" t="str">
        <f>ifs($C549="","",$C549, VLOOKUP($C549&amp;$F549, 'MARCH - VISIT DATA'!A:O,3,0))</f>
        <v/>
      </c>
      <c r="H549" s="83"/>
      <c r="I549" s="122" t="str">
        <f>VLOOKUP($C549&amp;$F549,'MARCH - VISIT DATA'!A:J, 9, FALSE)</f>
        <v>#N/A</v>
      </c>
      <c r="J549" s="85" t="str">
        <f>VLOOKUP(C549&amp;F549,'MARCH - VISIT DATA'!A:O,10,FALSE)</f>
        <v>#N/A</v>
      </c>
      <c r="K549" s="86"/>
      <c r="L549" s="86"/>
      <c r="M549" s="86"/>
      <c r="N549" s="86"/>
      <c r="O549" s="121" t="str">
        <f t="shared" si="2"/>
        <v>X</v>
      </c>
      <c r="P549" s="79" t="str">
        <f t="shared" si="3"/>
        <v>#N/A</v>
      </c>
      <c r="Q549" s="123" t="str">
        <f t="shared" si="4"/>
        <v>#N/A</v>
      </c>
      <c r="R549" s="124" t="str">
        <f t="shared" si="5"/>
        <v>#N/A</v>
      </c>
      <c r="S549" s="125" t="str">
        <f t="shared" si="6"/>
        <v>#N/A</v>
      </c>
      <c r="T549" s="125" t="str">
        <f t="shared" si="7"/>
        <v>#N/A</v>
      </c>
      <c r="U549" s="83">
        <f t="shared" si="8"/>
        <v>0</v>
      </c>
      <c r="V549" s="88" t="str">
        <f>ifs($N549="",VLOOKUP($C549&amp;$F549,'MARCH - VISIT DATA'!$A$2:$J600,7,FALSE), $N549="SWAB","OUTSA-RW",$N549="SWQU","OUTSA-SaQu", AND($L549="X",$M549="X",$N549="QUEST"),"OUT-UAQPre",$N549="QUEST","OUT-UAQ", $N549="Walk in","ColUATele")</f>
        <v>#N/A</v>
      </c>
      <c r="W549" s="70" t="str">
        <f t="shared" si="9"/>
        <v>#N/A</v>
      </c>
      <c r="X549" s="64" t="str">
        <f t="shared" si="10"/>
        <v/>
      </c>
      <c r="Y549" s="64" t="str">
        <f t="shared" si="11"/>
        <v/>
      </c>
      <c r="Z549" s="66" t="str">
        <f t="shared" si="12"/>
        <v> </v>
      </c>
      <c r="AA549" s="71"/>
    </row>
    <row r="550" ht="15.75" customHeight="1">
      <c r="A550" s="56" t="str">
        <f t="shared" si="1"/>
        <v/>
      </c>
      <c r="B550" s="56" t="str">
        <f>IFS($C550=FALSE,"",$C550,VLOOKUP($C550,'PATIENT DATA (072721)'!A:C, 2, 0))</f>
        <v/>
      </c>
      <c r="C550" s="57"/>
      <c r="D550" s="127" t="str">
        <f>IF(COUNTIF('PATIENT DATA (072721)'!A:A, C550)=0, "X","✓")</f>
        <v>X</v>
      </c>
      <c r="E550" s="79"/>
      <c r="F550" s="80"/>
      <c r="G550" s="81" t="str">
        <f>ifs($C550="","",$C550, VLOOKUP($C550&amp;$F550, 'MARCH - VISIT DATA'!A:O,3,0))</f>
        <v/>
      </c>
      <c r="H550" s="83"/>
      <c r="I550" s="122" t="str">
        <f>VLOOKUP($C550&amp;$F550,'MARCH - VISIT DATA'!A:J, 9, FALSE)</f>
        <v>#N/A</v>
      </c>
      <c r="J550" s="85" t="str">
        <f>VLOOKUP(C550&amp;F550,'MARCH - VISIT DATA'!A:O,10,FALSE)</f>
        <v>#N/A</v>
      </c>
      <c r="K550" s="86"/>
      <c r="L550" s="86"/>
      <c r="M550" s="86"/>
      <c r="N550" s="86"/>
      <c r="O550" s="121" t="str">
        <f t="shared" si="2"/>
        <v>X</v>
      </c>
      <c r="P550" s="79" t="str">
        <f t="shared" si="3"/>
        <v>#N/A</v>
      </c>
      <c r="Q550" s="123" t="str">
        <f t="shared" si="4"/>
        <v>#N/A</v>
      </c>
      <c r="R550" s="124" t="str">
        <f t="shared" si="5"/>
        <v>#N/A</v>
      </c>
      <c r="S550" s="125" t="str">
        <f t="shared" si="6"/>
        <v>#N/A</v>
      </c>
      <c r="T550" s="125" t="str">
        <f t="shared" si="7"/>
        <v>#N/A</v>
      </c>
      <c r="U550" s="83">
        <f t="shared" si="8"/>
        <v>0</v>
      </c>
      <c r="V550" s="88" t="str">
        <f>ifs($N550="",VLOOKUP($C550&amp;$F550,'MARCH - VISIT DATA'!$A$2:$J600,7,FALSE), $N550="SWAB","OUTSA-RW",$N550="SWQU","OUTSA-SaQu", AND($L550="X",$M550="X",$N550="QUEST"),"OUT-UAQPre",$N550="QUEST","OUT-UAQ", $N550="Walk in","ColUATele")</f>
        <v>#N/A</v>
      </c>
      <c r="W550" s="70" t="str">
        <f t="shared" si="9"/>
        <v>#N/A</v>
      </c>
      <c r="X550" s="64" t="str">
        <f t="shared" si="10"/>
        <v/>
      </c>
      <c r="Y550" s="64" t="str">
        <f t="shared" si="11"/>
        <v/>
      </c>
      <c r="Z550" s="66" t="str">
        <f t="shared" si="12"/>
        <v> </v>
      </c>
      <c r="AA550" s="71"/>
    </row>
    <row r="551" ht="15.75" customHeight="1">
      <c r="A551" s="56" t="str">
        <f t="shared" si="1"/>
        <v/>
      </c>
      <c r="B551" s="56" t="str">
        <f>IFS($C551=FALSE,"",$C551,VLOOKUP($C551,'PATIENT DATA (072721)'!A:C, 2, 0))</f>
        <v/>
      </c>
      <c r="C551" s="57"/>
      <c r="D551" s="127" t="str">
        <f>IF(COUNTIF('PATIENT DATA (072721)'!A:A, C551)=0, "X","✓")</f>
        <v>X</v>
      </c>
      <c r="E551" s="79"/>
      <c r="F551" s="80"/>
      <c r="G551" s="81" t="str">
        <f>ifs($C551="","",$C551, VLOOKUP($C551&amp;$F551, 'MARCH - VISIT DATA'!A:O,3,0))</f>
        <v/>
      </c>
      <c r="H551" s="83"/>
      <c r="I551" s="122" t="str">
        <f>VLOOKUP($C551&amp;$F551,'MARCH - VISIT DATA'!A:J, 9, FALSE)</f>
        <v>#N/A</v>
      </c>
      <c r="J551" s="85" t="str">
        <f>VLOOKUP(C551&amp;F551,'MARCH - VISIT DATA'!A:O,10,FALSE)</f>
        <v>#N/A</v>
      </c>
      <c r="K551" s="86"/>
      <c r="L551" s="86"/>
      <c r="M551" s="86"/>
      <c r="N551" s="86"/>
      <c r="O551" s="121" t="str">
        <f t="shared" si="2"/>
        <v>X</v>
      </c>
      <c r="P551" s="79" t="str">
        <f t="shared" si="3"/>
        <v>#N/A</v>
      </c>
      <c r="Q551" s="123" t="str">
        <f t="shared" si="4"/>
        <v>#N/A</v>
      </c>
      <c r="R551" s="124" t="str">
        <f t="shared" si="5"/>
        <v>#N/A</v>
      </c>
      <c r="S551" s="125" t="str">
        <f t="shared" si="6"/>
        <v>#N/A</v>
      </c>
      <c r="T551" s="125" t="str">
        <f t="shared" si="7"/>
        <v>#N/A</v>
      </c>
      <c r="U551" s="83">
        <f t="shared" si="8"/>
        <v>0</v>
      </c>
      <c r="V551" s="88" t="str">
        <f>ifs($N551="",VLOOKUP($C551&amp;$F551,'MARCH - VISIT DATA'!$A$2:$J600,7,FALSE), $N551="SWAB","OUTSA-RW",$N551="SWQU","OUTSA-SaQu", AND($L551="X",$M551="X",$N551="QUEST"),"OUT-UAQPre",$N551="QUEST","OUT-UAQ", $N551="Walk in","ColUATele")</f>
        <v>#N/A</v>
      </c>
      <c r="W551" s="70" t="str">
        <f t="shared" si="9"/>
        <v>#N/A</v>
      </c>
      <c r="X551" s="64" t="str">
        <f t="shared" si="10"/>
        <v/>
      </c>
      <c r="Y551" s="64" t="str">
        <f t="shared" si="11"/>
        <v/>
      </c>
      <c r="Z551" s="66" t="str">
        <f t="shared" si="12"/>
        <v> </v>
      </c>
      <c r="AA551" s="71"/>
    </row>
    <row r="552" ht="15.75" customHeight="1">
      <c r="A552" s="56" t="str">
        <f t="shared" si="1"/>
        <v/>
      </c>
      <c r="B552" s="56" t="str">
        <f>IFS($C552=FALSE,"",$C552,VLOOKUP($C552,'PATIENT DATA (072721)'!A:C, 2, 0))</f>
        <v/>
      </c>
      <c r="C552" s="57"/>
      <c r="D552" s="127" t="str">
        <f>IF(COUNTIF('PATIENT DATA (072721)'!A:A, C552)=0, "X","✓")</f>
        <v>X</v>
      </c>
      <c r="E552" s="79"/>
      <c r="F552" s="80"/>
      <c r="G552" s="81" t="str">
        <f>ifs($C552="","",$C552, VLOOKUP($C552&amp;$F552, 'MARCH - VISIT DATA'!A:O,3,0))</f>
        <v/>
      </c>
      <c r="H552" s="83"/>
      <c r="I552" s="122" t="str">
        <f>VLOOKUP($C552&amp;$F552,'MARCH - VISIT DATA'!A:J, 9, FALSE)</f>
        <v>#N/A</v>
      </c>
      <c r="J552" s="85" t="str">
        <f>VLOOKUP(C552&amp;F552,'MARCH - VISIT DATA'!A:O,10,FALSE)</f>
        <v>#N/A</v>
      </c>
      <c r="K552" s="86"/>
      <c r="L552" s="86"/>
      <c r="M552" s="86"/>
      <c r="N552" s="86"/>
      <c r="O552" s="121" t="str">
        <f t="shared" si="2"/>
        <v>X</v>
      </c>
      <c r="P552" s="79" t="str">
        <f t="shared" si="3"/>
        <v>#N/A</v>
      </c>
      <c r="Q552" s="123" t="str">
        <f t="shared" si="4"/>
        <v>#N/A</v>
      </c>
      <c r="R552" s="124" t="str">
        <f t="shared" si="5"/>
        <v>#N/A</v>
      </c>
      <c r="S552" s="125" t="str">
        <f t="shared" si="6"/>
        <v>#N/A</v>
      </c>
      <c r="T552" s="125" t="str">
        <f t="shared" si="7"/>
        <v>#N/A</v>
      </c>
      <c r="U552" s="83">
        <f t="shared" si="8"/>
        <v>0</v>
      </c>
      <c r="V552" s="88" t="str">
        <f>ifs($N552="",VLOOKUP($C552&amp;$F552,'MARCH - VISIT DATA'!$A$2:$J600,7,FALSE), $N552="SWAB","OUTSA-RW",$N552="SWQU","OUTSA-SaQu", AND($L552="X",$M552="X",$N552="QUEST"),"OUT-UAQPre",$N552="QUEST","OUT-UAQ", $N552="Walk in","ColUATele")</f>
        <v>#N/A</v>
      </c>
      <c r="W552" s="70" t="str">
        <f t="shared" si="9"/>
        <v>#N/A</v>
      </c>
      <c r="X552" s="64" t="str">
        <f t="shared" si="10"/>
        <v/>
      </c>
      <c r="Y552" s="64" t="str">
        <f t="shared" si="11"/>
        <v/>
      </c>
      <c r="Z552" s="66" t="str">
        <f t="shared" si="12"/>
        <v> </v>
      </c>
      <c r="AA552" s="71"/>
    </row>
    <row r="553" ht="15.75" customHeight="1">
      <c r="A553" s="56" t="str">
        <f t="shared" si="1"/>
        <v/>
      </c>
      <c r="B553" s="56" t="str">
        <f>IFS($C553=FALSE,"",$C553,VLOOKUP($C553,'PATIENT DATA (072721)'!A:C, 2, 0))</f>
        <v/>
      </c>
      <c r="C553" s="57"/>
      <c r="D553" s="127" t="str">
        <f>IF(COUNTIF('PATIENT DATA (072721)'!A:A, C553)=0, "X","✓")</f>
        <v>X</v>
      </c>
      <c r="E553" s="79"/>
      <c r="F553" s="80"/>
      <c r="G553" s="81" t="str">
        <f>ifs($C553="","",$C553, VLOOKUP($C553&amp;$F553, 'MARCH - VISIT DATA'!A:O,3,0))</f>
        <v/>
      </c>
      <c r="H553" s="83"/>
      <c r="I553" s="122" t="str">
        <f>VLOOKUP($C553&amp;$F553,'MARCH - VISIT DATA'!A:J, 9, FALSE)</f>
        <v>#N/A</v>
      </c>
      <c r="J553" s="85" t="str">
        <f>VLOOKUP(C553&amp;F553,'MARCH - VISIT DATA'!A:O,10,FALSE)</f>
        <v>#N/A</v>
      </c>
      <c r="K553" s="86"/>
      <c r="L553" s="86"/>
      <c r="M553" s="86"/>
      <c r="N553" s="86"/>
      <c r="O553" s="121" t="str">
        <f t="shared" si="2"/>
        <v>X</v>
      </c>
      <c r="P553" s="79" t="str">
        <f t="shared" si="3"/>
        <v>#N/A</v>
      </c>
      <c r="Q553" s="123" t="str">
        <f t="shared" si="4"/>
        <v>#N/A</v>
      </c>
      <c r="R553" s="124" t="str">
        <f t="shared" si="5"/>
        <v>#N/A</v>
      </c>
      <c r="S553" s="125" t="str">
        <f t="shared" si="6"/>
        <v>#N/A</v>
      </c>
      <c r="T553" s="125" t="str">
        <f t="shared" si="7"/>
        <v>#N/A</v>
      </c>
      <c r="U553" s="83">
        <f t="shared" si="8"/>
        <v>0</v>
      </c>
      <c r="V553" s="88" t="str">
        <f>ifs($N553="",VLOOKUP($C553&amp;$F553,'MARCH - VISIT DATA'!$A$2:$J600,7,FALSE), $N553="SWAB","OUTSA-RW",$N553="SWQU","OUTSA-SaQu", AND($L553="X",$M553="X",$N553="QUEST"),"OUT-UAQPre",$N553="QUEST","OUT-UAQ", $N553="Walk in","ColUATele")</f>
        <v>#N/A</v>
      </c>
      <c r="W553" s="70" t="str">
        <f t="shared" si="9"/>
        <v>#N/A</v>
      </c>
      <c r="X553" s="64" t="str">
        <f t="shared" si="10"/>
        <v/>
      </c>
      <c r="Y553" s="64" t="str">
        <f t="shared" si="11"/>
        <v/>
      </c>
      <c r="Z553" s="66" t="str">
        <f t="shared" si="12"/>
        <v> </v>
      </c>
      <c r="AA553" s="71"/>
    </row>
    <row r="554" ht="15.75" customHeight="1">
      <c r="A554" s="56" t="str">
        <f t="shared" si="1"/>
        <v/>
      </c>
      <c r="B554" s="56" t="str">
        <f>IFS($C554=FALSE,"",$C554,VLOOKUP($C554,'PATIENT DATA (072721)'!A:C, 2, 0))</f>
        <v/>
      </c>
      <c r="C554" s="57"/>
      <c r="D554" s="127" t="str">
        <f>IF(COUNTIF('PATIENT DATA (072721)'!A:A, C554)=0, "X","✓")</f>
        <v>X</v>
      </c>
      <c r="E554" s="79"/>
      <c r="F554" s="80"/>
      <c r="G554" s="81" t="str">
        <f>ifs($C554="","",$C554, VLOOKUP($C554&amp;$F554, 'MARCH - VISIT DATA'!A:O,3,0))</f>
        <v/>
      </c>
      <c r="H554" s="83"/>
      <c r="I554" s="122" t="str">
        <f>VLOOKUP($C554&amp;$F554,'MARCH - VISIT DATA'!A:J, 9, FALSE)</f>
        <v>#N/A</v>
      </c>
      <c r="J554" s="85" t="str">
        <f>VLOOKUP(C554&amp;F554,'MARCH - VISIT DATA'!A:O,10,FALSE)</f>
        <v>#N/A</v>
      </c>
      <c r="K554" s="86"/>
      <c r="L554" s="86"/>
      <c r="M554" s="86"/>
      <c r="N554" s="86"/>
      <c r="O554" s="121" t="str">
        <f t="shared" si="2"/>
        <v>X</v>
      </c>
      <c r="P554" s="79" t="str">
        <f t="shared" si="3"/>
        <v>#N/A</v>
      </c>
      <c r="Q554" s="123" t="str">
        <f t="shared" si="4"/>
        <v>#N/A</v>
      </c>
      <c r="R554" s="124" t="str">
        <f t="shared" si="5"/>
        <v>#N/A</v>
      </c>
      <c r="S554" s="125" t="str">
        <f t="shared" si="6"/>
        <v>#N/A</v>
      </c>
      <c r="T554" s="125" t="str">
        <f t="shared" si="7"/>
        <v>#N/A</v>
      </c>
      <c r="U554" s="83">
        <f t="shared" si="8"/>
        <v>0</v>
      </c>
      <c r="V554" s="88" t="str">
        <f>ifs($N554="",VLOOKUP($C554&amp;$F554,'MARCH - VISIT DATA'!$A$2:$J600,7,FALSE), $N554="SWAB","OUTSA-RW",$N554="SWQU","OUTSA-SaQu", AND($L554="X",$M554="X",$N554="QUEST"),"OUT-UAQPre",$N554="QUEST","OUT-UAQ", $N554="Walk in","ColUATele")</f>
        <v>#N/A</v>
      </c>
      <c r="W554" s="70" t="str">
        <f t="shared" si="9"/>
        <v>#N/A</v>
      </c>
      <c r="X554" s="64" t="str">
        <f t="shared" si="10"/>
        <v/>
      </c>
      <c r="Y554" s="64" t="str">
        <f t="shared" si="11"/>
        <v/>
      </c>
      <c r="Z554" s="66" t="str">
        <f t="shared" si="12"/>
        <v> </v>
      </c>
      <c r="AA554" s="71"/>
    </row>
    <row r="555" ht="15.75" customHeight="1">
      <c r="A555" s="56" t="str">
        <f t="shared" si="1"/>
        <v/>
      </c>
      <c r="B555" s="56" t="str">
        <f>IFS($C555=FALSE,"",$C555,VLOOKUP($C555,'PATIENT DATA (072721)'!A:C, 2, 0))</f>
        <v/>
      </c>
      <c r="C555" s="57"/>
      <c r="D555" s="127" t="str">
        <f>IF(COUNTIF('PATIENT DATA (072721)'!A:A, C555)=0, "X","✓")</f>
        <v>X</v>
      </c>
      <c r="E555" s="79"/>
      <c r="F555" s="80"/>
      <c r="G555" s="81" t="str">
        <f>ifs($C555="","",$C555, VLOOKUP($C555&amp;$F555, 'MARCH - VISIT DATA'!A:O,3,0))</f>
        <v/>
      </c>
      <c r="H555" s="83"/>
      <c r="I555" s="122" t="str">
        <f>VLOOKUP($C555&amp;$F555,'MARCH - VISIT DATA'!A:J, 9, FALSE)</f>
        <v>#N/A</v>
      </c>
      <c r="J555" s="85" t="str">
        <f>VLOOKUP(C555&amp;F555,'MARCH - VISIT DATA'!A:O,10,FALSE)</f>
        <v>#N/A</v>
      </c>
      <c r="K555" s="86"/>
      <c r="L555" s="86"/>
      <c r="M555" s="86"/>
      <c r="N555" s="86"/>
      <c r="O555" s="121" t="str">
        <f t="shared" si="2"/>
        <v>X</v>
      </c>
      <c r="P555" s="79" t="str">
        <f t="shared" si="3"/>
        <v>#N/A</v>
      </c>
      <c r="Q555" s="123" t="str">
        <f t="shared" si="4"/>
        <v>#N/A</v>
      </c>
      <c r="R555" s="124" t="str">
        <f t="shared" si="5"/>
        <v>#N/A</v>
      </c>
      <c r="S555" s="125" t="str">
        <f t="shared" si="6"/>
        <v>#N/A</v>
      </c>
      <c r="T555" s="125" t="str">
        <f t="shared" si="7"/>
        <v>#N/A</v>
      </c>
      <c r="U555" s="83">
        <f t="shared" si="8"/>
        <v>0</v>
      </c>
      <c r="V555" s="88" t="str">
        <f>ifs($N555="",VLOOKUP($C555&amp;$F555,'MARCH - VISIT DATA'!$A$2:$J600,7,FALSE), $N555="SWAB","OUTSA-RW",$N555="SWQU","OUTSA-SaQu", AND($L555="X",$M555="X",$N555="QUEST"),"OUT-UAQPre",$N555="QUEST","OUT-UAQ", $N555="Walk in","ColUATele")</f>
        <v>#N/A</v>
      </c>
      <c r="W555" s="70" t="str">
        <f t="shared" si="9"/>
        <v>#N/A</v>
      </c>
      <c r="X555" s="64" t="str">
        <f t="shared" si="10"/>
        <v/>
      </c>
      <c r="Y555" s="64" t="str">
        <f t="shared" si="11"/>
        <v/>
      </c>
      <c r="Z555" s="66" t="str">
        <f t="shared" si="12"/>
        <v> </v>
      </c>
      <c r="AA555" s="71"/>
    </row>
    <row r="556" ht="15.75" customHeight="1">
      <c r="A556" s="56" t="str">
        <f t="shared" si="1"/>
        <v/>
      </c>
      <c r="B556" s="56" t="str">
        <f>IFS($C556=FALSE,"",$C556,VLOOKUP($C556,'PATIENT DATA (072721)'!A:C, 2, 0))</f>
        <v/>
      </c>
      <c r="C556" s="57"/>
      <c r="D556" s="127" t="str">
        <f>IF(COUNTIF('PATIENT DATA (072721)'!A:A, C556)=0, "X","✓")</f>
        <v>X</v>
      </c>
      <c r="E556" s="79"/>
      <c r="F556" s="80"/>
      <c r="G556" s="81" t="str">
        <f>ifs($C556="","",$C556, VLOOKUP($C556&amp;$F556, 'MARCH - VISIT DATA'!A:O,3,0))</f>
        <v/>
      </c>
      <c r="H556" s="83"/>
      <c r="I556" s="122" t="str">
        <f>VLOOKUP($C556&amp;$F556,'MARCH - VISIT DATA'!A:J, 9, FALSE)</f>
        <v>#N/A</v>
      </c>
      <c r="J556" s="85" t="str">
        <f>VLOOKUP(C556&amp;F556,'MARCH - VISIT DATA'!A:O,10,FALSE)</f>
        <v>#N/A</v>
      </c>
      <c r="K556" s="86"/>
      <c r="L556" s="86"/>
      <c r="M556" s="86"/>
      <c r="N556" s="86"/>
      <c r="O556" s="121" t="str">
        <f t="shared" si="2"/>
        <v>X</v>
      </c>
      <c r="P556" s="79" t="str">
        <f t="shared" si="3"/>
        <v>#N/A</v>
      </c>
      <c r="Q556" s="123" t="str">
        <f t="shared" si="4"/>
        <v>#N/A</v>
      </c>
      <c r="R556" s="124" t="str">
        <f t="shared" si="5"/>
        <v>#N/A</v>
      </c>
      <c r="S556" s="125" t="str">
        <f t="shared" si="6"/>
        <v>#N/A</v>
      </c>
      <c r="T556" s="125" t="str">
        <f t="shared" si="7"/>
        <v>#N/A</v>
      </c>
      <c r="U556" s="83">
        <f t="shared" si="8"/>
        <v>0</v>
      </c>
      <c r="V556" s="88" t="str">
        <f>ifs($N556="",VLOOKUP($C556&amp;$F556,'MARCH - VISIT DATA'!$A$2:$J600,7,FALSE), $N556="SWAB","OUTSA-RW",$N556="SWQU","OUTSA-SaQu", AND($L556="X",$M556="X",$N556="QUEST"),"OUT-UAQPre",$N556="QUEST","OUT-UAQ", $N556="Walk in","ColUATele")</f>
        <v>#N/A</v>
      </c>
      <c r="W556" s="70" t="str">
        <f t="shared" si="9"/>
        <v>#N/A</v>
      </c>
      <c r="X556" s="64" t="str">
        <f t="shared" si="10"/>
        <v/>
      </c>
      <c r="Y556" s="64" t="str">
        <f t="shared" si="11"/>
        <v/>
      </c>
      <c r="Z556" s="66" t="str">
        <f t="shared" si="12"/>
        <v> </v>
      </c>
      <c r="AA556" s="71"/>
    </row>
    <row r="557" ht="15.75" customHeight="1">
      <c r="A557" s="56" t="str">
        <f t="shared" si="1"/>
        <v/>
      </c>
      <c r="B557" s="56" t="str">
        <f>IFS($C557=FALSE,"",$C557,VLOOKUP($C557,'PATIENT DATA (072721)'!A:C, 2, 0))</f>
        <v/>
      </c>
      <c r="C557" s="57"/>
      <c r="D557" s="127" t="str">
        <f>IF(COUNTIF('PATIENT DATA (072721)'!A:A, C557)=0, "X","✓")</f>
        <v>X</v>
      </c>
      <c r="E557" s="79"/>
      <c r="F557" s="80"/>
      <c r="G557" s="81" t="str">
        <f>ifs($C557="","",$C557, VLOOKUP($C557&amp;$F557, 'MARCH - VISIT DATA'!A:O,3,0))</f>
        <v/>
      </c>
      <c r="H557" s="83"/>
      <c r="I557" s="122" t="str">
        <f>VLOOKUP($C557&amp;$F557,'MARCH - VISIT DATA'!A:J, 9, FALSE)</f>
        <v>#N/A</v>
      </c>
      <c r="J557" s="85" t="str">
        <f>VLOOKUP(C557&amp;F557,'MARCH - VISIT DATA'!A:O,10,FALSE)</f>
        <v>#N/A</v>
      </c>
      <c r="K557" s="86"/>
      <c r="L557" s="86"/>
      <c r="M557" s="86"/>
      <c r="N557" s="86"/>
      <c r="O557" s="121" t="str">
        <f t="shared" si="2"/>
        <v>X</v>
      </c>
      <c r="P557" s="79" t="str">
        <f t="shared" si="3"/>
        <v>#N/A</v>
      </c>
      <c r="Q557" s="123" t="str">
        <f t="shared" si="4"/>
        <v>#N/A</v>
      </c>
      <c r="R557" s="124" t="str">
        <f t="shared" si="5"/>
        <v>#N/A</v>
      </c>
      <c r="S557" s="125" t="str">
        <f t="shared" si="6"/>
        <v>#N/A</v>
      </c>
      <c r="T557" s="125" t="str">
        <f t="shared" si="7"/>
        <v>#N/A</v>
      </c>
      <c r="U557" s="83">
        <f t="shared" si="8"/>
        <v>0</v>
      </c>
      <c r="V557" s="88" t="str">
        <f>ifs($N557="",VLOOKUP($C557&amp;$F557,'MARCH - VISIT DATA'!$A$2:$J600,7,FALSE), $N557="SWAB","OUTSA-RW",$N557="SWQU","OUTSA-SaQu", AND($L557="X",$M557="X",$N557="QUEST"),"OUT-UAQPre",$N557="QUEST","OUT-UAQ", $N557="Walk in","ColUATele")</f>
        <v>#N/A</v>
      </c>
      <c r="W557" s="70" t="str">
        <f t="shared" si="9"/>
        <v>#N/A</v>
      </c>
      <c r="X557" s="64" t="str">
        <f t="shared" si="10"/>
        <v/>
      </c>
      <c r="Y557" s="64" t="str">
        <f t="shared" si="11"/>
        <v/>
      </c>
      <c r="Z557" s="66" t="str">
        <f t="shared" si="12"/>
        <v> </v>
      </c>
      <c r="AA557" s="71"/>
    </row>
    <row r="558" ht="15.75" customHeight="1">
      <c r="A558" s="56" t="str">
        <f t="shared" si="1"/>
        <v/>
      </c>
      <c r="B558" s="56" t="str">
        <f>IFS($C558=FALSE,"",$C558,VLOOKUP($C558,'PATIENT DATA (072721)'!A:C, 2, 0))</f>
        <v/>
      </c>
      <c r="C558" s="57"/>
      <c r="D558" s="127" t="str">
        <f>IF(COUNTIF('PATIENT DATA (072721)'!A:A, C558)=0, "X","✓")</f>
        <v>X</v>
      </c>
      <c r="E558" s="79"/>
      <c r="F558" s="80"/>
      <c r="G558" s="81" t="str">
        <f>ifs($C558="","",$C558, VLOOKUP($C558&amp;$F558, 'MARCH - VISIT DATA'!A:O,3,0))</f>
        <v/>
      </c>
      <c r="H558" s="83"/>
      <c r="I558" s="122" t="str">
        <f>VLOOKUP($C558&amp;$F558,'MARCH - VISIT DATA'!A:J, 9, FALSE)</f>
        <v>#N/A</v>
      </c>
      <c r="J558" s="85" t="str">
        <f>VLOOKUP(C558&amp;F558,'MARCH - VISIT DATA'!A:O,10,FALSE)</f>
        <v>#N/A</v>
      </c>
      <c r="K558" s="86"/>
      <c r="L558" s="86"/>
      <c r="M558" s="86"/>
      <c r="N558" s="86"/>
      <c r="O558" s="121" t="str">
        <f t="shared" si="2"/>
        <v>X</v>
      </c>
      <c r="P558" s="79" t="str">
        <f t="shared" si="3"/>
        <v>#N/A</v>
      </c>
      <c r="Q558" s="123" t="str">
        <f t="shared" si="4"/>
        <v>#N/A</v>
      </c>
      <c r="R558" s="124" t="str">
        <f t="shared" si="5"/>
        <v>#N/A</v>
      </c>
      <c r="S558" s="125" t="str">
        <f t="shared" si="6"/>
        <v>#N/A</v>
      </c>
      <c r="T558" s="125" t="str">
        <f t="shared" si="7"/>
        <v>#N/A</v>
      </c>
      <c r="U558" s="83">
        <f t="shared" si="8"/>
        <v>0</v>
      </c>
      <c r="V558" s="88" t="str">
        <f>ifs($N558="",VLOOKUP($C558&amp;$F558,'MARCH - VISIT DATA'!$A$2:$J600,7,FALSE), $N558="SWAB","OUTSA-RW",$N558="SWQU","OUTSA-SaQu", AND($L558="X",$M558="X",$N558="QUEST"),"OUT-UAQPre",$N558="QUEST","OUT-UAQ", $N558="Walk in","ColUATele")</f>
        <v>#N/A</v>
      </c>
      <c r="W558" s="70" t="str">
        <f t="shared" si="9"/>
        <v>#N/A</v>
      </c>
      <c r="X558" s="64" t="str">
        <f t="shared" si="10"/>
        <v/>
      </c>
      <c r="Y558" s="64" t="str">
        <f t="shared" si="11"/>
        <v/>
      </c>
      <c r="Z558" s="66" t="str">
        <f t="shared" si="12"/>
        <v> </v>
      </c>
      <c r="AA558" s="71"/>
    </row>
    <row r="559" ht="15.75" customHeight="1">
      <c r="A559" s="56" t="str">
        <f t="shared" si="1"/>
        <v/>
      </c>
      <c r="B559" s="56" t="str">
        <f>IFS($C559=FALSE,"",$C559,VLOOKUP($C559,'PATIENT DATA (072721)'!A:C, 2, 0))</f>
        <v/>
      </c>
      <c r="C559" s="57"/>
      <c r="D559" s="127" t="str">
        <f>IF(COUNTIF('PATIENT DATA (072721)'!A:A, C559)=0, "X","✓")</f>
        <v>X</v>
      </c>
      <c r="E559" s="79"/>
      <c r="F559" s="80"/>
      <c r="G559" s="81" t="str">
        <f>ifs($C559="","",$C559, VLOOKUP($C559&amp;$F559, 'MARCH - VISIT DATA'!A:O,3,0))</f>
        <v/>
      </c>
      <c r="H559" s="83"/>
      <c r="I559" s="122" t="str">
        <f>VLOOKUP($C559&amp;$F559,'MARCH - VISIT DATA'!A:J, 9, FALSE)</f>
        <v>#N/A</v>
      </c>
      <c r="J559" s="85" t="str">
        <f>VLOOKUP(C559&amp;F559,'MARCH - VISIT DATA'!A:O,10,FALSE)</f>
        <v>#N/A</v>
      </c>
      <c r="K559" s="86"/>
      <c r="L559" s="86"/>
      <c r="M559" s="86"/>
      <c r="N559" s="86"/>
      <c r="O559" s="121" t="str">
        <f t="shared" si="2"/>
        <v>X</v>
      </c>
      <c r="P559" s="79" t="str">
        <f t="shared" si="3"/>
        <v>#N/A</v>
      </c>
      <c r="Q559" s="123" t="str">
        <f t="shared" si="4"/>
        <v>#N/A</v>
      </c>
      <c r="R559" s="124" t="str">
        <f t="shared" si="5"/>
        <v>#N/A</v>
      </c>
      <c r="S559" s="125" t="str">
        <f t="shared" si="6"/>
        <v>#N/A</v>
      </c>
      <c r="T559" s="125" t="str">
        <f t="shared" si="7"/>
        <v>#N/A</v>
      </c>
      <c r="U559" s="83">
        <f t="shared" si="8"/>
        <v>0</v>
      </c>
      <c r="V559" s="88" t="str">
        <f>ifs($N559="",VLOOKUP($C559&amp;$F559,'MARCH - VISIT DATA'!$A$2:$J600,7,FALSE), $N559="SWAB","OUTSA-RW",$N559="SWQU","OUTSA-SaQu", AND($L559="X",$M559="X",$N559="QUEST"),"OUT-UAQPre",$N559="QUEST","OUT-UAQ", $N559="Walk in","ColUATele")</f>
        <v>#N/A</v>
      </c>
      <c r="W559" s="70" t="str">
        <f t="shared" si="9"/>
        <v>#N/A</v>
      </c>
      <c r="X559" s="64" t="str">
        <f t="shared" si="10"/>
        <v/>
      </c>
      <c r="Y559" s="64" t="str">
        <f t="shared" si="11"/>
        <v/>
      </c>
      <c r="Z559" s="66" t="str">
        <f t="shared" si="12"/>
        <v> </v>
      </c>
      <c r="AA559" s="71"/>
    </row>
    <row r="560" ht="15.75" customHeight="1">
      <c r="A560" s="56" t="str">
        <f t="shared" si="1"/>
        <v/>
      </c>
      <c r="B560" s="56" t="str">
        <f>IFS($C560=FALSE,"",$C560,VLOOKUP($C560,'PATIENT DATA (072721)'!A:C, 2, 0))</f>
        <v/>
      </c>
      <c r="C560" s="57"/>
      <c r="D560" s="127" t="str">
        <f>IF(COUNTIF('PATIENT DATA (072721)'!A:A, C560)=0, "X","✓")</f>
        <v>X</v>
      </c>
      <c r="E560" s="79"/>
      <c r="F560" s="80"/>
      <c r="G560" s="81" t="str">
        <f>ifs($C560="","",$C560, VLOOKUP($C560&amp;$F560, 'MARCH - VISIT DATA'!A:O,3,0))</f>
        <v/>
      </c>
      <c r="H560" s="83"/>
      <c r="I560" s="122" t="str">
        <f>VLOOKUP($C560&amp;$F560,'MARCH - VISIT DATA'!A:J, 9, FALSE)</f>
        <v>#N/A</v>
      </c>
      <c r="J560" s="85" t="str">
        <f>VLOOKUP(C560&amp;F560,'MARCH - VISIT DATA'!A:O,10,FALSE)</f>
        <v>#N/A</v>
      </c>
      <c r="K560" s="86"/>
      <c r="L560" s="86"/>
      <c r="M560" s="86"/>
      <c r="N560" s="86"/>
      <c r="O560" s="121" t="str">
        <f t="shared" si="2"/>
        <v>X</v>
      </c>
      <c r="P560" s="79" t="str">
        <f t="shared" si="3"/>
        <v>#N/A</v>
      </c>
      <c r="Q560" s="123" t="str">
        <f t="shared" si="4"/>
        <v>#N/A</v>
      </c>
      <c r="R560" s="124" t="str">
        <f t="shared" si="5"/>
        <v>#N/A</v>
      </c>
      <c r="S560" s="125" t="str">
        <f t="shared" si="6"/>
        <v>#N/A</v>
      </c>
      <c r="T560" s="125" t="str">
        <f t="shared" si="7"/>
        <v>#N/A</v>
      </c>
      <c r="U560" s="83">
        <f t="shared" si="8"/>
        <v>0</v>
      </c>
      <c r="V560" s="88" t="str">
        <f>ifs($N560="",VLOOKUP($C560&amp;$F560,'MARCH - VISIT DATA'!$A$2:$J600,7,FALSE), $N560="SWAB","OUTSA-RW",$N560="SWQU","OUTSA-SaQu", AND($L560="X",$M560="X",$N560="QUEST"),"OUT-UAQPre",$N560="QUEST","OUT-UAQ", $N560="Walk in","ColUATele")</f>
        <v>#N/A</v>
      </c>
      <c r="W560" s="70" t="str">
        <f t="shared" si="9"/>
        <v>#N/A</v>
      </c>
      <c r="X560" s="64" t="str">
        <f t="shared" si="10"/>
        <v/>
      </c>
      <c r="Y560" s="64" t="str">
        <f t="shared" si="11"/>
        <v/>
      </c>
      <c r="Z560" s="66" t="str">
        <f t="shared" si="12"/>
        <v> </v>
      </c>
      <c r="AA560" s="71"/>
    </row>
    <row r="561" ht="15.75" customHeight="1">
      <c r="A561" s="56" t="str">
        <f t="shared" si="1"/>
        <v/>
      </c>
      <c r="B561" s="56" t="str">
        <f>IFS($C561=FALSE,"",$C561,VLOOKUP($C561,'PATIENT DATA (072721)'!A:C, 2, 0))</f>
        <v/>
      </c>
      <c r="C561" s="57"/>
      <c r="D561" s="127" t="str">
        <f>IF(COUNTIF('PATIENT DATA (072721)'!A:A, C561)=0, "X","✓")</f>
        <v>X</v>
      </c>
      <c r="E561" s="79"/>
      <c r="F561" s="80"/>
      <c r="G561" s="81" t="str">
        <f>ifs($C561="","",$C561, VLOOKUP($C561&amp;$F561, 'MARCH - VISIT DATA'!A:O,3,0))</f>
        <v/>
      </c>
      <c r="H561" s="83"/>
      <c r="I561" s="122" t="str">
        <f>VLOOKUP($C561&amp;$F561,'MARCH - VISIT DATA'!A:J, 9, FALSE)</f>
        <v>#N/A</v>
      </c>
      <c r="J561" s="85" t="str">
        <f>VLOOKUP(C561&amp;F561,'MARCH - VISIT DATA'!A:O,10,FALSE)</f>
        <v>#N/A</v>
      </c>
      <c r="K561" s="86"/>
      <c r="L561" s="86"/>
      <c r="M561" s="86"/>
      <c r="N561" s="86"/>
      <c r="O561" s="121" t="str">
        <f t="shared" si="2"/>
        <v>X</v>
      </c>
      <c r="P561" s="79" t="str">
        <f t="shared" si="3"/>
        <v>#N/A</v>
      </c>
      <c r="Q561" s="123" t="str">
        <f t="shared" si="4"/>
        <v>#N/A</v>
      </c>
      <c r="R561" s="124" t="str">
        <f t="shared" si="5"/>
        <v>#N/A</v>
      </c>
      <c r="S561" s="125" t="str">
        <f t="shared" si="6"/>
        <v>#N/A</v>
      </c>
      <c r="T561" s="125" t="str">
        <f t="shared" si="7"/>
        <v>#N/A</v>
      </c>
      <c r="U561" s="83">
        <f t="shared" si="8"/>
        <v>0</v>
      </c>
      <c r="V561" s="88" t="str">
        <f>ifs($N561="",VLOOKUP($C561&amp;$F561,'MARCH - VISIT DATA'!$A$2:$J600,7,FALSE), $N561="SWAB","OUTSA-RW",$N561="SWQU","OUTSA-SaQu", AND($L561="X",$M561="X",$N561="QUEST"),"OUT-UAQPre",$N561="QUEST","OUT-UAQ", $N561="Walk in","ColUATele")</f>
        <v>#N/A</v>
      </c>
      <c r="W561" s="70" t="str">
        <f t="shared" si="9"/>
        <v>#N/A</v>
      </c>
      <c r="X561" s="64" t="str">
        <f t="shared" si="10"/>
        <v/>
      </c>
      <c r="Y561" s="64" t="str">
        <f t="shared" si="11"/>
        <v/>
      </c>
      <c r="Z561" s="66" t="str">
        <f t="shared" si="12"/>
        <v> </v>
      </c>
      <c r="AA561" s="71"/>
    </row>
    <row r="562" ht="15.75" customHeight="1">
      <c r="A562" s="56" t="str">
        <f t="shared" si="1"/>
        <v/>
      </c>
      <c r="B562" s="56" t="str">
        <f>IFS($C562=FALSE,"",$C562,VLOOKUP($C562,'PATIENT DATA (072721)'!A:C, 2, 0))</f>
        <v/>
      </c>
      <c r="C562" s="57"/>
      <c r="D562" s="127" t="str">
        <f>IF(COUNTIF('PATIENT DATA (072721)'!A:A, C562)=0, "X","✓")</f>
        <v>X</v>
      </c>
      <c r="E562" s="79"/>
      <c r="F562" s="80"/>
      <c r="G562" s="81" t="str">
        <f>ifs($C562="","",$C562, VLOOKUP($C562&amp;$F562, 'MARCH - VISIT DATA'!A:O,3,0))</f>
        <v/>
      </c>
      <c r="H562" s="83"/>
      <c r="I562" s="122" t="str">
        <f>VLOOKUP($C562&amp;$F562,'MARCH - VISIT DATA'!A:J, 9, FALSE)</f>
        <v>#N/A</v>
      </c>
      <c r="J562" s="85" t="str">
        <f>VLOOKUP(C562&amp;F562,'MARCH - VISIT DATA'!A:O,10,FALSE)</f>
        <v>#N/A</v>
      </c>
      <c r="K562" s="86"/>
      <c r="L562" s="86"/>
      <c r="M562" s="86"/>
      <c r="N562" s="86"/>
      <c r="O562" s="121" t="str">
        <f t="shared" si="2"/>
        <v>X</v>
      </c>
      <c r="P562" s="79" t="str">
        <f t="shared" si="3"/>
        <v>#N/A</v>
      </c>
      <c r="Q562" s="123" t="str">
        <f t="shared" si="4"/>
        <v>#N/A</v>
      </c>
      <c r="R562" s="124" t="str">
        <f t="shared" si="5"/>
        <v>#N/A</v>
      </c>
      <c r="S562" s="125" t="str">
        <f t="shared" si="6"/>
        <v>#N/A</v>
      </c>
      <c r="T562" s="125" t="str">
        <f t="shared" si="7"/>
        <v>#N/A</v>
      </c>
      <c r="U562" s="83">
        <f t="shared" si="8"/>
        <v>0</v>
      </c>
      <c r="V562" s="88" t="str">
        <f>ifs($N562="",VLOOKUP($C562&amp;$F562,'MARCH - VISIT DATA'!$A$2:$J600,7,FALSE), $N562="SWAB","OUTSA-RW",$N562="SWQU","OUTSA-SaQu", AND($L562="X",$M562="X",$N562="QUEST"),"OUT-UAQPre",$N562="QUEST","OUT-UAQ", $N562="Walk in","ColUATele")</f>
        <v>#N/A</v>
      </c>
      <c r="W562" s="70" t="str">
        <f t="shared" si="9"/>
        <v>#N/A</v>
      </c>
      <c r="X562" s="64" t="str">
        <f t="shared" si="10"/>
        <v/>
      </c>
      <c r="Y562" s="64" t="str">
        <f t="shared" si="11"/>
        <v/>
      </c>
      <c r="Z562" s="66" t="str">
        <f t="shared" si="12"/>
        <v> </v>
      </c>
      <c r="AA562" s="71"/>
    </row>
    <row r="563" ht="15.75" customHeight="1">
      <c r="A563" s="56" t="str">
        <f t="shared" si="1"/>
        <v/>
      </c>
      <c r="B563" s="56" t="str">
        <f>IFS($C563=FALSE,"",$C563,VLOOKUP($C563,'PATIENT DATA (072721)'!A:C, 2, 0))</f>
        <v/>
      </c>
      <c r="C563" s="57"/>
      <c r="D563" s="127" t="str">
        <f>IF(COUNTIF('PATIENT DATA (072721)'!A:A, C563)=0, "X","✓")</f>
        <v>X</v>
      </c>
      <c r="E563" s="79"/>
      <c r="F563" s="80"/>
      <c r="G563" s="81" t="str">
        <f>ifs($C563="","",$C563, VLOOKUP($C563&amp;$F563, 'MARCH - VISIT DATA'!A:O,3,0))</f>
        <v/>
      </c>
      <c r="H563" s="83"/>
      <c r="I563" s="122" t="str">
        <f>VLOOKUP($C563&amp;$F563,'MARCH - VISIT DATA'!A:J, 9, FALSE)</f>
        <v>#N/A</v>
      </c>
      <c r="J563" s="85" t="str">
        <f>VLOOKUP(C563&amp;F563,'MARCH - VISIT DATA'!A:O,10,FALSE)</f>
        <v>#N/A</v>
      </c>
      <c r="K563" s="86"/>
      <c r="L563" s="86"/>
      <c r="M563" s="86"/>
      <c r="N563" s="86"/>
      <c r="O563" s="121" t="str">
        <f t="shared" si="2"/>
        <v>X</v>
      </c>
      <c r="P563" s="79" t="str">
        <f t="shared" si="3"/>
        <v>#N/A</v>
      </c>
      <c r="Q563" s="123" t="str">
        <f t="shared" si="4"/>
        <v>#N/A</v>
      </c>
      <c r="R563" s="124" t="str">
        <f t="shared" si="5"/>
        <v>#N/A</v>
      </c>
      <c r="S563" s="125" t="str">
        <f t="shared" si="6"/>
        <v>#N/A</v>
      </c>
      <c r="T563" s="125" t="str">
        <f t="shared" si="7"/>
        <v>#N/A</v>
      </c>
      <c r="U563" s="83">
        <f t="shared" si="8"/>
        <v>0</v>
      </c>
      <c r="V563" s="88" t="str">
        <f>ifs($N563="",VLOOKUP($C563&amp;$F563,'MARCH - VISIT DATA'!$A$2:$J600,7,FALSE), $N563="SWAB","OUTSA-RW",$N563="SWQU","OUTSA-SaQu", AND($L563="X",$M563="X",$N563="QUEST"),"OUT-UAQPre",$N563="QUEST","OUT-UAQ", $N563="Walk in","ColUATele")</f>
        <v>#N/A</v>
      </c>
      <c r="W563" s="70" t="str">
        <f t="shared" si="9"/>
        <v>#N/A</v>
      </c>
      <c r="X563" s="64" t="str">
        <f t="shared" si="10"/>
        <v/>
      </c>
      <c r="Y563" s="64" t="str">
        <f t="shared" si="11"/>
        <v/>
      </c>
      <c r="Z563" s="66" t="str">
        <f t="shared" si="12"/>
        <v> </v>
      </c>
      <c r="AA563" s="71"/>
    </row>
    <row r="564" ht="15.75" customHeight="1">
      <c r="A564" s="56" t="str">
        <f t="shared" si="1"/>
        <v/>
      </c>
      <c r="B564" s="56" t="str">
        <f>IFS($C564=FALSE,"",$C564,VLOOKUP($C564,'PATIENT DATA (072721)'!A:C, 2, 0))</f>
        <v/>
      </c>
      <c r="C564" s="57"/>
      <c r="D564" s="127" t="str">
        <f>IF(COUNTIF('PATIENT DATA (072721)'!A:A, C564)=0, "X","✓")</f>
        <v>X</v>
      </c>
      <c r="E564" s="79"/>
      <c r="F564" s="80"/>
      <c r="G564" s="81" t="str">
        <f>ifs($C564="","",$C564, VLOOKUP($C564&amp;$F564, 'MARCH - VISIT DATA'!A:O,3,0))</f>
        <v/>
      </c>
      <c r="H564" s="83"/>
      <c r="I564" s="122" t="str">
        <f>VLOOKUP($C564&amp;$F564,'MARCH - VISIT DATA'!A:J, 9, FALSE)</f>
        <v>#N/A</v>
      </c>
      <c r="J564" s="85" t="str">
        <f>VLOOKUP(C564&amp;F564,'MARCH - VISIT DATA'!A:O,10,FALSE)</f>
        <v>#N/A</v>
      </c>
      <c r="K564" s="86"/>
      <c r="L564" s="86"/>
      <c r="M564" s="86"/>
      <c r="N564" s="86"/>
      <c r="O564" s="121" t="str">
        <f t="shared" si="2"/>
        <v>X</v>
      </c>
      <c r="P564" s="79" t="str">
        <f t="shared" si="3"/>
        <v>#N/A</v>
      </c>
      <c r="Q564" s="123" t="str">
        <f t="shared" si="4"/>
        <v>#N/A</v>
      </c>
      <c r="R564" s="124" t="str">
        <f t="shared" si="5"/>
        <v>#N/A</v>
      </c>
      <c r="S564" s="125" t="str">
        <f t="shared" si="6"/>
        <v>#N/A</v>
      </c>
      <c r="T564" s="125" t="str">
        <f t="shared" si="7"/>
        <v>#N/A</v>
      </c>
      <c r="U564" s="83">
        <f t="shared" si="8"/>
        <v>0</v>
      </c>
      <c r="V564" s="88" t="str">
        <f>ifs($N564="",VLOOKUP($C564&amp;$F564,'MARCH - VISIT DATA'!$A$2:$J600,7,FALSE), $N564="SWAB","OUTSA-RW",$N564="SWQU","OUTSA-SaQu", AND($L564="X",$M564="X",$N564="QUEST"),"OUT-UAQPre",$N564="QUEST","OUT-UAQ", $N564="Walk in","ColUATele")</f>
        <v>#N/A</v>
      </c>
      <c r="W564" s="70" t="str">
        <f t="shared" si="9"/>
        <v>#N/A</v>
      </c>
      <c r="X564" s="64" t="str">
        <f t="shared" si="10"/>
        <v/>
      </c>
      <c r="Y564" s="64" t="str">
        <f t="shared" si="11"/>
        <v/>
      </c>
      <c r="Z564" s="66" t="str">
        <f t="shared" si="12"/>
        <v> </v>
      </c>
      <c r="AA564" s="71"/>
    </row>
    <row r="565" ht="15.75" customHeight="1">
      <c r="A565" s="56" t="str">
        <f t="shared" si="1"/>
        <v/>
      </c>
      <c r="B565" s="56" t="str">
        <f>IFS($C565=FALSE,"",$C565,VLOOKUP($C565,'PATIENT DATA (072721)'!A:C, 2, 0))</f>
        <v/>
      </c>
      <c r="C565" s="57"/>
      <c r="D565" s="127" t="str">
        <f>IF(COUNTIF('PATIENT DATA (072721)'!A:A, C565)=0, "X","✓")</f>
        <v>X</v>
      </c>
      <c r="E565" s="79"/>
      <c r="F565" s="80"/>
      <c r="G565" s="81" t="str">
        <f>ifs($C565="","",$C565, VLOOKUP($C565&amp;$F565, 'MARCH - VISIT DATA'!A:O,3,0))</f>
        <v/>
      </c>
      <c r="H565" s="83"/>
      <c r="I565" s="122" t="str">
        <f>VLOOKUP($C565&amp;$F565,'MARCH - VISIT DATA'!A:J, 9, FALSE)</f>
        <v>#N/A</v>
      </c>
      <c r="J565" s="85" t="str">
        <f>VLOOKUP(C565&amp;F565,'MARCH - VISIT DATA'!A:O,10,FALSE)</f>
        <v>#N/A</v>
      </c>
      <c r="K565" s="86"/>
      <c r="L565" s="86"/>
      <c r="M565" s="86"/>
      <c r="N565" s="86"/>
      <c r="O565" s="121" t="str">
        <f t="shared" si="2"/>
        <v>X</v>
      </c>
      <c r="P565" s="79" t="str">
        <f t="shared" si="3"/>
        <v>#N/A</v>
      </c>
      <c r="Q565" s="123" t="str">
        <f t="shared" si="4"/>
        <v>#N/A</v>
      </c>
      <c r="R565" s="124" t="str">
        <f t="shared" si="5"/>
        <v>#N/A</v>
      </c>
      <c r="S565" s="125" t="str">
        <f t="shared" si="6"/>
        <v>#N/A</v>
      </c>
      <c r="T565" s="125" t="str">
        <f t="shared" si="7"/>
        <v>#N/A</v>
      </c>
      <c r="U565" s="83">
        <f t="shared" si="8"/>
        <v>0</v>
      </c>
      <c r="V565" s="88" t="str">
        <f>ifs($N565="",VLOOKUP($C565&amp;$F565,'MARCH - VISIT DATA'!$A$2:$J600,7,FALSE), $N565="SWAB","OUTSA-RW",$N565="SWQU","OUTSA-SaQu", AND($L565="X",$M565="X",$N565="QUEST"),"OUT-UAQPre",$N565="QUEST","OUT-UAQ", $N565="Walk in","ColUATele")</f>
        <v>#N/A</v>
      </c>
      <c r="W565" s="70" t="str">
        <f t="shared" si="9"/>
        <v>#N/A</v>
      </c>
      <c r="X565" s="64" t="str">
        <f t="shared" si="10"/>
        <v/>
      </c>
      <c r="Y565" s="64" t="str">
        <f t="shared" si="11"/>
        <v/>
      </c>
      <c r="Z565" s="66" t="str">
        <f t="shared" si="12"/>
        <v> </v>
      </c>
      <c r="AA565" s="71"/>
    </row>
    <row r="566" ht="15.75" customHeight="1">
      <c r="A566" s="56" t="str">
        <f t="shared" si="1"/>
        <v/>
      </c>
      <c r="B566" s="56" t="str">
        <f>IFS($C566=FALSE,"",$C566,VLOOKUP($C566,'PATIENT DATA (072721)'!A:C, 2, 0))</f>
        <v/>
      </c>
      <c r="C566" s="57"/>
      <c r="D566" s="127" t="str">
        <f>IF(COUNTIF('PATIENT DATA (072721)'!A:A, C566)=0, "X","✓")</f>
        <v>X</v>
      </c>
      <c r="E566" s="79"/>
      <c r="F566" s="80"/>
      <c r="G566" s="81" t="str">
        <f>ifs($C566="","",$C566, VLOOKUP($C566&amp;$F566, 'MARCH - VISIT DATA'!A:O,3,0))</f>
        <v/>
      </c>
      <c r="H566" s="83"/>
      <c r="I566" s="122" t="str">
        <f>VLOOKUP($C566&amp;$F566,'MARCH - VISIT DATA'!A:J, 9, FALSE)</f>
        <v>#N/A</v>
      </c>
      <c r="J566" s="85" t="str">
        <f>VLOOKUP(C566&amp;F566,'MARCH - VISIT DATA'!A:O,10,FALSE)</f>
        <v>#N/A</v>
      </c>
      <c r="K566" s="86"/>
      <c r="L566" s="86"/>
      <c r="M566" s="86"/>
      <c r="N566" s="86"/>
      <c r="O566" s="121" t="str">
        <f t="shared" si="2"/>
        <v>X</v>
      </c>
      <c r="P566" s="79" t="str">
        <f t="shared" si="3"/>
        <v>#N/A</v>
      </c>
      <c r="Q566" s="123" t="str">
        <f t="shared" si="4"/>
        <v>#N/A</v>
      </c>
      <c r="R566" s="124" t="str">
        <f t="shared" si="5"/>
        <v>#N/A</v>
      </c>
      <c r="S566" s="125" t="str">
        <f t="shared" si="6"/>
        <v>#N/A</v>
      </c>
      <c r="T566" s="125" t="str">
        <f t="shared" si="7"/>
        <v>#N/A</v>
      </c>
      <c r="U566" s="83">
        <f t="shared" si="8"/>
        <v>0</v>
      </c>
      <c r="V566" s="88" t="str">
        <f>ifs($N566="",VLOOKUP($C566&amp;$F566,'MARCH - VISIT DATA'!$A$2:$J600,7,FALSE), $N566="SWAB","OUTSA-RW",$N566="SWQU","OUTSA-SaQu", AND($L566="X",$M566="X",$N566="QUEST"),"OUT-UAQPre",$N566="QUEST","OUT-UAQ", $N566="Walk in","ColUATele")</f>
        <v>#N/A</v>
      </c>
      <c r="W566" s="70" t="str">
        <f t="shared" si="9"/>
        <v>#N/A</v>
      </c>
      <c r="X566" s="64" t="str">
        <f t="shared" si="10"/>
        <v/>
      </c>
      <c r="Y566" s="64" t="str">
        <f t="shared" si="11"/>
        <v/>
      </c>
      <c r="Z566" s="66" t="str">
        <f t="shared" si="12"/>
        <v> </v>
      </c>
      <c r="AA566" s="71"/>
    </row>
    <row r="567" ht="15.75" customHeight="1">
      <c r="A567" s="56" t="str">
        <f t="shared" si="1"/>
        <v/>
      </c>
      <c r="B567" s="56" t="str">
        <f>IFS($C567=FALSE,"",$C567,VLOOKUP($C567,'PATIENT DATA (072721)'!A:C, 2, 0))</f>
        <v/>
      </c>
      <c r="C567" s="57"/>
      <c r="D567" s="127" t="str">
        <f>IF(COUNTIF('PATIENT DATA (072721)'!A:A, C567)=0, "X","✓")</f>
        <v>X</v>
      </c>
      <c r="E567" s="79"/>
      <c r="F567" s="80"/>
      <c r="G567" s="81" t="str">
        <f>ifs($C567="","",$C567, VLOOKUP($C567&amp;$F567, 'MARCH - VISIT DATA'!A:O,3,0))</f>
        <v/>
      </c>
      <c r="H567" s="83"/>
      <c r="I567" s="122" t="str">
        <f>VLOOKUP($C567&amp;$F567,'MARCH - VISIT DATA'!A:J, 9, FALSE)</f>
        <v>#N/A</v>
      </c>
      <c r="J567" s="85" t="str">
        <f>VLOOKUP(C567&amp;F567,'MARCH - VISIT DATA'!A:O,10,FALSE)</f>
        <v>#N/A</v>
      </c>
      <c r="K567" s="86"/>
      <c r="L567" s="86"/>
      <c r="M567" s="86"/>
      <c r="N567" s="86"/>
      <c r="O567" s="121" t="str">
        <f t="shared" si="2"/>
        <v>X</v>
      </c>
      <c r="P567" s="79" t="str">
        <f t="shared" si="3"/>
        <v>#N/A</v>
      </c>
      <c r="Q567" s="123" t="str">
        <f t="shared" si="4"/>
        <v>#N/A</v>
      </c>
      <c r="R567" s="124" t="str">
        <f t="shared" si="5"/>
        <v>#N/A</v>
      </c>
      <c r="S567" s="125" t="str">
        <f t="shared" si="6"/>
        <v>#N/A</v>
      </c>
      <c r="T567" s="125" t="str">
        <f t="shared" si="7"/>
        <v>#N/A</v>
      </c>
      <c r="U567" s="83">
        <f t="shared" si="8"/>
        <v>0</v>
      </c>
      <c r="V567" s="88" t="str">
        <f>ifs($N567="",VLOOKUP($C567&amp;$F567,'MARCH - VISIT DATA'!$A$2:$J600,7,FALSE), $N567="SWAB","OUTSA-RW",$N567="SWQU","OUTSA-SaQu", AND($L567="X",$M567="X",$N567="QUEST"),"OUT-UAQPre",$N567="QUEST","OUT-UAQ", $N567="Walk in","ColUATele")</f>
        <v>#N/A</v>
      </c>
      <c r="W567" s="70" t="str">
        <f t="shared" si="9"/>
        <v>#N/A</v>
      </c>
      <c r="X567" s="64" t="str">
        <f t="shared" si="10"/>
        <v/>
      </c>
      <c r="Y567" s="64" t="str">
        <f t="shared" si="11"/>
        <v/>
      </c>
      <c r="Z567" s="66" t="str">
        <f t="shared" si="12"/>
        <v> </v>
      </c>
      <c r="AA567" s="71"/>
    </row>
    <row r="568" ht="15.75" customHeight="1">
      <c r="A568" s="56" t="str">
        <f t="shared" si="1"/>
        <v/>
      </c>
      <c r="B568" s="56" t="str">
        <f>IFS($C568=FALSE,"",$C568,VLOOKUP($C568,'PATIENT DATA (072721)'!A:C, 2, 0))</f>
        <v/>
      </c>
      <c r="C568" s="57"/>
      <c r="D568" s="127" t="str">
        <f>IF(COUNTIF('PATIENT DATA (072721)'!A:A, C568)=0, "X","✓")</f>
        <v>X</v>
      </c>
      <c r="E568" s="79"/>
      <c r="F568" s="80"/>
      <c r="G568" s="81" t="str">
        <f>ifs($C568="","",$C568, VLOOKUP($C568&amp;$F568, 'MARCH - VISIT DATA'!A:O,3,0))</f>
        <v/>
      </c>
      <c r="H568" s="83"/>
      <c r="I568" s="122" t="str">
        <f>VLOOKUP($C568&amp;$F568,'MARCH - VISIT DATA'!A:J, 9, FALSE)</f>
        <v>#N/A</v>
      </c>
      <c r="J568" s="85" t="str">
        <f>VLOOKUP(C568&amp;F568,'MARCH - VISIT DATA'!A:O,10,FALSE)</f>
        <v>#N/A</v>
      </c>
      <c r="K568" s="86"/>
      <c r="L568" s="86"/>
      <c r="M568" s="86"/>
      <c r="N568" s="86"/>
      <c r="O568" s="121" t="str">
        <f t="shared" si="2"/>
        <v>X</v>
      </c>
      <c r="P568" s="79" t="str">
        <f t="shared" si="3"/>
        <v>#N/A</v>
      </c>
      <c r="Q568" s="123" t="str">
        <f t="shared" si="4"/>
        <v>#N/A</v>
      </c>
      <c r="R568" s="124" t="str">
        <f t="shared" si="5"/>
        <v>#N/A</v>
      </c>
      <c r="S568" s="125" t="str">
        <f t="shared" si="6"/>
        <v>#N/A</v>
      </c>
      <c r="T568" s="125" t="str">
        <f t="shared" si="7"/>
        <v>#N/A</v>
      </c>
      <c r="U568" s="83">
        <f t="shared" si="8"/>
        <v>0</v>
      </c>
      <c r="V568" s="88" t="str">
        <f>ifs($N568="",VLOOKUP($C568&amp;$F568,'MARCH - VISIT DATA'!$A$2:$J600,7,FALSE), $N568="SWAB","OUTSA-RW",$N568="SWQU","OUTSA-SaQu", AND($L568="X",$M568="X",$N568="QUEST"),"OUT-UAQPre",$N568="QUEST","OUT-UAQ", $N568="Walk in","ColUATele")</f>
        <v>#N/A</v>
      </c>
      <c r="W568" s="70" t="str">
        <f t="shared" si="9"/>
        <v>#N/A</v>
      </c>
      <c r="X568" s="64" t="str">
        <f t="shared" si="10"/>
        <v/>
      </c>
      <c r="Y568" s="64" t="str">
        <f t="shared" si="11"/>
        <v/>
      </c>
      <c r="Z568" s="66" t="str">
        <f t="shared" si="12"/>
        <v> </v>
      </c>
      <c r="AA568" s="71"/>
    </row>
    <row r="569" ht="15.75" customHeight="1">
      <c r="A569" s="56" t="str">
        <f t="shared" si="1"/>
        <v/>
      </c>
      <c r="B569" s="56" t="str">
        <f>IFS($C569=FALSE,"",$C569,VLOOKUP($C569,'PATIENT DATA (072721)'!A:C, 2, 0))</f>
        <v/>
      </c>
      <c r="C569" s="57"/>
      <c r="D569" s="127" t="str">
        <f>IF(COUNTIF('PATIENT DATA (072721)'!A:A, C569)=0, "X","✓")</f>
        <v>X</v>
      </c>
      <c r="E569" s="79"/>
      <c r="F569" s="80"/>
      <c r="G569" s="81" t="str">
        <f>ifs($C569="","",$C569, VLOOKUP($C569&amp;$F569, 'MARCH - VISIT DATA'!A:O,3,0))</f>
        <v/>
      </c>
      <c r="H569" s="83"/>
      <c r="I569" s="122" t="str">
        <f>VLOOKUP($C569&amp;$F569,'MARCH - VISIT DATA'!A:J, 9, FALSE)</f>
        <v>#N/A</v>
      </c>
      <c r="J569" s="85" t="str">
        <f>VLOOKUP(C569&amp;F569,'MARCH - VISIT DATA'!A:O,10,FALSE)</f>
        <v>#N/A</v>
      </c>
      <c r="K569" s="86"/>
      <c r="L569" s="86"/>
      <c r="M569" s="86"/>
      <c r="N569" s="86"/>
      <c r="O569" s="121" t="str">
        <f t="shared" si="2"/>
        <v>X</v>
      </c>
      <c r="P569" s="79" t="str">
        <f t="shared" si="3"/>
        <v>#N/A</v>
      </c>
      <c r="Q569" s="123" t="str">
        <f t="shared" si="4"/>
        <v>#N/A</v>
      </c>
      <c r="R569" s="124" t="str">
        <f t="shared" si="5"/>
        <v>#N/A</v>
      </c>
      <c r="S569" s="125" t="str">
        <f t="shared" si="6"/>
        <v>#N/A</v>
      </c>
      <c r="T569" s="125" t="str">
        <f t="shared" si="7"/>
        <v>#N/A</v>
      </c>
      <c r="U569" s="83">
        <f t="shared" si="8"/>
        <v>0</v>
      </c>
      <c r="V569" s="88" t="str">
        <f>ifs($N569="",VLOOKUP($C569&amp;$F569,'MARCH - VISIT DATA'!$A$2:$J600,7,FALSE), $N569="SWAB","OUTSA-RW",$N569="SWQU","OUTSA-SaQu", AND($L569="X",$M569="X",$N569="QUEST"),"OUT-UAQPre",$N569="QUEST","OUT-UAQ", $N569="Walk in","ColUATele")</f>
        <v>#N/A</v>
      </c>
      <c r="W569" s="70" t="str">
        <f t="shared" si="9"/>
        <v>#N/A</v>
      </c>
      <c r="X569" s="64" t="str">
        <f t="shared" si="10"/>
        <v/>
      </c>
      <c r="Y569" s="64" t="str">
        <f t="shared" si="11"/>
        <v/>
      </c>
      <c r="Z569" s="66" t="str">
        <f t="shared" si="12"/>
        <v> </v>
      </c>
      <c r="AA569" s="71"/>
    </row>
    <row r="570" ht="15.75" customHeight="1">
      <c r="A570" s="56" t="str">
        <f t="shared" si="1"/>
        <v/>
      </c>
      <c r="B570" s="56" t="str">
        <f>IFS($C570=FALSE,"",$C570,VLOOKUP($C570,'PATIENT DATA (072721)'!A:C, 2, 0))</f>
        <v/>
      </c>
      <c r="C570" s="57"/>
      <c r="D570" s="127" t="str">
        <f>IF(COUNTIF('PATIENT DATA (072721)'!A:A, C570)=0, "X","✓")</f>
        <v>X</v>
      </c>
      <c r="E570" s="79"/>
      <c r="F570" s="80"/>
      <c r="G570" s="81" t="str">
        <f>ifs($C570="","",$C570, VLOOKUP($C570&amp;$F570, 'MARCH - VISIT DATA'!A:O,3,0))</f>
        <v/>
      </c>
      <c r="H570" s="83"/>
      <c r="I570" s="122" t="str">
        <f>VLOOKUP($C570&amp;$F570,'MARCH - VISIT DATA'!A:J, 9, FALSE)</f>
        <v>#N/A</v>
      </c>
      <c r="J570" s="85" t="str">
        <f>VLOOKUP(C570&amp;F570,'MARCH - VISIT DATA'!A:O,10,FALSE)</f>
        <v>#N/A</v>
      </c>
      <c r="K570" s="86"/>
      <c r="L570" s="86"/>
      <c r="M570" s="86"/>
      <c r="N570" s="86"/>
      <c r="O570" s="121" t="str">
        <f t="shared" si="2"/>
        <v>X</v>
      </c>
      <c r="P570" s="79" t="str">
        <f t="shared" si="3"/>
        <v>#N/A</v>
      </c>
      <c r="Q570" s="123" t="str">
        <f t="shared" si="4"/>
        <v>#N/A</v>
      </c>
      <c r="R570" s="124" t="str">
        <f t="shared" si="5"/>
        <v>#N/A</v>
      </c>
      <c r="S570" s="125" t="str">
        <f t="shared" si="6"/>
        <v>#N/A</v>
      </c>
      <c r="T570" s="125" t="str">
        <f t="shared" si="7"/>
        <v>#N/A</v>
      </c>
      <c r="U570" s="83">
        <f t="shared" si="8"/>
        <v>0</v>
      </c>
      <c r="V570" s="88" t="str">
        <f>ifs($N570="",VLOOKUP($C570&amp;$F570,'MARCH - VISIT DATA'!$A$2:$J600,7,FALSE), $N570="SWAB","OUTSA-RW",$N570="SWQU","OUTSA-SaQu", AND($L570="X",$M570="X",$N570="QUEST"),"OUT-UAQPre",$N570="QUEST","OUT-UAQ", $N570="Walk in","ColUATele")</f>
        <v>#N/A</v>
      </c>
      <c r="W570" s="70" t="str">
        <f t="shared" si="9"/>
        <v>#N/A</v>
      </c>
      <c r="X570" s="64" t="str">
        <f t="shared" si="10"/>
        <v/>
      </c>
      <c r="Y570" s="64" t="str">
        <f t="shared" si="11"/>
        <v/>
      </c>
      <c r="Z570" s="66" t="str">
        <f t="shared" si="12"/>
        <v> </v>
      </c>
      <c r="AA570" s="71"/>
    </row>
    <row r="571" ht="15.75" customHeight="1">
      <c r="A571" s="56" t="str">
        <f t="shared" si="1"/>
        <v/>
      </c>
      <c r="B571" s="56" t="str">
        <f>IFS($C571=FALSE,"",$C571,VLOOKUP($C571,'PATIENT DATA (072721)'!A:C, 2, 0))</f>
        <v/>
      </c>
      <c r="C571" s="57"/>
      <c r="D571" s="127" t="str">
        <f>IF(COUNTIF('PATIENT DATA (072721)'!A:A, C571)=0, "X","✓")</f>
        <v>X</v>
      </c>
      <c r="E571" s="79"/>
      <c r="F571" s="80"/>
      <c r="G571" s="81" t="str">
        <f>ifs($C571="","",$C571, VLOOKUP($C571&amp;$F571, 'MARCH - VISIT DATA'!A:O,3,0))</f>
        <v/>
      </c>
      <c r="H571" s="83"/>
      <c r="I571" s="122" t="str">
        <f>VLOOKUP($C571&amp;$F571,'MARCH - VISIT DATA'!A:J, 9, FALSE)</f>
        <v>#N/A</v>
      </c>
      <c r="J571" s="85" t="str">
        <f>VLOOKUP(C571&amp;F571,'MARCH - VISIT DATA'!A:O,10,FALSE)</f>
        <v>#N/A</v>
      </c>
      <c r="K571" s="86"/>
      <c r="L571" s="86"/>
      <c r="M571" s="86"/>
      <c r="N571" s="86"/>
      <c r="O571" s="121" t="str">
        <f t="shared" si="2"/>
        <v>X</v>
      </c>
      <c r="P571" s="79" t="str">
        <f t="shared" si="3"/>
        <v>#N/A</v>
      </c>
      <c r="Q571" s="123" t="str">
        <f t="shared" si="4"/>
        <v>#N/A</v>
      </c>
      <c r="R571" s="124" t="str">
        <f t="shared" si="5"/>
        <v>#N/A</v>
      </c>
      <c r="S571" s="125" t="str">
        <f t="shared" si="6"/>
        <v>#N/A</v>
      </c>
      <c r="T571" s="125" t="str">
        <f t="shared" si="7"/>
        <v>#N/A</v>
      </c>
      <c r="U571" s="83">
        <f t="shared" si="8"/>
        <v>0</v>
      </c>
      <c r="V571" s="88" t="str">
        <f>ifs($N571="",VLOOKUP($C571&amp;$F571,'MARCH - VISIT DATA'!$A$2:$J600,7,FALSE), $N571="SWAB","OUTSA-RW",$N571="SWQU","OUTSA-SaQu", AND($L571="X",$M571="X",$N571="QUEST"),"OUT-UAQPre",$N571="QUEST","OUT-UAQ", $N571="Walk in","ColUATele")</f>
        <v>#N/A</v>
      </c>
      <c r="W571" s="70" t="str">
        <f t="shared" si="9"/>
        <v>#N/A</v>
      </c>
      <c r="X571" s="64" t="str">
        <f t="shared" si="10"/>
        <v/>
      </c>
      <c r="Y571" s="64" t="str">
        <f t="shared" si="11"/>
        <v/>
      </c>
      <c r="Z571" s="66" t="str">
        <f t="shared" si="12"/>
        <v> </v>
      </c>
      <c r="AA571" s="71"/>
    </row>
    <row r="572" ht="15.75" customHeight="1">
      <c r="A572" s="56" t="str">
        <f t="shared" si="1"/>
        <v/>
      </c>
      <c r="B572" s="56" t="str">
        <f>IFS($C572=FALSE,"",$C572,VLOOKUP($C572,'PATIENT DATA (072721)'!A:C, 2, 0))</f>
        <v/>
      </c>
      <c r="C572" s="57"/>
      <c r="D572" s="127" t="str">
        <f>IF(COUNTIF('PATIENT DATA (072721)'!A:A, C572)=0, "X","✓")</f>
        <v>X</v>
      </c>
      <c r="E572" s="79"/>
      <c r="F572" s="80"/>
      <c r="G572" s="81" t="str">
        <f>ifs($C572="","",$C572, VLOOKUP($C572&amp;$F572, 'MARCH - VISIT DATA'!A:O,3,0))</f>
        <v/>
      </c>
      <c r="H572" s="83"/>
      <c r="I572" s="122" t="str">
        <f>VLOOKUP($C572&amp;$F572,'MARCH - VISIT DATA'!A:J, 9, FALSE)</f>
        <v>#N/A</v>
      </c>
      <c r="J572" s="85" t="str">
        <f>VLOOKUP(C572&amp;F572,'MARCH - VISIT DATA'!A:O,10,FALSE)</f>
        <v>#N/A</v>
      </c>
      <c r="K572" s="86"/>
      <c r="L572" s="86"/>
      <c r="M572" s="86"/>
      <c r="N572" s="86"/>
      <c r="O572" s="121" t="str">
        <f t="shared" si="2"/>
        <v>X</v>
      </c>
      <c r="P572" s="79" t="str">
        <f t="shared" si="3"/>
        <v>#N/A</v>
      </c>
      <c r="Q572" s="123" t="str">
        <f t="shared" si="4"/>
        <v>#N/A</v>
      </c>
      <c r="R572" s="124" t="str">
        <f t="shared" si="5"/>
        <v>#N/A</v>
      </c>
      <c r="S572" s="125" t="str">
        <f t="shared" si="6"/>
        <v>#N/A</v>
      </c>
      <c r="T572" s="125" t="str">
        <f t="shared" si="7"/>
        <v>#N/A</v>
      </c>
      <c r="U572" s="83">
        <f t="shared" si="8"/>
        <v>0</v>
      </c>
      <c r="V572" s="88" t="str">
        <f>ifs($N572="",VLOOKUP($C572&amp;$F572,'MARCH - VISIT DATA'!$A$2:$J600,7,FALSE), $N572="SWAB","OUTSA-RW",$N572="SWQU","OUTSA-SaQu", AND($L572="X",$M572="X",$N572="QUEST"),"OUT-UAQPre",$N572="QUEST","OUT-UAQ", $N572="Walk in","ColUATele")</f>
        <v>#N/A</v>
      </c>
      <c r="W572" s="70" t="str">
        <f t="shared" si="9"/>
        <v>#N/A</v>
      </c>
      <c r="X572" s="64" t="str">
        <f t="shared" si="10"/>
        <v/>
      </c>
      <c r="Y572" s="64" t="str">
        <f t="shared" si="11"/>
        <v/>
      </c>
      <c r="Z572" s="66" t="str">
        <f t="shared" si="12"/>
        <v> </v>
      </c>
      <c r="AA572" s="71"/>
    </row>
    <row r="573" ht="15.75" customHeight="1">
      <c r="A573" s="56" t="str">
        <f t="shared" si="1"/>
        <v/>
      </c>
      <c r="B573" s="56" t="str">
        <f>IFS($C573=FALSE,"",$C573,VLOOKUP($C573,'PATIENT DATA (072721)'!A:C, 2, 0))</f>
        <v/>
      </c>
      <c r="C573" s="57"/>
      <c r="D573" s="127" t="str">
        <f>IF(COUNTIF('PATIENT DATA (072721)'!A:A, C573)=0, "X","✓")</f>
        <v>X</v>
      </c>
      <c r="E573" s="79"/>
      <c r="F573" s="80"/>
      <c r="G573" s="81" t="str">
        <f>ifs($C573="","",$C573, VLOOKUP($C573&amp;$F573, 'MARCH - VISIT DATA'!A:O,3,0))</f>
        <v/>
      </c>
      <c r="H573" s="83"/>
      <c r="I573" s="122" t="str">
        <f>VLOOKUP($C573&amp;$F573,'MARCH - VISIT DATA'!A:J, 9, FALSE)</f>
        <v>#N/A</v>
      </c>
      <c r="J573" s="85" t="str">
        <f>VLOOKUP(C573&amp;F573,'MARCH - VISIT DATA'!A:O,10,FALSE)</f>
        <v>#N/A</v>
      </c>
      <c r="K573" s="86"/>
      <c r="L573" s="86"/>
      <c r="M573" s="86"/>
      <c r="N573" s="86"/>
      <c r="O573" s="121" t="str">
        <f t="shared" si="2"/>
        <v>X</v>
      </c>
      <c r="P573" s="79" t="str">
        <f t="shared" si="3"/>
        <v>#N/A</v>
      </c>
      <c r="Q573" s="123" t="str">
        <f t="shared" si="4"/>
        <v>#N/A</v>
      </c>
      <c r="R573" s="124" t="str">
        <f t="shared" si="5"/>
        <v>#N/A</v>
      </c>
      <c r="S573" s="125" t="str">
        <f t="shared" si="6"/>
        <v>#N/A</v>
      </c>
      <c r="T573" s="125" t="str">
        <f t="shared" si="7"/>
        <v>#N/A</v>
      </c>
      <c r="U573" s="83">
        <f t="shared" si="8"/>
        <v>0</v>
      </c>
      <c r="V573" s="88" t="str">
        <f>ifs($N573="",VLOOKUP($C573&amp;$F573,'MARCH - VISIT DATA'!$A$2:$J600,7,FALSE), $N573="SWAB","OUTSA-RW",$N573="SWQU","OUTSA-SaQu", AND($L573="X",$M573="X",$N573="QUEST"),"OUT-UAQPre",$N573="QUEST","OUT-UAQ", $N573="Walk in","ColUATele")</f>
        <v>#N/A</v>
      </c>
      <c r="W573" s="70" t="str">
        <f t="shared" si="9"/>
        <v>#N/A</v>
      </c>
      <c r="X573" s="64" t="str">
        <f t="shared" si="10"/>
        <v/>
      </c>
      <c r="Y573" s="64" t="str">
        <f t="shared" si="11"/>
        <v/>
      </c>
      <c r="Z573" s="66" t="str">
        <f t="shared" si="12"/>
        <v> </v>
      </c>
      <c r="AA573" s="71"/>
    </row>
    <row r="574" ht="15.75" customHeight="1">
      <c r="A574" s="56" t="str">
        <f t="shared" si="1"/>
        <v/>
      </c>
      <c r="B574" s="56" t="str">
        <f>IFS($C574=FALSE,"",$C574,VLOOKUP($C574,'PATIENT DATA (072721)'!A:C, 2, 0))</f>
        <v/>
      </c>
      <c r="C574" s="57"/>
      <c r="D574" s="127" t="str">
        <f>IF(COUNTIF('PATIENT DATA (072721)'!A:A, C574)=0, "X","✓")</f>
        <v>X</v>
      </c>
      <c r="E574" s="79"/>
      <c r="F574" s="80"/>
      <c r="G574" s="81" t="str">
        <f>ifs($C574="","",$C574, VLOOKUP($C574&amp;$F574, 'MARCH - VISIT DATA'!A:O,3,0))</f>
        <v/>
      </c>
      <c r="H574" s="83"/>
      <c r="I574" s="122" t="str">
        <f>VLOOKUP($C574&amp;$F574,'MARCH - VISIT DATA'!A:J, 9, FALSE)</f>
        <v>#N/A</v>
      </c>
      <c r="J574" s="85" t="str">
        <f>VLOOKUP(C574&amp;F574,'MARCH - VISIT DATA'!A:O,10,FALSE)</f>
        <v>#N/A</v>
      </c>
      <c r="K574" s="86"/>
      <c r="L574" s="86"/>
      <c r="M574" s="86"/>
      <c r="N574" s="86"/>
      <c r="O574" s="121" t="str">
        <f t="shared" si="2"/>
        <v>X</v>
      </c>
      <c r="P574" s="79" t="str">
        <f t="shared" si="3"/>
        <v>#N/A</v>
      </c>
      <c r="Q574" s="123" t="str">
        <f t="shared" si="4"/>
        <v>#N/A</v>
      </c>
      <c r="R574" s="124" t="str">
        <f t="shared" si="5"/>
        <v>#N/A</v>
      </c>
      <c r="S574" s="125" t="str">
        <f t="shared" si="6"/>
        <v>#N/A</v>
      </c>
      <c r="T574" s="125" t="str">
        <f t="shared" si="7"/>
        <v>#N/A</v>
      </c>
      <c r="U574" s="83">
        <f t="shared" si="8"/>
        <v>0</v>
      </c>
      <c r="V574" s="88" t="str">
        <f>ifs($N574="",VLOOKUP($C574&amp;$F574,'MARCH - VISIT DATA'!$A$2:$J600,7,FALSE), $N574="SWAB","OUTSA-RW",$N574="SWQU","OUTSA-SaQu", AND($L574="X",$M574="X",$N574="QUEST"),"OUT-UAQPre",$N574="QUEST","OUT-UAQ", $N574="Walk in","ColUATele")</f>
        <v>#N/A</v>
      </c>
      <c r="W574" s="70" t="str">
        <f t="shared" si="9"/>
        <v>#N/A</v>
      </c>
      <c r="X574" s="64" t="str">
        <f t="shared" si="10"/>
        <v/>
      </c>
      <c r="Y574" s="64" t="str">
        <f t="shared" si="11"/>
        <v/>
      </c>
      <c r="Z574" s="66" t="str">
        <f t="shared" si="12"/>
        <v> </v>
      </c>
      <c r="AA574" s="71"/>
    </row>
    <row r="575" ht="15.75" customHeight="1">
      <c r="A575" s="56" t="str">
        <f t="shared" si="1"/>
        <v/>
      </c>
      <c r="B575" s="56" t="str">
        <f>IFS($C575=FALSE,"",$C575,VLOOKUP($C575,'PATIENT DATA (072721)'!A:C, 2, 0))</f>
        <v/>
      </c>
      <c r="C575" s="57"/>
      <c r="D575" s="127" t="str">
        <f>IF(COUNTIF('PATIENT DATA (072721)'!A:A, C575)=0, "X","✓")</f>
        <v>X</v>
      </c>
      <c r="E575" s="79"/>
      <c r="F575" s="80"/>
      <c r="G575" s="81" t="str">
        <f>ifs($C575="","",$C575, VLOOKUP($C575&amp;$F575, 'MARCH - VISIT DATA'!A:O,3,0))</f>
        <v/>
      </c>
      <c r="H575" s="83"/>
      <c r="I575" s="122" t="str">
        <f>VLOOKUP($C575&amp;$F575,'MARCH - VISIT DATA'!A:J, 9, FALSE)</f>
        <v>#N/A</v>
      </c>
      <c r="J575" s="85" t="str">
        <f>VLOOKUP(C575&amp;F575,'MARCH - VISIT DATA'!A:O,10,FALSE)</f>
        <v>#N/A</v>
      </c>
      <c r="K575" s="86"/>
      <c r="L575" s="86"/>
      <c r="M575" s="86"/>
      <c r="N575" s="86"/>
      <c r="O575" s="121" t="str">
        <f t="shared" si="2"/>
        <v>X</v>
      </c>
      <c r="P575" s="79" t="str">
        <f t="shared" si="3"/>
        <v>#N/A</v>
      </c>
      <c r="Q575" s="123" t="str">
        <f t="shared" si="4"/>
        <v>#N/A</v>
      </c>
      <c r="R575" s="124" t="str">
        <f t="shared" si="5"/>
        <v>#N/A</v>
      </c>
      <c r="S575" s="125" t="str">
        <f t="shared" si="6"/>
        <v>#N/A</v>
      </c>
      <c r="T575" s="125" t="str">
        <f t="shared" si="7"/>
        <v>#N/A</v>
      </c>
      <c r="U575" s="83">
        <f t="shared" si="8"/>
        <v>0</v>
      </c>
      <c r="V575" s="88" t="str">
        <f>ifs($N575="",VLOOKUP($C575&amp;$F575,'MARCH - VISIT DATA'!$A$2:$J600,7,FALSE), $N575="SWAB","OUTSA-RW",$N575="SWQU","OUTSA-SaQu", AND($L575="X",$M575="X",$N575="QUEST"),"OUT-UAQPre",$N575="QUEST","OUT-UAQ", $N575="Walk in","ColUATele")</f>
        <v>#N/A</v>
      </c>
      <c r="W575" s="70" t="str">
        <f t="shared" si="9"/>
        <v>#N/A</v>
      </c>
      <c r="X575" s="64" t="str">
        <f t="shared" si="10"/>
        <v/>
      </c>
      <c r="Y575" s="64" t="str">
        <f t="shared" si="11"/>
        <v/>
      </c>
      <c r="Z575" s="66" t="str">
        <f t="shared" si="12"/>
        <v> </v>
      </c>
      <c r="AA575" s="71"/>
    </row>
    <row r="576" ht="15.75" customHeight="1">
      <c r="A576" s="56" t="str">
        <f t="shared" si="1"/>
        <v/>
      </c>
      <c r="B576" s="56" t="str">
        <f>IFS($C576=FALSE,"",$C576,VLOOKUP($C576,'PATIENT DATA (072721)'!A:C, 2, 0))</f>
        <v/>
      </c>
      <c r="C576" s="57"/>
      <c r="D576" s="127" t="str">
        <f>IF(COUNTIF('PATIENT DATA (072721)'!A:A, C576)=0, "X","✓")</f>
        <v>X</v>
      </c>
      <c r="E576" s="79"/>
      <c r="F576" s="80"/>
      <c r="G576" s="81" t="str">
        <f>ifs($C576="","",$C576, VLOOKUP($C576&amp;$F576, 'MARCH - VISIT DATA'!A:O,3,0))</f>
        <v/>
      </c>
      <c r="H576" s="83"/>
      <c r="I576" s="122" t="str">
        <f>VLOOKUP($C576&amp;$F576,'MARCH - VISIT DATA'!A:J, 9, FALSE)</f>
        <v>#N/A</v>
      </c>
      <c r="J576" s="85" t="str">
        <f>VLOOKUP(C576&amp;F576,'MARCH - VISIT DATA'!A:O,10,FALSE)</f>
        <v>#N/A</v>
      </c>
      <c r="K576" s="86"/>
      <c r="L576" s="86"/>
      <c r="M576" s="86"/>
      <c r="N576" s="86"/>
      <c r="O576" s="121" t="str">
        <f t="shared" si="2"/>
        <v>X</v>
      </c>
      <c r="P576" s="79" t="str">
        <f t="shared" si="3"/>
        <v>#N/A</v>
      </c>
      <c r="Q576" s="123" t="str">
        <f t="shared" si="4"/>
        <v>#N/A</v>
      </c>
      <c r="R576" s="124" t="str">
        <f t="shared" si="5"/>
        <v>#N/A</v>
      </c>
      <c r="S576" s="125" t="str">
        <f t="shared" si="6"/>
        <v>#N/A</v>
      </c>
      <c r="T576" s="125" t="str">
        <f t="shared" si="7"/>
        <v>#N/A</v>
      </c>
      <c r="U576" s="83">
        <f t="shared" si="8"/>
        <v>0</v>
      </c>
      <c r="V576" s="88" t="str">
        <f>ifs($N576="",VLOOKUP($C576&amp;$F576,'MARCH - VISIT DATA'!$A$2:$J600,7,FALSE), $N576="SWAB","OUTSA-RW",$N576="SWQU","OUTSA-SaQu", AND($L576="X",$M576="X",$N576="QUEST"),"OUT-UAQPre",$N576="QUEST","OUT-UAQ", $N576="Walk in","ColUATele")</f>
        <v>#N/A</v>
      </c>
      <c r="W576" s="70" t="str">
        <f t="shared" si="9"/>
        <v>#N/A</v>
      </c>
      <c r="X576" s="64" t="str">
        <f t="shared" si="10"/>
        <v/>
      </c>
      <c r="Y576" s="64" t="str">
        <f t="shared" si="11"/>
        <v/>
      </c>
      <c r="Z576" s="66" t="str">
        <f t="shared" si="12"/>
        <v> </v>
      </c>
      <c r="AA576" s="71"/>
    </row>
    <row r="577" ht="15.75" customHeight="1">
      <c r="A577" s="56" t="str">
        <f t="shared" si="1"/>
        <v/>
      </c>
      <c r="B577" s="56" t="str">
        <f>IFS($C577=FALSE,"",$C577,VLOOKUP($C577,'PATIENT DATA (072721)'!A:C, 2, 0))</f>
        <v/>
      </c>
      <c r="C577" s="57"/>
      <c r="D577" s="127" t="str">
        <f>IF(COUNTIF('PATIENT DATA (072721)'!A:A, C577)=0, "X","✓")</f>
        <v>X</v>
      </c>
      <c r="E577" s="79"/>
      <c r="F577" s="80"/>
      <c r="G577" s="81" t="str">
        <f>ifs($C577="","",$C577, VLOOKUP($C577&amp;$F577, 'MARCH - VISIT DATA'!A:O,3,0))</f>
        <v/>
      </c>
      <c r="H577" s="83"/>
      <c r="I577" s="122" t="str">
        <f>VLOOKUP($C577&amp;$F577,'MARCH - VISIT DATA'!A:J, 9, FALSE)</f>
        <v>#N/A</v>
      </c>
      <c r="J577" s="85" t="str">
        <f>VLOOKUP(C577&amp;F577,'MARCH - VISIT DATA'!A:O,10,FALSE)</f>
        <v>#N/A</v>
      </c>
      <c r="K577" s="86"/>
      <c r="L577" s="86"/>
      <c r="M577" s="86"/>
      <c r="N577" s="86"/>
      <c r="O577" s="121" t="str">
        <f t="shared" si="2"/>
        <v>X</v>
      </c>
      <c r="P577" s="79" t="str">
        <f t="shared" si="3"/>
        <v>#N/A</v>
      </c>
      <c r="Q577" s="123" t="str">
        <f t="shared" si="4"/>
        <v>#N/A</v>
      </c>
      <c r="R577" s="124" t="str">
        <f t="shared" si="5"/>
        <v>#N/A</v>
      </c>
      <c r="S577" s="125" t="str">
        <f t="shared" si="6"/>
        <v>#N/A</v>
      </c>
      <c r="T577" s="125" t="str">
        <f t="shared" si="7"/>
        <v>#N/A</v>
      </c>
      <c r="U577" s="83">
        <f t="shared" si="8"/>
        <v>0</v>
      </c>
      <c r="V577" s="88" t="str">
        <f>ifs($N577="",VLOOKUP($C577&amp;$F577,'MARCH - VISIT DATA'!$A$2:$J600,7,FALSE), $N577="SWAB","OUTSA-RW",$N577="SWQU","OUTSA-SaQu", AND($L577="X",$M577="X",$N577="QUEST"),"OUT-UAQPre",$N577="QUEST","OUT-UAQ", $N577="Walk in","ColUATele")</f>
        <v>#N/A</v>
      </c>
      <c r="W577" s="70" t="str">
        <f t="shared" si="9"/>
        <v>#N/A</v>
      </c>
      <c r="X577" s="64" t="str">
        <f t="shared" si="10"/>
        <v/>
      </c>
      <c r="Y577" s="64" t="str">
        <f t="shared" si="11"/>
        <v/>
      </c>
      <c r="Z577" s="66" t="str">
        <f t="shared" si="12"/>
        <v> </v>
      </c>
      <c r="AA577" s="71"/>
    </row>
    <row r="578" ht="15.75" customHeight="1">
      <c r="A578" s="56" t="str">
        <f t="shared" si="1"/>
        <v/>
      </c>
      <c r="B578" s="56" t="str">
        <f>IFS($C578=FALSE,"",$C578,VLOOKUP($C578,'PATIENT DATA (072721)'!A:C, 2, 0))</f>
        <v/>
      </c>
      <c r="C578" s="57"/>
      <c r="D578" s="127" t="str">
        <f>IF(COUNTIF('PATIENT DATA (072721)'!A:A, C578)=0, "X","✓")</f>
        <v>X</v>
      </c>
      <c r="E578" s="79"/>
      <c r="F578" s="80"/>
      <c r="G578" s="81" t="str">
        <f>ifs($C578="","",$C578, VLOOKUP($C578&amp;$F578, 'MARCH - VISIT DATA'!A:O,3,0))</f>
        <v/>
      </c>
      <c r="H578" s="83"/>
      <c r="I578" s="122" t="str">
        <f>VLOOKUP($C578&amp;$F578,'MARCH - VISIT DATA'!A:J, 9, FALSE)</f>
        <v>#N/A</v>
      </c>
      <c r="J578" s="85" t="str">
        <f>VLOOKUP(C578&amp;F578,'MARCH - VISIT DATA'!A:O,10,FALSE)</f>
        <v>#N/A</v>
      </c>
      <c r="K578" s="86"/>
      <c r="L578" s="86"/>
      <c r="M578" s="86"/>
      <c r="N578" s="86"/>
      <c r="O578" s="121" t="str">
        <f t="shared" si="2"/>
        <v>X</v>
      </c>
      <c r="P578" s="79" t="str">
        <f t="shared" si="3"/>
        <v>#N/A</v>
      </c>
      <c r="Q578" s="123" t="str">
        <f t="shared" si="4"/>
        <v>#N/A</v>
      </c>
      <c r="R578" s="124" t="str">
        <f t="shared" si="5"/>
        <v>#N/A</v>
      </c>
      <c r="S578" s="125" t="str">
        <f t="shared" si="6"/>
        <v>#N/A</v>
      </c>
      <c r="T578" s="125" t="str">
        <f t="shared" si="7"/>
        <v>#N/A</v>
      </c>
      <c r="U578" s="83">
        <f t="shared" si="8"/>
        <v>0</v>
      </c>
      <c r="V578" s="88" t="str">
        <f>ifs($N578="",VLOOKUP($C578&amp;$F578,'MARCH - VISIT DATA'!$A$2:$J600,7,FALSE), $N578="SWAB","OUTSA-RW",$N578="SWQU","OUTSA-SaQu", AND($L578="X",$M578="X",$N578="QUEST"),"OUT-UAQPre",$N578="QUEST","OUT-UAQ", $N578="Walk in","ColUATele")</f>
        <v>#N/A</v>
      </c>
      <c r="W578" s="70" t="str">
        <f t="shared" si="9"/>
        <v>#N/A</v>
      </c>
      <c r="X578" s="64" t="str">
        <f t="shared" si="10"/>
        <v/>
      </c>
      <c r="Y578" s="64" t="str">
        <f t="shared" si="11"/>
        <v/>
      </c>
      <c r="Z578" s="66" t="str">
        <f t="shared" si="12"/>
        <v> </v>
      </c>
      <c r="AA578" s="71"/>
    </row>
    <row r="579" ht="15.75" customHeight="1">
      <c r="A579" s="56" t="str">
        <f t="shared" si="1"/>
        <v/>
      </c>
      <c r="B579" s="56" t="str">
        <f>IFS($C579=FALSE,"",$C579,VLOOKUP($C579,'PATIENT DATA (072721)'!A:C, 2, 0))</f>
        <v/>
      </c>
      <c r="C579" s="57"/>
      <c r="D579" s="127" t="str">
        <f>IF(COUNTIF('PATIENT DATA (072721)'!A:A, C579)=0, "X","✓")</f>
        <v>X</v>
      </c>
      <c r="E579" s="79"/>
      <c r="F579" s="80"/>
      <c r="G579" s="81" t="str">
        <f>ifs($C579="","",$C579, VLOOKUP($C579&amp;$F579, 'MARCH - VISIT DATA'!A:O,3,0))</f>
        <v/>
      </c>
      <c r="H579" s="83"/>
      <c r="I579" s="122" t="str">
        <f>VLOOKUP($C579&amp;$F579,'MARCH - VISIT DATA'!A:J, 9, FALSE)</f>
        <v>#N/A</v>
      </c>
      <c r="J579" s="85" t="str">
        <f>VLOOKUP(C579&amp;F579,'MARCH - VISIT DATA'!A:O,10,FALSE)</f>
        <v>#N/A</v>
      </c>
      <c r="K579" s="86"/>
      <c r="L579" s="86"/>
      <c r="M579" s="86"/>
      <c r="N579" s="86"/>
      <c r="O579" s="121" t="str">
        <f t="shared" si="2"/>
        <v>X</v>
      </c>
      <c r="P579" s="79" t="str">
        <f t="shared" si="3"/>
        <v>#N/A</v>
      </c>
      <c r="Q579" s="123" t="str">
        <f t="shared" si="4"/>
        <v>#N/A</v>
      </c>
      <c r="R579" s="124" t="str">
        <f t="shared" si="5"/>
        <v>#N/A</v>
      </c>
      <c r="S579" s="125" t="str">
        <f t="shared" si="6"/>
        <v>#N/A</v>
      </c>
      <c r="T579" s="125" t="str">
        <f t="shared" si="7"/>
        <v>#N/A</v>
      </c>
      <c r="U579" s="83">
        <f t="shared" si="8"/>
        <v>0</v>
      </c>
      <c r="V579" s="88" t="str">
        <f>ifs($N579="",VLOOKUP($C579&amp;$F579,'MARCH - VISIT DATA'!$A$2:$J600,7,FALSE), $N579="SWAB","OUTSA-RW",$N579="SWQU","OUTSA-SaQu", AND($L579="X",$M579="X",$N579="QUEST"),"OUT-UAQPre",$N579="QUEST","OUT-UAQ", $N579="Walk in","ColUATele")</f>
        <v>#N/A</v>
      </c>
      <c r="W579" s="70" t="str">
        <f t="shared" si="9"/>
        <v>#N/A</v>
      </c>
      <c r="X579" s="64" t="str">
        <f t="shared" si="10"/>
        <v/>
      </c>
      <c r="Y579" s="64" t="str">
        <f t="shared" si="11"/>
        <v/>
      </c>
      <c r="Z579" s="66" t="str">
        <f t="shared" si="12"/>
        <v> </v>
      </c>
      <c r="AA579" s="71"/>
    </row>
    <row r="580" ht="15.75" customHeight="1">
      <c r="A580" s="56" t="str">
        <f t="shared" si="1"/>
        <v/>
      </c>
      <c r="B580" s="56" t="str">
        <f>IFS($C580=FALSE,"",$C580,VLOOKUP($C580,'PATIENT DATA (072721)'!A:C, 2, 0))</f>
        <v/>
      </c>
      <c r="C580" s="57"/>
      <c r="D580" s="127" t="str">
        <f>IF(COUNTIF('PATIENT DATA (072721)'!A:A, C580)=0, "X","✓")</f>
        <v>X</v>
      </c>
      <c r="E580" s="79"/>
      <c r="F580" s="80"/>
      <c r="G580" s="81" t="str">
        <f>ifs($C580="","",$C580, VLOOKUP($C580&amp;$F580, 'MARCH - VISIT DATA'!A:O,3,0))</f>
        <v/>
      </c>
      <c r="H580" s="83"/>
      <c r="I580" s="122" t="str">
        <f>VLOOKUP($C580&amp;$F580,'MARCH - VISIT DATA'!A:J, 9, FALSE)</f>
        <v>#N/A</v>
      </c>
      <c r="J580" s="85" t="str">
        <f>VLOOKUP(C580&amp;F580,'MARCH - VISIT DATA'!A:O,10,FALSE)</f>
        <v>#N/A</v>
      </c>
      <c r="K580" s="86"/>
      <c r="L580" s="86"/>
      <c r="M580" s="86"/>
      <c r="N580" s="86"/>
      <c r="O580" s="121" t="str">
        <f t="shared" si="2"/>
        <v>X</v>
      </c>
      <c r="P580" s="79" t="str">
        <f t="shared" si="3"/>
        <v>#N/A</v>
      </c>
      <c r="Q580" s="123" t="str">
        <f t="shared" si="4"/>
        <v>#N/A</v>
      </c>
      <c r="R580" s="124" t="str">
        <f t="shared" si="5"/>
        <v>#N/A</v>
      </c>
      <c r="S580" s="125" t="str">
        <f t="shared" si="6"/>
        <v>#N/A</v>
      </c>
      <c r="T580" s="125" t="str">
        <f t="shared" si="7"/>
        <v>#N/A</v>
      </c>
      <c r="U580" s="83">
        <f t="shared" si="8"/>
        <v>0</v>
      </c>
      <c r="V580" s="88" t="str">
        <f>ifs($N580="",VLOOKUP($C580&amp;$F580,'MARCH - VISIT DATA'!$A$2:$J600,7,FALSE), $N580="SWAB","OUTSA-RW",$N580="SWQU","OUTSA-SaQu", AND($L580="X",$M580="X",$N580="QUEST"),"OUT-UAQPre",$N580="QUEST","OUT-UAQ", $N580="Walk in","ColUATele")</f>
        <v>#N/A</v>
      </c>
      <c r="W580" s="70" t="str">
        <f t="shared" si="9"/>
        <v>#N/A</v>
      </c>
      <c r="X580" s="64" t="str">
        <f t="shared" si="10"/>
        <v/>
      </c>
      <c r="Y580" s="64" t="str">
        <f t="shared" si="11"/>
        <v/>
      </c>
      <c r="Z580" s="66" t="str">
        <f t="shared" si="12"/>
        <v> </v>
      </c>
      <c r="AA580" s="71"/>
    </row>
    <row r="581" ht="15.75" customHeight="1">
      <c r="A581" s="56" t="str">
        <f t="shared" si="1"/>
        <v/>
      </c>
      <c r="B581" s="56" t="str">
        <f>IFS($C581=FALSE,"",$C581,VLOOKUP($C581,'PATIENT DATA (072721)'!A:C, 2, 0))</f>
        <v/>
      </c>
      <c r="C581" s="57"/>
      <c r="D581" s="127" t="str">
        <f>IF(COUNTIF('PATIENT DATA (072721)'!A:A, C581)=0, "X","✓")</f>
        <v>X</v>
      </c>
      <c r="E581" s="79"/>
      <c r="F581" s="80"/>
      <c r="G581" s="81" t="str">
        <f>ifs($C581="","",$C581, VLOOKUP($C581&amp;$F581, 'MARCH - VISIT DATA'!A:O,3,0))</f>
        <v/>
      </c>
      <c r="H581" s="83"/>
      <c r="I581" s="122" t="str">
        <f>VLOOKUP($C581&amp;$F581,'MARCH - VISIT DATA'!A:J, 9, FALSE)</f>
        <v>#N/A</v>
      </c>
      <c r="J581" s="85" t="str">
        <f>VLOOKUP(C581&amp;F581,'MARCH - VISIT DATA'!A:O,10,FALSE)</f>
        <v>#N/A</v>
      </c>
      <c r="K581" s="86"/>
      <c r="L581" s="86"/>
      <c r="M581" s="86"/>
      <c r="N581" s="86"/>
      <c r="O581" s="121" t="str">
        <f t="shared" si="2"/>
        <v>X</v>
      </c>
      <c r="P581" s="79" t="str">
        <f t="shared" si="3"/>
        <v>#N/A</v>
      </c>
      <c r="Q581" s="123" t="str">
        <f t="shared" si="4"/>
        <v>#N/A</v>
      </c>
      <c r="R581" s="124" t="str">
        <f t="shared" si="5"/>
        <v>#N/A</v>
      </c>
      <c r="S581" s="125" t="str">
        <f t="shared" si="6"/>
        <v>#N/A</v>
      </c>
      <c r="T581" s="125" t="str">
        <f t="shared" si="7"/>
        <v>#N/A</v>
      </c>
      <c r="U581" s="83">
        <f t="shared" si="8"/>
        <v>0</v>
      </c>
      <c r="V581" s="88" t="str">
        <f>ifs($N581="",VLOOKUP($C581&amp;$F581,'MARCH - VISIT DATA'!$A$2:$J600,7,FALSE), $N581="SWAB","OUTSA-RW",$N581="SWQU","OUTSA-SaQu", AND($L581="X",$M581="X",$N581="QUEST"),"OUT-UAQPre",$N581="QUEST","OUT-UAQ", $N581="Walk in","ColUATele")</f>
        <v>#N/A</v>
      </c>
      <c r="W581" s="70" t="str">
        <f t="shared" si="9"/>
        <v>#N/A</v>
      </c>
      <c r="X581" s="64" t="str">
        <f t="shared" si="10"/>
        <v/>
      </c>
      <c r="Y581" s="64" t="str">
        <f t="shared" si="11"/>
        <v/>
      </c>
      <c r="Z581" s="66" t="str">
        <f t="shared" si="12"/>
        <v> </v>
      </c>
      <c r="AA581" s="71"/>
    </row>
    <row r="582" ht="15.75" customHeight="1">
      <c r="A582" s="56" t="str">
        <f t="shared" si="1"/>
        <v/>
      </c>
      <c r="B582" s="56" t="str">
        <f>IFS($C582=FALSE,"",$C582,VLOOKUP($C582,'PATIENT DATA (072721)'!A:C, 2, 0))</f>
        <v/>
      </c>
      <c r="C582" s="57"/>
      <c r="D582" s="127" t="str">
        <f>IF(COUNTIF('PATIENT DATA (072721)'!A:A, C582)=0, "X","✓")</f>
        <v>X</v>
      </c>
      <c r="E582" s="79"/>
      <c r="F582" s="80"/>
      <c r="G582" s="81" t="str">
        <f>ifs($C582="","",$C582, VLOOKUP($C582&amp;$F582, 'MARCH - VISIT DATA'!A:O,3,0))</f>
        <v/>
      </c>
      <c r="H582" s="83"/>
      <c r="I582" s="122" t="str">
        <f>VLOOKUP($C582&amp;$F582,'MARCH - VISIT DATA'!A:J, 9, FALSE)</f>
        <v>#N/A</v>
      </c>
      <c r="J582" s="85" t="str">
        <f>VLOOKUP(C582&amp;F582,'MARCH - VISIT DATA'!A:O,10,FALSE)</f>
        <v>#N/A</v>
      </c>
      <c r="K582" s="86"/>
      <c r="L582" s="86"/>
      <c r="M582" s="86"/>
      <c r="N582" s="86"/>
      <c r="O582" s="121" t="str">
        <f t="shared" si="2"/>
        <v>X</v>
      </c>
      <c r="P582" s="79" t="str">
        <f t="shared" si="3"/>
        <v>#N/A</v>
      </c>
      <c r="Q582" s="123" t="str">
        <f t="shared" si="4"/>
        <v>#N/A</v>
      </c>
      <c r="R582" s="124" t="str">
        <f t="shared" si="5"/>
        <v>#N/A</v>
      </c>
      <c r="S582" s="125" t="str">
        <f t="shared" si="6"/>
        <v>#N/A</v>
      </c>
      <c r="T582" s="125" t="str">
        <f t="shared" si="7"/>
        <v>#N/A</v>
      </c>
      <c r="U582" s="83">
        <f t="shared" si="8"/>
        <v>0</v>
      </c>
      <c r="V582" s="88" t="str">
        <f>ifs($N582="",VLOOKUP($C582&amp;$F582,'MARCH - VISIT DATA'!$A$2:$J600,7,FALSE), $N582="SWAB","OUTSA-RW",$N582="SWQU","OUTSA-SaQu", AND($L582="X",$M582="X",$N582="QUEST"),"OUT-UAQPre",$N582="QUEST","OUT-UAQ", $N582="Walk in","ColUATele")</f>
        <v>#N/A</v>
      </c>
      <c r="W582" s="70" t="str">
        <f t="shared" si="9"/>
        <v>#N/A</v>
      </c>
      <c r="X582" s="64" t="str">
        <f t="shared" si="10"/>
        <v/>
      </c>
      <c r="Y582" s="64" t="str">
        <f t="shared" si="11"/>
        <v/>
      </c>
      <c r="Z582" s="66" t="str">
        <f t="shared" si="12"/>
        <v> </v>
      </c>
      <c r="AA582" s="71"/>
    </row>
    <row r="583" ht="15.75" customHeight="1">
      <c r="A583" s="56" t="str">
        <f t="shared" si="1"/>
        <v/>
      </c>
      <c r="B583" s="56" t="str">
        <f>IFS($C583=FALSE,"",$C583,VLOOKUP($C583,'PATIENT DATA (072721)'!A:C, 2, 0))</f>
        <v/>
      </c>
      <c r="C583" s="57"/>
      <c r="D583" s="127" t="str">
        <f>IF(COUNTIF('PATIENT DATA (072721)'!A:A, C583)=0, "X","✓")</f>
        <v>X</v>
      </c>
      <c r="E583" s="79"/>
      <c r="F583" s="80"/>
      <c r="G583" s="81" t="str">
        <f>ifs($C583="","",$C583, VLOOKUP($C583&amp;$F583, 'MARCH - VISIT DATA'!A:O,3,0))</f>
        <v/>
      </c>
      <c r="H583" s="83"/>
      <c r="I583" s="122" t="str">
        <f>VLOOKUP($C583&amp;$F583,'MARCH - VISIT DATA'!A:J, 9, FALSE)</f>
        <v>#N/A</v>
      </c>
      <c r="J583" s="85" t="str">
        <f>VLOOKUP(C583&amp;F583,'MARCH - VISIT DATA'!A:O,10,FALSE)</f>
        <v>#N/A</v>
      </c>
      <c r="K583" s="86"/>
      <c r="L583" s="86"/>
      <c r="M583" s="86"/>
      <c r="N583" s="86"/>
      <c r="O583" s="121" t="str">
        <f t="shared" si="2"/>
        <v>X</v>
      </c>
      <c r="P583" s="79" t="str">
        <f t="shared" si="3"/>
        <v>#N/A</v>
      </c>
      <c r="Q583" s="123" t="str">
        <f t="shared" si="4"/>
        <v>#N/A</v>
      </c>
      <c r="R583" s="124" t="str">
        <f t="shared" si="5"/>
        <v>#N/A</v>
      </c>
      <c r="S583" s="125" t="str">
        <f t="shared" si="6"/>
        <v>#N/A</v>
      </c>
      <c r="T583" s="125" t="str">
        <f t="shared" si="7"/>
        <v>#N/A</v>
      </c>
      <c r="U583" s="83">
        <f t="shared" si="8"/>
        <v>0</v>
      </c>
      <c r="V583" s="88" t="str">
        <f>ifs($N583="",VLOOKUP($C583&amp;$F583,'MARCH - VISIT DATA'!$A$2:$J600,7,FALSE), $N583="SWAB","OUTSA-RW",$N583="SWQU","OUTSA-SaQu", AND($L583="X",$M583="X",$N583="QUEST"),"OUT-UAQPre",$N583="QUEST","OUT-UAQ", $N583="Walk in","ColUATele")</f>
        <v>#N/A</v>
      </c>
      <c r="W583" s="70" t="str">
        <f t="shared" si="9"/>
        <v>#N/A</v>
      </c>
      <c r="X583" s="64" t="str">
        <f t="shared" si="10"/>
        <v/>
      </c>
      <c r="Y583" s="64" t="str">
        <f t="shared" si="11"/>
        <v/>
      </c>
      <c r="Z583" s="66" t="str">
        <f t="shared" si="12"/>
        <v> </v>
      </c>
      <c r="AA583" s="71"/>
    </row>
    <row r="584" ht="15.75" customHeight="1">
      <c r="A584" s="56" t="str">
        <f t="shared" si="1"/>
        <v/>
      </c>
      <c r="B584" s="56" t="str">
        <f>IFS($C584=FALSE,"",$C584,VLOOKUP($C584,'PATIENT DATA (072721)'!A:C, 2, 0))</f>
        <v/>
      </c>
      <c r="C584" s="57"/>
      <c r="D584" s="127" t="str">
        <f>IF(COUNTIF('PATIENT DATA (072721)'!A:A, C584)=0, "X","✓")</f>
        <v>X</v>
      </c>
      <c r="E584" s="79"/>
      <c r="F584" s="80"/>
      <c r="G584" s="81" t="str">
        <f>ifs($C584="","",$C584, VLOOKUP($C584&amp;$F584, 'MARCH - VISIT DATA'!A:O,3,0))</f>
        <v/>
      </c>
      <c r="H584" s="83"/>
      <c r="I584" s="122" t="str">
        <f>VLOOKUP($C584&amp;$F584,'MARCH - VISIT DATA'!A:J, 9, FALSE)</f>
        <v>#N/A</v>
      </c>
      <c r="J584" s="85" t="str">
        <f>VLOOKUP(C584&amp;F584,'MARCH - VISIT DATA'!A:O,10,FALSE)</f>
        <v>#N/A</v>
      </c>
      <c r="K584" s="86"/>
      <c r="L584" s="86"/>
      <c r="M584" s="86"/>
      <c r="N584" s="86"/>
      <c r="O584" s="121" t="str">
        <f t="shared" si="2"/>
        <v>X</v>
      </c>
      <c r="P584" s="79" t="str">
        <f t="shared" si="3"/>
        <v>#N/A</v>
      </c>
      <c r="Q584" s="123" t="str">
        <f t="shared" si="4"/>
        <v>#N/A</v>
      </c>
      <c r="R584" s="124" t="str">
        <f t="shared" si="5"/>
        <v>#N/A</v>
      </c>
      <c r="S584" s="125" t="str">
        <f t="shared" si="6"/>
        <v>#N/A</v>
      </c>
      <c r="T584" s="125" t="str">
        <f t="shared" si="7"/>
        <v>#N/A</v>
      </c>
      <c r="U584" s="83">
        <f t="shared" si="8"/>
        <v>0</v>
      </c>
      <c r="V584" s="88" t="str">
        <f>ifs($N584="",VLOOKUP($C584&amp;$F584,'MARCH - VISIT DATA'!$A$2:$J600,7,FALSE), $N584="SWAB","OUTSA-RW",$N584="SWQU","OUTSA-SaQu", AND($L584="X",$M584="X",$N584="QUEST"),"OUT-UAQPre",$N584="QUEST","OUT-UAQ", $N584="Walk in","ColUATele")</f>
        <v>#N/A</v>
      </c>
      <c r="W584" s="70" t="str">
        <f t="shared" si="9"/>
        <v>#N/A</v>
      </c>
      <c r="X584" s="64" t="str">
        <f t="shared" si="10"/>
        <v/>
      </c>
      <c r="Y584" s="64" t="str">
        <f t="shared" si="11"/>
        <v/>
      </c>
      <c r="Z584" s="66" t="str">
        <f t="shared" si="12"/>
        <v> </v>
      </c>
      <c r="AA584" s="71"/>
    </row>
    <row r="585" ht="15.75" customHeight="1">
      <c r="A585" s="56" t="str">
        <f t="shared" si="1"/>
        <v/>
      </c>
      <c r="B585" s="56" t="str">
        <f>IFS($C585=FALSE,"",$C585,VLOOKUP($C585,'PATIENT DATA (072721)'!A:C, 2, 0))</f>
        <v/>
      </c>
      <c r="C585" s="57"/>
      <c r="D585" s="127" t="str">
        <f>IF(COUNTIF('PATIENT DATA (072721)'!A:A, C585)=0, "X","✓")</f>
        <v>X</v>
      </c>
      <c r="E585" s="79"/>
      <c r="F585" s="80"/>
      <c r="G585" s="81" t="str">
        <f>ifs($C585="","",$C585, VLOOKUP($C585&amp;$F585, 'MARCH - VISIT DATA'!A:O,3,0))</f>
        <v/>
      </c>
      <c r="H585" s="83"/>
      <c r="I585" s="122" t="str">
        <f>VLOOKUP($C585&amp;$F585,'MARCH - VISIT DATA'!A:J, 9, FALSE)</f>
        <v>#N/A</v>
      </c>
      <c r="J585" s="85" t="str">
        <f>VLOOKUP(C585&amp;F585,'MARCH - VISIT DATA'!A:O,10,FALSE)</f>
        <v>#N/A</v>
      </c>
      <c r="K585" s="86"/>
      <c r="L585" s="86"/>
      <c r="M585" s="86"/>
      <c r="N585" s="86"/>
      <c r="O585" s="121" t="str">
        <f t="shared" si="2"/>
        <v>X</v>
      </c>
      <c r="P585" s="79" t="str">
        <f t="shared" si="3"/>
        <v>#N/A</v>
      </c>
      <c r="Q585" s="123" t="str">
        <f t="shared" si="4"/>
        <v>#N/A</v>
      </c>
      <c r="R585" s="124" t="str">
        <f t="shared" si="5"/>
        <v>#N/A</v>
      </c>
      <c r="S585" s="125" t="str">
        <f t="shared" si="6"/>
        <v>#N/A</v>
      </c>
      <c r="T585" s="125" t="str">
        <f t="shared" si="7"/>
        <v>#N/A</v>
      </c>
      <c r="U585" s="83">
        <f t="shared" si="8"/>
        <v>0</v>
      </c>
      <c r="V585" s="88" t="str">
        <f>ifs($N585="",VLOOKUP($C585&amp;$F585,'MARCH - VISIT DATA'!$A$2:$J600,7,FALSE), $N585="SWAB","OUTSA-RW",$N585="SWQU","OUTSA-SaQu", AND($L585="X",$M585="X",$N585="QUEST"),"OUT-UAQPre",$N585="QUEST","OUT-UAQ", $N585="Walk in","ColUATele")</f>
        <v>#N/A</v>
      </c>
      <c r="W585" s="70" t="str">
        <f t="shared" si="9"/>
        <v>#N/A</v>
      </c>
      <c r="X585" s="64" t="str">
        <f t="shared" si="10"/>
        <v/>
      </c>
      <c r="Y585" s="64" t="str">
        <f t="shared" si="11"/>
        <v/>
      </c>
      <c r="Z585" s="66" t="str">
        <f t="shared" si="12"/>
        <v> </v>
      </c>
      <c r="AA585" s="71"/>
    </row>
    <row r="586" ht="15.75" customHeight="1">
      <c r="A586" s="56" t="str">
        <f t="shared" si="1"/>
        <v/>
      </c>
      <c r="B586" s="56" t="str">
        <f>IFS($C586=FALSE,"",$C586,VLOOKUP($C586,'PATIENT DATA (072721)'!A:C, 2, 0))</f>
        <v/>
      </c>
      <c r="C586" s="57"/>
      <c r="D586" s="127" t="str">
        <f>IF(COUNTIF('PATIENT DATA (072721)'!A:A, C586)=0, "X","✓")</f>
        <v>X</v>
      </c>
      <c r="E586" s="79"/>
      <c r="F586" s="80"/>
      <c r="G586" s="81" t="str">
        <f>ifs($C586="","",$C586, VLOOKUP($C586&amp;$F586, 'MARCH - VISIT DATA'!A:O,3,0))</f>
        <v/>
      </c>
      <c r="H586" s="83"/>
      <c r="I586" s="122" t="str">
        <f>VLOOKUP($C586&amp;$F586,'MARCH - VISIT DATA'!A:J, 9, FALSE)</f>
        <v>#N/A</v>
      </c>
      <c r="J586" s="85" t="str">
        <f>VLOOKUP(C586&amp;F586,'MARCH - VISIT DATA'!A:O,10,FALSE)</f>
        <v>#N/A</v>
      </c>
      <c r="K586" s="86"/>
      <c r="L586" s="86"/>
      <c r="M586" s="86"/>
      <c r="N586" s="86"/>
      <c r="O586" s="121" t="str">
        <f t="shared" si="2"/>
        <v>X</v>
      </c>
      <c r="P586" s="79" t="str">
        <f t="shared" si="3"/>
        <v>#N/A</v>
      </c>
      <c r="Q586" s="123" t="str">
        <f t="shared" si="4"/>
        <v>#N/A</v>
      </c>
      <c r="R586" s="124" t="str">
        <f t="shared" si="5"/>
        <v>#N/A</v>
      </c>
      <c r="S586" s="125" t="str">
        <f t="shared" si="6"/>
        <v>#N/A</v>
      </c>
      <c r="T586" s="125" t="str">
        <f t="shared" si="7"/>
        <v>#N/A</v>
      </c>
      <c r="U586" s="83">
        <f t="shared" si="8"/>
        <v>0</v>
      </c>
      <c r="V586" s="88" t="str">
        <f>ifs($N586="",VLOOKUP($C586&amp;$F586,'MARCH - VISIT DATA'!$A$2:$J600,7,FALSE), $N586="SWAB","OUTSA-RW",$N586="SWQU","OUTSA-SaQu", AND($L586="X",$M586="X",$N586="QUEST"),"OUT-UAQPre",$N586="QUEST","OUT-UAQ", $N586="Walk in","ColUATele")</f>
        <v>#N/A</v>
      </c>
      <c r="W586" s="70" t="str">
        <f t="shared" si="9"/>
        <v>#N/A</v>
      </c>
      <c r="X586" s="64" t="str">
        <f t="shared" si="10"/>
        <v/>
      </c>
      <c r="Y586" s="64" t="str">
        <f t="shared" si="11"/>
        <v/>
      </c>
      <c r="Z586" s="66" t="str">
        <f t="shared" si="12"/>
        <v> </v>
      </c>
      <c r="AA586" s="71"/>
    </row>
    <row r="587" ht="15.75" customHeight="1">
      <c r="A587" s="56" t="str">
        <f t="shared" si="1"/>
        <v/>
      </c>
      <c r="B587" s="56" t="str">
        <f>IFS($C587=FALSE,"",$C587,VLOOKUP($C587,'PATIENT DATA (072721)'!A:C, 2, 0))</f>
        <v/>
      </c>
      <c r="C587" s="57"/>
      <c r="D587" s="127" t="str">
        <f>IF(COUNTIF('PATIENT DATA (072721)'!A:A, C587)=0, "X","✓")</f>
        <v>X</v>
      </c>
      <c r="E587" s="79"/>
      <c r="F587" s="80"/>
      <c r="G587" s="81" t="str">
        <f>ifs($C587="","",$C587, VLOOKUP($C587&amp;$F587, 'MARCH - VISIT DATA'!A:O,3,0))</f>
        <v/>
      </c>
      <c r="H587" s="83"/>
      <c r="I587" s="122" t="str">
        <f>VLOOKUP($C587&amp;$F587,'MARCH - VISIT DATA'!A:J, 9, FALSE)</f>
        <v>#N/A</v>
      </c>
      <c r="J587" s="85" t="str">
        <f>VLOOKUP(C587&amp;F587,'MARCH - VISIT DATA'!A:O,10,FALSE)</f>
        <v>#N/A</v>
      </c>
      <c r="K587" s="86"/>
      <c r="L587" s="86"/>
      <c r="M587" s="86"/>
      <c r="N587" s="86"/>
      <c r="O587" s="121" t="str">
        <f t="shared" si="2"/>
        <v>X</v>
      </c>
      <c r="P587" s="79" t="str">
        <f t="shared" si="3"/>
        <v>#N/A</v>
      </c>
      <c r="Q587" s="123" t="str">
        <f t="shared" si="4"/>
        <v>#N/A</v>
      </c>
      <c r="R587" s="124" t="str">
        <f t="shared" si="5"/>
        <v>#N/A</v>
      </c>
      <c r="S587" s="125" t="str">
        <f t="shared" si="6"/>
        <v>#N/A</v>
      </c>
      <c r="T587" s="125" t="str">
        <f t="shared" si="7"/>
        <v>#N/A</v>
      </c>
      <c r="U587" s="83">
        <f t="shared" si="8"/>
        <v>0</v>
      </c>
      <c r="V587" s="88" t="str">
        <f>ifs($N587="",VLOOKUP($C587&amp;$F587,'MARCH - VISIT DATA'!$A$2:$J600,7,FALSE), $N587="SWAB","OUTSA-RW",$N587="SWQU","OUTSA-SaQu", AND($L587="X",$M587="X",$N587="QUEST"),"OUT-UAQPre",$N587="QUEST","OUT-UAQ", $N587="Walk in","ColUATele")</f>
        <v>#N/A</v>
      </c>
      <c r="W587" s="70" t="str">
        <f t="shared" si="9"/>
        <v>#N/A</v>
      </c>
      <c r="X587" s="64" t="str">
        <f t="shared" si="10"/>
        <v/>
      </c>
      <c r="Y587" s="64" t="str">
        <f t="shared" si="11"/>
        <v/>
      </c>
      <c r="Z587" s="66" t="str">
        <f t="shared" si="12"/>
        <v> </v>
      </c>
      <c r="AA587" s="71"/>
    </row>
    <row r="588" ht="15.75" customHeight="1">
      <c r="A588" s="56" t="str">
        <f t="shared" si="1"/>
        <v/>
      </c>
      <c r="B588" s="56" t="str">
        <f>IFS($C588=FALSE,"",$C588,VLOOKUP($C588,'PATIENT DATA (072721)'!A:C, 2, 0))</f>
        <v/>
      </c>
      <c r="C588" s="57"/>
      <c r="D588" s="127" t="str">
        <f>IF(COUNTIF('PATIENT DATA (072721)'!A:A, C588)=0, "X","✓")</f>
        <v>X</v>
      </c>
      <c r="E588" s="79"/>
      <c r="F588" s="80"/>
      <c r="G588" s="81" t="str">
        <f>ifs($C588="","",$C588, VLOOKUP($C588&amp;$F588, 'MARCH - VISIT DATA'!A:O,3,0))</f>
        <v/>
      </c>
      <c r="H588" s="83"/>
      <c r="I588" s="122" t="str">
        <f>VLOOKUP($C588&amp;$F588,'MARCH - VISIT DATA'!A:J, 9, FALSE)</f>
        <v>#N/A</v>
      </c>
      <c r="J588" s="85" t="str">
        <f>VLOOKUP(C588&amp;F588,'MARCH - VISIT DATA'!A:O,10,FALSE)</f>
        <v>#N/A</v>
      </c>
      <c r="K588" s="86"/>
      <c r="L588" s="86"/>
      <c r="M588" s="86"/>
      <c r="N588" s="86"/>
      <c r="O588" s="121" t="str">
        <f t="shared" si="2"/>
        <v>X</v>
      </c>
      <c r="P588" s="79" t="str">
        <f t="shared" si="3"/>
        <v>#N/A</v>
      </c>
      <c r="Q588" s="123" t="str">
        <f t="shared" si="4"/>
        <v>#N/A</v>
      </c>
      <c r="R588" s="124" t="str">
        <f t="shared" si="5"/>
        <v>#N/A</v>
      </c>
      <c r="S588" s="125" t="str">
        <f t="shared" si="6"/>
        <v>#N/A</v>
      </c>
      <c r="T588" s="125" t="str">
        <f t="shared" si="7"/>
        <v>#N/A</v>
      </c>
      <c r="U588" s="83">
        <f t="shared" si="8"/>
        <v>0</v>
      </c>
      <c r="V588" s="88" t="str">
        <f>ifs($N588="",VLOOKUP($C588&amp;$F588,'MARCH - VISIT DATA'!$A$2:$J600,7,FALSE), $N588="SWAB","OUTSA-RW",$N588="SWQU","OUTSA-SaQu", AND($L588="X",$M588="X",$N588="QUEST"),"OUT-UAQPre",$N588="QUEST","OUT-UAQ", $N588="Walk in","ColUATele")</f>
        <v>#N/A</v>
      </c>
      <c r="W588" s="70" t="str">
        <f t="shared" si="9"/>
        <v>#N/A</v>
      </c>
      <c r="X588" s="64" t="str">
        <f t="shared" si="10"/>
        <v/>
      </c>
      <c r="Y588" s="64" t="str">
        <f t="shared" si="11"/>
        <v/>
      </c>
      <c r="Z588" s="66" t="str">
        <f t="shared" si="12"/>
        <v> </v>
      </c>
      <c r="AA588" s="71"/>
    </row>
    <row r="589" ht="15.75" customHeight="1">
      <c r="A589" s="56" t="str">
        <f t="shared" si="1"/>
        <v/>
      </c>
      <c r="B589" s="56" t="str">
        <f>IFS($C589=FALSE,"",$C589,VLOOKUP($C589,'PATIENT DATA (072721)'!A:C, 2, 0))</f>
        <v/>
      </c>
      <c r="C589" s="57"/>
      <c r="D589" s="127" t="str">
        <f>IF(COUNTIF('PATIENT DATA (072721)'!A:A, C589)=0, "X","✓")</f>
        <v>X</v>
      </c>
      <c r="E589" s="79"/>
      <c r="F589" s="80"/>
      <c r="G589" s="81" t="str">
        <f>ifs($C589="","",$C589, VLOOKUP($C589&amp;$F589, 'MARCH - VISIT DATA'!A:O,3,0))</f>
        <v/>
      </c>
      <c r="H589" s="83"/>
      <c r="I589" s="122" t="str">
        <f>VLOOKUP($C589&amp;$F589,'MARCH - VISIT DATA'!A:J, 9, FALSE)</f>
        <v>#N/A</v>
      </c>
      <c r="J589" s="85" t="str">
        <f>VLOOKUP(C589&amp;F589,'MARCH - VISIT DATA'!A:O,10,FALSE)</f>
        <v>#N/A</v>
      </c>
      <c r="K589" s="86"/>
      <c r="L589" s="86"/>
      <c r="M589" s="86"/>
      <c r="N589" s="86"/>
      <c r="O589" s="121" t="str">
        <f t="shared" si="2"/>
        <v>X</v>
      </c>
      <c r="P589" s="79" t="str">
        <f t="shared" si="3"/>
        <v>#N/A</v>
      </c>
      <c r="Q589" s="123" t="str">
        <f t="shared" si="4"/>
        <v>#N/A</v>
      </c>
      <c r="R589" s="124" t="str">
        <f t="shared" si="5"/>
        <v>#N/A</v>
      </c>
      <c r="S589" s="125" t="str">
        <f t="shared" si="6"/>
        <v>#N/A</v>
      </c>
      <c r="T589" s="125" t="str">
        <f t="shared" si="7"/>
        <v>#N/A</v>
      </c>
      <c r="U589" s="83">
        <f t="shared" si="8"/>
        <v>0</v>
      </c>
      <c r="V589" s="88" t="str">
        <f>ifs($N589="",VLOOKUP($C589&amp;$F589,'MARCH - VISIT DATA'!$A$2:$J600,7,FALSE), $N589="SWAB","OUTSA-RW",$N589="SWQU","OUTSA-SaQu", AND($L589="X",$M589="X",$N589="QUEST"),"OUT-UAQPre",$N589="QUEST","OUT-UAQ", $N589="Walk in","ColUATele")</f>
        <v>#N/A</v>
      </c>
      <c r="W589" s="70" t="str">
        <f t="shared" si="9"/>
        <v>#N/A</v>
      </c>
      <c r="X589" s="64" t="str">
        <f t="shared" si="10"/>
        <v/>
      </c>
      <c r="Y589" s="64" t="str">
        <f t="shared" si="11"/>
        <v/>
      </c>
      <c r="Z589" s="66" t="str">
        <f t="shared" si="12"/>
        <v> </v>
      </c>
      <c r="AA589" s="71"/>
    </row>
    <row r="590" ht="15.75" customHeight="1">
      <c r="A590" s="56" t="str">
        <f t="shared" si="1"/>
        <v/>
      </c>
      <c r="B590" s="56" t="str">
        <f>IFS($C590=FALSE,"",$C590,VLOOKUP($C590,'PATIENT DATA (072721)'!A:C, 2, 0))</f>
        <v/>
      </c>
      <c r="C590" s="57"/>
      <c r="D590" s="127" t="str">
        <f>IF(COUNTIF('PATIENT DATA (072721)'!A:A, C590)=0, "X","✓")</f>
        <v>X</v>
      </c>
      <c r="E590" s="79"/>
      <c r="F590" s="80"/>
      <c r="G590" s="81" t="str">
        <f>ifs($C590="","",$C590, VLOOKUP($C590&amp;$F590, 'MARCH - VISIT DATA'!A:O,3,0))</f>
        <v/>
      </c>
      <c r="H590" s="83"/>
      <c r="I590" s="122" t="str">
        <f>VLOOKUP($C590&amp;$F590,'MARCH - VISIT DATA'!A:J, 9, FALSE)</f>
        <v>#N/A</v>
      </c>
      <c r="J590" s="85" t="str">
        <f>VLOOKUP(C590&amp;F590,'MARCH - VISIT DATA'!A:O,10,FALSE)</f>
        <v>#N/A</v>
      </c>
      <c r="K590" s="86"/>
      <c r="L590" s="86"/>
      <c r="M590" s="86"/>
      <c r="N590" s="86"/>
      <c r="O590" s="121" t="str">
        <f t="shared" si="2"/>
        <v>X</v>
      </c>
      <c r="P590" s="79" t="str">
        <f t="shared" si="3"/>
        <v>#N/A</v>
      </c>
      <c r="Q590" s="123" t="str">
        <f t="shared" si="4"/>
        <v>#N/A</v>
      </c>
      <c r="R590" s="124" t="str">
        <f t="shared" si="5"/>
        <v>#N/A</v>
      </c>
      <c r="S590" s="125" t="str">
        <f t="shared" si="6"/>
        <v>#N/A</v>
      </c>
      <c r="T590" s="125" t="str">
        <f t="shared" si="7"/>
        <v>#N/A</v>
      </c>
      <c r="U590" s="83">
        <f t="shared" si="8"/>
        <v>0</v>
      </c>
      <c r="V590" s="88" t="str">
        <f>ifs($N590="",VLOOKUP($C590&amp;$F590,'MARCH - VISIT DATA'!$A$2:$J600,7,FALSE), $N590="SWAB","OUTSA-RW",$N590="SWQU","OUTSA-SaQu", AND($L590="X",$M590="X",$N590="QUEST"),"OUT-UAQPre",$N590="QUEST","OUT-UAQ", $N590="Walk in","ColUATele")</f>
        <v>#N/A</v>
      </c>
      <c r="W590" s="70" t="str">
        <f t="shared" si="9"/>
        <v>#N/A</v>
      </c>
      <c r="X590" s="64" t="str">
        <f t="shared" si="10"/>
        <v/>
      </c>
      <c r="Y590" s="64" t="str">
        <f t="shared" si="11"/>
        <v/>
      </c>
      <c r="Z590" s="66" t="str">
        <f t="shared" si="12"/>
        <v> </v>
      </c>
      <c r="AA590" s="71"/>
    </row>
    <row r="591" ht="15.75" customHeight="1">
      <c r="A591" s="56" t="str">
        <f t="shared" si="1"/>
        <v/>
      </c>
      <c r="B591" s="56" t="str">
        <f>IFS($C591=FALSE,"",$C591,VLOOKUP($C591,'PATIENT DATA (072721)'!A:C, 2, 0))</f>
        <v/>
      </c>
      <c r="C591" s="57"/>
      <c r="D591" s="127" t="str">
        <f>IF(COUNTIF('PATIENT DATA (072721)'!A:A, C591)=0, "X","✓")</f>
        <v>X</v>
      </c>
      <c r="E591" s="79"/>
      <c r="F591" s="80"/>
      <c r="G591" s="81" t="str">
        <f>ifs($C591="","",$C591, VLOOKUP($C591&amp;$F591, 'MARCH - VISIT DATA'!A:O,3,0))</f>
        <v/>
      </c>
      <c r="H591" s="83"/>
      <c r="I591" s="122" t="str">
        <f>VLOOKUP($C591&amp;$F591,'MARCH - VISIT DATA'!A:J, 9, FALSE)</f>
        <v>#N/A</v>
      </c>
      <c r="J591" s="85" t="str">
        <f>VLOOKUP(C591&amp;F591,'MARCH - VISIT DATA'!A:O,10,FALSE)</f>
        <v>#N/A</v>
      </c>
      <c r="K591" s="86"/>
      <c r="L591" s="86"/>
      <c r="M591" s="86"/>
      <c r="N591" s="86"/>
      <c r="O591" s="121" t="str">
        <f t="shared" si="2"/>
        <v>X</v>
      </c>
      <c r="P591" s="79" t="str">
        <f t="shared" si="3"/>
        <v>#N/A</v>
      </c>
      <c r="Q591" s="123" t="str">
        <f t="shared" si="4"/>
        <v>#N/A</v>
      </c>
      <c r="R591" s="124" t="str">
        <f t="shared" si="5"/>
        <v>#N/A</v>
      </c>
      <c r="S591" s="125" t="str">
        <f t="shared" si="6"/>
        <v>#N/A</v>
      </c>
      <c r="T591" s="125" t="str">
        <f t="shared" si="7"/>
        <v>#N/A</v>
      </c>
      <c r="U591" s="83">
        <f t="shared" si="8"/>
        <v>0</v>
      </c>
      <c r="V591" s="88" t="str">
        <f>ifs($N591="",VLOOKUP($C591&amp;$F591,'MARCH - VISIT DATA'!$A$2:$J600,7,FALSE), $N591="SWAB","OUTSA-RW",$N591="SWQU","OUTSA-SaQu", AND($L591="X",$M591="X",$N591="QUEST"),"OUT-UAQPre",$N591="QUEST","OUT-UAQ", $N591="Walk in","ColUATele")</f>
        <v>#N/A</v>
      </c>
      <c r="W591" s="70" t="str">
        <f t="shared" si="9"/>
        <v>#N/A</v>
      </c>
      <c r="X591" s="64" t="str">
        <f t="shared" si="10"/>
        <v/>
      </c>
      <c r="Y591" s="64" t="str">
        <f t="shared" si="11"/>
        <v/>
      </c>
      <c r="Z591" s="66" t="str">
        <f t="shared" si="12"/>
        <v> </v>
      </c>
      <c r="AA591" s="71"/>
    </row>
    <row r="592" ht="15.75" customHeight="1">
      <c r="A592" s="56" t="str">
        <f t="shared" si="1"/>
        <v/>
      </c>
      <c r="B592" s="56" t="str">
        <f>IFS($C592=FALSE,"",$C592,VLOOKUP($C592,'PATIENT DATA (072721)'!A:C, 2, 0))</f>
        <v/>
      </c>
      <c r="C592" s="57"/>
      <c r="D592" s="127" t="str">
        <f>IF(COUNTIF('PATIENT DATA (072721)'!A:A, C592)=0, "X","✓")</f>
        <v>X</v>
      </c>
      <c r="E592" s="79"/>
      <c r="F592" s="80"/>
      <c r="G592" s="81" t="str">
        <f>ifs($C592="","",$C592, VLOOKUP($C592&amp;$F592, 'MARCH - VISIT DATA'!A:O,3,0))</f>
        <v/>
      </c>
      <c r="H592" s="83"/>
      <c r="I592" s="122" t="str">
        <f>VLOOKUP($C592&amp;$F592,'MARCH - VISIT DATA'!A:J, 9, FALSE)</f>
        <v>#N/A</v>
      </c>
      <c r="J592" s="85" t="str">
        <f>VLOOKUP(C592&amp;F592,'MARCH - VISIT DATA'!A:O,10,FALSE)</f>
        <v>#N/A</v>
      </c>
      <c r="K592" s="86"/>
      <c r="L592" s="86"/>
      <c r="M592" s="86"/>
      <c r="N592" s="86"/>
      <c r="O592" s="121" t="str">
        <f t="shared" si="2"/>
        <v>X</v>
      </c>
      <c r="P592" s="79" t="str">
        <f t="shared" si="3"/>
        <v>#N/A</v>
      </c>
      <c r="Q592" s="123" t="str">
        <f t="shared" si="4"/>
        <v>#N/A</v>
      </c>
      <c r="R592" s="124" t="str">
        <f t="shared" si="5"/>
        <v>#N/A</v>
      </c>
      <c r="S592" s="125" t="str">
        <f t="shared" si="6"/>
        <v>#N/A</v>
      </c>
      <c r="T592" s="125" t="str">
        <f t="shared" si="7"/>
        <v>#N/A</v>
      </c>
      <c r="U592" s="83">
        <f t="shared" si="8"/>
        <v>0</v>
      </c>
      <c r="V592" s="88" t="str">
        <f>ifs($N592="",VLOOKUP($C592&amp;$F592,'MARCH - VISIT DATA'!$A$2:$J600,7,FALSE), $N592="SWAB","OUTSA-RW",$N592="SWQU","OUTSA-SaQu", AND($L592="X",$M592="X",$N592="QUEST"),"OUT-UAQPre",$N592="QUEST","OUT-UAQ", $N592="Walk in","ColUATele")</f>
        <v>#N/A</v>
      </c>
      <c r="W592" s="70" t="str">
        <f t="shared" si="9"/>
        <v>#N/A</v>
      </c>
      <c r="X592" s="64" t="str">
        <f t="shared" si="10"/>
        <v/>
      </c>
      <c r="Y592" s="64" t="str">
        <f t="shared" si="11"/>
        <v/>
      </c>
      <c r="Z592" s="66" t="str">
        <f t="shared" si="12"/>
        <v> </v>
      </c>
      <c r="AA592" s="71"/>
    </row>
    <row r="593" ht="15.75" customHeight="1">
      <c r="A593" s="56" t="str">
        <f t="shared" si="1"/>
        <v/>
      </c>
      <c r="B593" s="56" t="str">
        <f>IFS($C593=FALSE,"",$C593,VLOOKUP($C593,'PATIENT DATA (072721)'!A:C, 2, 0))</f>
        <v/>
      </c>
      <c r="C593" s="57"/>
      <c r="D593" s="127" t="str">
        <f>IF(COUNTIF('PATIENT DATA (072721)'!A:A, C593)=0, "X","✓")</f>
        <v>X</v>
      </c>
      <c r="E593" s="79"/>
      <c r="F593" s="80"/>
      <c r="G593" s="81" t="str">
        <f>ifs($C593="","",$C593, VLOOKUP($C593&amp;$F593, 'MARCH - VISIT DATA'!A:O,3,0))</f>
        <v/>
      </c>
      <c r="H593" s="83"/>
      <c r="I593" s="122" t="str">
        <f>VLOOKUP($C593&amp;$F593,'MARCH - VISIT DATA'!A:J, 9, FALSE)</f>
        <v>#N/A</v>
      </c>
      <c r="J593" s="85" t="str">
        <f>VLOOKUP(C593&amp;F593,'MARCH - VISIT DATA'!A:O,10,FALSE)</f>
        <v>#N/A</v>
      </c>
      <c r="K593" s="86"/>
      <c r="L593" s="86"/>
      <c r="M593" s="86"/>
      <c r="N593" s="86"/>
      <c r="O593" s="121" t="str">
        <f t="shared" si="2"/>
        <v>X</v>
      </c>
      <c r="P593" s="79" t="str">
        <f t="shared" si="3"/>
        <v>#N/A</v>
      </c>
      <c r="Q593" s="123" t="str">
        <f t="shared" si="4"/>
        <v>#N/A</v>
      </c>
      <c r="R593" s="124" t="str">
        <f t="shared" si="5"/>
        <v>#N/A</v>
      </c>
      <c r="S593" s="125" t="str">
        <f t="shared" si="6"/>
        <v>#N/A</v>
      </c>
      <c r="T593" s="125" t="str">
        <f t="shared" si="7"/>
        <v>#N/A</v>
      </c>
      <c r="U593" s="83">
        <f t="shared" si="8"/>
        <v>0</v>
      </c>
      <c r="V593" s="88" t="str">
        <f>ifs($N593="",VLOOKUP($C593&amp;$F593,'MARCH - VISIT DATA'!$A$2:$J600,7,FALSE), $N593="SWAB","OUTSA-RW",$N593="SWQU","OUTSA-SaQu", AND($L593="X",$M593="X",$N593="QUEST"),"OUT-UAQPre",$N593="QUEST","OUT-UAQ", $N593="Walk in","ColUATele")</f>
        <v>#N/A</v>
      </c>
      <c r="W593" s="70" t="str">
        <f t="shared" si="9"/>
        <v>#N/A</v>
      </c>
      <c r="X593" s="64" t="str">
        <f t="shared" si="10"/>
        <v/>
      </c>
      <c r="Y593" s="64" t="str">
        <f t="shared" si="11"/>
        <v/>
      </c>
      <c r="Z593" s="66" t="str">
        <f t="shared" si="12"/>
        <v> </v>
      </c>
      <c r="AA593" s="71"/>
    </row>
    <row r="594" ht="15.75" customHeight="1">
      <c r="A594" s="56" t="str">
        <f t="shared" si="1"/>
        <v/>
      </c>
      <c r="B594" s="56" t="str">
        <f>IFS($C594=FALSE,"",$C594,VLOOKUP($C594,'PATIENT DATA (072721)'!A:C, 2, 0))</f>
        <v/>
      </c>
      <c r="C594" s="57"/>
      <c r="D594" s="127" t="str">
        <f>IF(COUNTIF('PATIENT DATA (072721)'!A:A, C594)=0, "X","✓")</f>
        <v>X</v>
      </c>
      <c r="E594" s="79"/>
      <c r="F594" s="80"/>
      <c r="G594" s="81" t="str">
        <f>ifs($C594="","",$C594, VLOOKUP($C594&amp;$F594, 'MARCH - VISIT DATA'!A:O,3,0))</f>
        <v/>
      </c>
      <c r="H594" s="83"/>
      <c r="I594" s="122" t="str">
        <f>VLOOKUP($C594&amp;$F594,'MARCH - VISIT DATA'!A:J, 9, FALSE)</f>
        <v>#N/A</v>
      </c>
      <c r="J594" s="85" t="str">
        <f>VLOOKUP(C594&amp;F594,'MARCH - VISIT DATA'!A:O,10,FALSE)</f>
        <v>#N/A</v>
      </c>
      <c r="K594" s="86"/>
      <c r="L594" s="86"/>
      <c r="M594" s="86"/>
      <c r="N594" s="86"/>
      <c r="O594" s="121" t="str">
        <f t="shared" si="2"/>
        <v>X</v>
      </c>
      <c r="P594" s="79" t="str">
        <f t="shared" si="3"/>
        <v>#N/A</v>
      </c>
      <c r="Q594" s="123" t="str">
        <f t="shared" si="4"/>
        <v>#N/A</v>
      </c>
      <c r="R594" s="124" t="str">
        <f t="shared" si="5"/>
        <v>#N/A</v>
      </c>
      <c r="S594" s="125" t="str">
        <f t="shared" si="6"/>
        <v>#N/A</v>
      </c>
      <c r="T594" s="125" t="str">
        <f t="shared" si="7"/>
        <v>#N/A</v>
      </c>
      <c r="U594" s="83">
        <f t="shared" si="8"/>
        <v>0</v>
      </c>
      <c r="V594" s="88" t="str">
        <f>ifs($N594="",VLOOKUP($C594&amp;$F594,'MARCH - VISIT DATA'!$A$2:$J600,7,FALSE), $N594="SWAB","OUTSA-RW",$N594="SWQU","OUTSA-SaQu", AND($L594="X",$M594="X",$N594="QUEST"),"OUT-UAQPre",$N594="QUEST","OUT-UAQ", $N594="Walk in","ColUATele")</f>
        <v>#N/A</v>
      </c>
      <c r="W594" s="70" t="str">
        <f t="shared" si="9"/>
        <v>#N/A</v>
      </c>
      <c r="X594" s="64" t="str">
        <f t="shared" si="10"/>
        <v/>
      </c>
      <c r="Y594" s="64" t="str">
        <f t="shared" si="11"/>
        <v/>
      </c>
      <c r="Z594" s="66" t="str">
        <f t="shared" si="12"/>
        <v> </v>
      </c>
      <c r="AA594" s="71"/>
    </row>
    <row r="595" ht="15.75" customHeight="1">
      <c r="A595" s="56" t="str">
        <f t="shared" si="1"/>
        <v/>
      </c>
      <c r="B595" s="56" t="str">
        <f>IFS($C595=FALSE,"",$C595,VLOOKUP($C595,'PATIENT DATA (072721)'!A:C, 2, 0))</f>
        <v/>
      </c>
      <c r="C595" s="57"/>
      <c r="D595" s="127" t="str">
        <f>IF(COUNTIF('PATIENT DATA (072721)'!A:A, C595)=0, "X","✓")</f>
        <v>X</v>
      </c>
      <c r="E595" s="79"/>
      <c r="F595" s="80"/>
      <c r="G595" s="81" t="str">
        <f>ifs($C595="","",$C595, VLOOKUP($C595&amp;$F595, 'MARCH - VISIT DATA'!A:O,3,0))</f>
        <v/>
      </c>
      <c r="H595" s="83"/>
      <c r="I595" s="122" t="str">
        <f>VLOOKUP($C595&amp;$F595,'MARCH - VISIT DATA'!A:J, 9, FALSE)</f>
        <v>#N/A</v>
      </c>
      <c r="J595" s="85" t="str">
        <f>VLOOKUP(C595&amp;F595,'MARCH - VISIT DATA'!A:O,10,FALSE)</f>
        <v>#N/A</v>
      </c>
      <c r="K595" s="86"/>
      <c r="L595" s="86"/>
      <c r="M595" s="86"/>
      <c r="N595" s="86"/>
      <c r="O595" s="121" t="str">
        <f t="shared" si="2"/>
        <v>X</v>
      </c>
      <c r="P595" s="79" t="str">
        <f t="shared" si="3"/>
        <v>#N/A</v>
      </c>
      <c r="Q595" s="123" t="str">
        <f t="shared" si="4"/>
        <v>#N/A</v>
      </c>
      <c r="R595" s="124" t="str">
        <f t="shared" si="5"/>
        <v>#N/A</v>
      </c>
      <c r="S595" s="125" t="str">
        <f t="shared" si="6"/>
        <v>#N/A</v>
      </c>
      <c r="T595" s="125" t="str">
        <f t="shared" si="7"/>
        <v>#N/A</v>
      </c>
      <c r="U595" s="83">
        <f t="shared" si="8"/>
        <v>0</v>
      </c>
      <c r="V595" s="88" t="str">
        <f>ifs($N595="",VLOOKUP($C595&amp;$F595,'MARCH - VISIT DATA'!$A$2:$J600,7,FALSE), $N595="SWAB","OUTSA-RW",$N595="SWQU","OUTSA-SaQu", AND($L595="X",$M595="X",$N595="QUEST"),"OUT-UAQPre",$N595="QUEST","OUT-UAQ", $N595="Walk in","ColUATele")</f>
        <v>#N/A</v>
      </c>
      <c r="W595" s="70" t="str">
        <f t="shared" si="9"/>
        <v>#N/A</v>
      </c>
      <c r="X595" s="64" t="str">
        <f t="shared" si="10"/>
        <v/>
      </c>
      <c r="Y595" s="64" t="str">
        <f t="shared" si="11"/>
        <v/>
      </c>
      <c r="Z595" s="66" t="str">
        <f t="shared" si="12"/>
        <v> </v>
      </c>
      <c r="AA595" s="71"/>
    </row>
    <row r="596" ht="15.75" customHeight="1">
      <c r="A596" s="56" t="str">
        <f t="shared" si="1"/>
        <v/>
      </c>
      <c r="B596" s="56" t="str">
        <f>IFS($C596=FALSE,"",$C596,VLOOKUP($C596,'PATIENT DATA (072721)'!A:C, 2, 0))</f>
        <v/>
      </c>
      <c r="C596" s="57"/>
      <c r="D596" s="127" t="str">
        <f>IF(COUNTIF('PATIENT DATA (072721)'!A:A, C596)=0, "X","✓")</f>
        <v>X</v>
      </c>
      <c r="E596" s="79"/>
      <c r="F596" s="80"/>
      <c r="G596" s="81" t="str">
        <f>ifs($C596="","",$C596, VLOOKUP($C596&amp;$F596, 'MARCH - VISIT DATA'!A:O,3,0))</f>
        <v/>
      </c>
      <c r="H596" s="83"/>
      <c r="I596" s="122" t="str">
        <f>VLOOKUP($C596&amp;$F596,'MARCH - VISIT DATA'!A:J, 9, FALSE)</f>
        <v>#N/A</v>
      </c>
      <c r="J596" s="85" t="str">
        <f>VLOOKUP(C596&amp;F596,'MARCH - VISIT DATA'!A:O,10,FALSE)</f>
        <v>#N/A</v>
      </c>
      <c r="K596" s="86"/>
      <c r="L596" s="86"/>
      <c r="M596" s="86"/>
      <c r="N596" s="86"/>
      <c r="O596" s="121" t="str">
        <f t="shared" si="2"/>
        <v>X</v>
      </c>
      <c r="P596" s="79" t="str">
        <f t="shared" si="3"/>
        <v>#N/A</v>
      </c>
      <c r="Q596" s="123" t="str">
        <f t="shared" si="4"/>
        <v>#N/A</v>
      </c>
      <c r="R596" s="124" t="str">
        <f t="shared" si="5"/>
        <v>#N/A</v>
      </c>
      <c r="S596" s="125" t="str">
        <f t="shared" si="6"/>
        <v>#N/A</v>
      </c>
      <c r="T596" s="125" t="str">
        <f t="shared" si="7"/>
        <v>#N/A</v>
      </c>
      <c r="U596" s="83">
        <f t="shared" si="8"/>
        <v>0</v>
      </c>
      <c r="V596" s="88" t="str">
        <f>ifs($N596="",VLOOKUP($C596&amp;$F596,'MARCH - VISIT DATA'!$A$2:$J600,7,FALSE), $N596="SWAB","OUTSA-RW",$N596="SWQU","OUTSA-SaQu", AND($L596="X",$M596="X",$N596="QUEST"),"OUT-UAQPre",$N596="QUEST","OUT-UAQ", $N596="Walk in","ColUATele")</f>
        <v>#N/A</v>
      </c>
      <c r="W596" s="70" t="str">
        <f t="shared" si="9"/>
        <v>#N/A</v>
      </c>
      <c r="X596" s="64" t="str">
        <f t="shared" si="10"/>
        <v/>
      </c>
      <c r="Y596" s="64" t="str">
        <f t="shared" si="11"/>
        <v/>
      </c>
      <c r="Z596" s="66" t="str">
        <f t="shared" si="12"/>
        <v> </v>
      </c>
      <c r="AA596" s="71"/>
    </row>
    <row r="597" ht="15.75" customHeight="1">
      <c r="A597" s="56" t="str">
        <f t="shared" si="1"/>
        <v/>
      </c>
      <c r="B597" s="56" t="str">
        <f>IFS($C597=FALSE,"",$C597,VLOOKUP($C597,'PATIENT DATA (072721)'!A:C, 2, 0))</f>
        <v/>
      </c>
      <c r="C597" s="57"/>
      <c r="D597" s="127" t="str">
        <f>IF(COUNTIF('PATIENT DATA (072721)'!A:A, C597)=0, "X","✓")</f>
        <v>X</v>
      </c>
      <c r="E597" s="79"/>
      <c r="F597" s="80"/>
      <c r="G597" s="81" t="str">
        <f>ifs($C597="","",$C597, VLOOKUP($C597&amp;$F597, 'MARCH - VISIT DATA'!A:O,3,0))</f>
        <v/>
      </c>
      <c r="H597" s="83"/>
      <c r="I597" s="122" t="str">
        <f>VLOOKUP($C597&amp;$F597,'MARCH - VISIT DATA'!A:J, 9, FALSE)</f>
        <v>#N/A</v>
      </c>
      <c r="J597" s="85" t="str">
        <f>VLOOKUP(C597&amp;F597,'MARCH - VISIT DATA'!A:O,10,FALSE)</f>
        <v>#N/A</v>
      </c>
      <c r="K597" s="86"/>
      <c r="L597" s="86"/>
      <c r="M597" s="86"/>
      <c r="N597" s="86"/>
      <c r="O597" s="121" t="str">
        <f t="shared" si="2"/>
        <v>X</v>
      </c>
      <c r="P597" s="79" t="str">
        <f t="shared" si="3"/>
        <v>#N/A</v>
      </c>
      <c r="Q597" s="123" t="str">
        <f t="shared" si="4"/>
        <v>#N/A</v>
      </c>
      <c r="R597" s="124" t="str">
        <f t="shared" si="5"/>
        <v>#N/A</v>
      </c>
      <c r="S597" s="125" t="str">
        <f t="shared" si="6"/>
        <v>#N/A</v>
      </c>
      <c r="T597" s="125" t="str">
        <f t="shared" si="7"/>
        <v>#N/A</v>
      </c>
      <c r="U597" s="83">
        <f t="shared" si="8"/>
        <v>0</v>
      </c>
      <c r="V597" s="88" t="str">
        <f>ifs($N597="",VLOOKUP($C597&amp;$F597,'MARCH - VISIT DATA'!$A$2:$J600,7,FALSE), $N597="SWAB","OUTSA-RW",$N597="SWQU","OUTSA-SaQu", AND($L597="X",$M597="X",$N597="QUEST"),"OUT-UAQPre",$N597="QUEST","OUT-UAQ", $N597="Walk in","ColUATele")</f>
        <v>#N/A</v>
      </c>
      <c r="W597" s="70" t="str">
        <f t="shared" si="9"/>
        <v>#N/A</v>
      </c>
      <c r="X597" s="64" t="str">
        <f t="shared" si="10"/>
        <v/>
      </c>
      <c r="Y597" s="64" t="str">
        <f t="shared" si="11"/>
        <v/>
      </c>
      <c r="Z597" s="66" t="str">
        <f t="shared" si="12"/>
        <v> </v>
      </c>
      <c r="AA597" s="71"/>
    </row>
    <row r="598" ht="15.75" customHeight="1">
      <c r="A598" s="56" t="str">
        <f t="shared" si="1"/>
        <v/>
      </c>
      <c r="B598" s="56" t="str">
        <f>IFS($C598=FALSE,"",$C598,VLOOKUP($C598,'PATIENT DATA (072721)'!A:C, 2, 0))</f>
        <v/>
      </c>
      <c r="C598" s="57"/>
      <c r="D598" s="127" t="str">
        <f>IF(COUNTIF('PATIENT DATA (072721)'!A:A, C598)=0, "X","✓")</f>
        <v>X</v>
      </c>
      <c r="E598" s="79"/>
      <c r="F598" s="80"/>
      <c r="G598" s="81" t="str">
        <f>ifs($C598="","",$C598, VLOOKUP($C598&amp;$F598, 'MARCH - VISIT DATA'!A:O,3,0))</f>
        <v/>
      </c>
      <c r="H598" s="83"/>
      <c r="I598" s="122" t="str">
        <f>VLOOKUP($C598&amp;$F598,'MARCH - VISIT DATA'!A:J, 9, FALSE)</f>
        <v>#N/A</v>
      </c>
      <c r="J598" s="85" t="str">
        <f>VLOOKUP(C598&amp;F598,'MARCH - VISIT DATA'!A:O,10,FALSE)</f>
        <v>#N/A</v>
      </c>
      <c r="K598" s="86"/>
      <c r="L598" s="86"/>
      <c r="M598" s="86"/>
      <c r="N598" s="86"/>
      <c r="O598" s="121" t="str">
        <f t="shared" si="2"/>
        <v>X</v>
      </c>
      <c r="P598" s="79" t="str">
        <f t="shared" si="3"/>
        <v>#N/A</v>
      </c>
      <c r="Q598" s="123" t="str">
        <f t="shared" si="4"/>
        <v>#N/A</v>
      </c>
      <c r="R598" s="124" t="str">
        <f t="shared" si="5"/>
        <v>#N/A</v>
      </c>
      <c r="S598" s="125" t="str">
        <f t="shared" si="6"/>
        <v>#N/A</v>
      </c>
      <c r="T598" s="125" t="str">
        <f t="shared" si="7"/>
        <v>#N/A</v>
      </c>
      <c r="U598" s="83">
        <f t="shared" si="8"/>
        <v>0</v>
      </c>
      <c r="V598" s="88" t="str">
        <f>ifs($N598="",VLOOKUP($C598&amp;$F598,'MARCH - VISIT DATA'!$A$2:$J600,7,FALSE), $N598="SWAB","OUTSA-RW",$N598="SWQU","OUTSA-SaQu", AND($L598="X",$M598="X",$N598="QUEST"),"OUT-UAQPre",$N598="QUEST","OUT-UAQ", $N598="Walk in","ColUATele")</f>
        <v>#N/A</v>
      </c>
      <c r="W598" s="70" t="str">
        <f t="shared" si="9"/>
        <v>#N/A</v>
      </c>
      <c r="X598" s="64" t="str">
        <f t="shared" si="10"/>
        <v/>
      </c>
      <c r="Y598" s="64" t="str">
        <f t="shared" si="11"/>
        <v/>
      </c>
      <c r="Z598" s="66" t="str">
        <f t="shared" si="12"/>
        <v> </v>
      </c>
      <c r="AA598" s="71"/>
    </row>
    <row r="599" ht="15.75" customHeight="1">
      <c r="A599" s="56" t="str">
        <f t="shared" si="1"/>
        <v/>
      </c>
      <c r="B599" s="56" t="str">
        <f>IFS($C599=FALSE,"",$C599,VLOOKUP($C599,'PATIENT DATA (072721)'!A:C, 2, 0))</f>
        <v/>
      </c>
      <c r="C599" s="57"/>
      <c r="D599" s="127" t="str">
        <f>IF(COUNTIF('PATIENT DATA (072721)'!A:A, C599)=0, "X","✓")</f>
        <v>X</v>
      </c>
      <c r="E599" s="79"/>
      <c r="F599" s="80"/>
      <c r="G599" s="81" t="str">
        <f>ifs($C599="","",$C599, VLOOKUP($C599&amp;$F599, 'MARCH - VISIT DATA'!A:O,3,0))</f>
        <v/>
      </c>
      <c r="H599" s="83"/>
      <c r="I599" s="122" t="str">
        <f>VLOOKUP($C599&amp;$F599,'MARCH - VISIT DATA'!A:J, 9, FALSE)</f>
        <v>#N/A</v>
      </c>
      <c r="J599" s="85" t="str">
        <f>VLOOKUP(C599&amp;F599,'MARCH - VISIT DATA'!A:O,10,FALSE)</f>
        <v>#N/A</v>
      </c>
      <c r="K599" s="86"/>
      <c r="L599" s="86"/>
      <c r="M599" s="86"/>
      <c r="N599" s="86"/>
      <c r="O599" s="121" t="str">
        <f t="shared" si="2"/>
        <v>X</v>
      </c>
      <c r="P599" s="79" t="str">
        <f t="shared" si="3"/>
        <v>#N/A</v>
      </c>
      <c r="Q599" s="123" t="str">
        <f t="shared" si="4"/>
        <v>#N/A</v>
      </c>
      <c r="R599" s="124" t="str">
        <f t="shared" si="5"/>
        <v>#N/A</v>
      </c>
      <c r="S599" s="125" t="str">
        <f t="shared" si="6"/>
        <v>#N/A</v>
      </c>
      <c r="T599" s="125" t="str">
        <f t="shared" si="7"/>
        <v>#N/A</v>
      </c>
      <c r="U599" s="83">
        <f t="shared" si="8"/>
        <v>0</v>
      </c>
      <c r="V599" s="88" t="str">
        <f>ifs($N599="",VLOOKUP($C599&amp;$F599,'MARCH - VISIT DATA'!$A$2:$J600,7,FALSE), $N599="SWAB","OUTSA-RW",$N599="SWQU","OUTSA-SaQu", AND($L599="X",$M599="X",$N599="QUEST"),"OUT-UAQPre",$N599="QUEST","OUT-UAQ", $N599="Walk in","ColUATele")</f>
        <v>#N/A</v>
      </c>
      <c r="W599" s="70" t="str">
        <f t="shared" si="9"/>
        <v>#N/A</v>
      </c>
      <c r="X599" s="64" t="str">
        <f t="shared" si="10"/>
        <v/>
      </c>
      <c r="Y599" s="64" t="str">
        <f t="shared" si="11"/>
        <v/>
      </c>
      <c r="Z599" s="66" t="str">
        <f t="shared" si="12"/>
        <v> </v>
      </c>
      <c r="AA599" s="71"/>
    </row>
    <row r="600" ht="15.75" customHeight="1">
      <c r="A600" s="56" t="str">
        <f t="shared" si="1"/>
        <v/>
      </c>
      <c r="B600" s="56" t="str">
        <f>IFS($C600=FALSE,"",$C600,VLOOKUP($C600,'PATIENT DATA (072721)'!A:C, 2, 0))</f>
        <v/>
      </c>
      <c r="C600" s="57"/>
      <c r="D600" s="127" t="str">
        <f>IF(COUNTIF('PATIENT DATA (072721)'!A:A, C600)=0, "X","✓")</f>
        <v>X</v>
      </c>
      <c r="E600" s="79"/>
      <c r="F600" s="80"/>
      <c r="G600" s="81" t="str">
        <f>ifs($C600="","",$C600, VLOOKUP($C600&amp;$F600, 'MARCH - VISIT DATA'!A:O,3,0))</f>
        <v/>
      </c>
      <c r="H600" s="83"/>
      <c r="I600" s="122" t="str">
        <f>VLOOKUP($C600&amp;$F600,'MARCH - VISIT DATA'!A:J, 9, FALSE)</f>
        <v>#N/A</v>
      </c>
      <c r="J600" s="85" t="str">
        <f>VLOOKUP(C600&amp;F600,'MARCH - VISIT DATA'!A:O,10,FALSE)</f>
        <v>#N/A</v>
      </c>
      <c r="K600" s="86"/>
      <c r="L600" s="86"/>
      <c r="M600" s="86"/>
      <c r="N600" s="86"/>
      <c r="O600" s="121" t="str">
        <f t="shared" si="2"/>
        <v>X</v>
      </c>
      <c r="P600" s="79" t="str">
        <f t="shared" si="3"/>
        <v>#N/A</v>
      </c>
      <c r="Q600" s="123" t="str">
        <f t="shared" si="4"/>
        <v>#N/A</v>
      </c>
      <c r="R600" s="124" t="str">
        <f t="shared" si="5"/>
        <v>#N/A</v>
      </c>
      <c r="S600" s="125" t="str">
        <f t="shared" si="6"/>
        <v>#N/A</v>
      </c>
      <c r="T600" s="125" t="str">
        <f t="shared" si="7"/>
        <v>#N/A</v>
      </c>
      <c r="U600" s="83">
        <f t="shared" si="8"/>
        <v>0</v>
      </c>
      <c r="V600" s="88" t="str">
        <f>ifs($N600="",VLOOKUP($C600&amp;$F600,'MARCH - VISIT DATA'!$A$2:$J600,7,FALSE), $N600="SWAB","OUTSA-RW",$N600="SWQU","OUTSA-SaQu", AND($L600="X",$M600="X",$N600="QUEST"),"OUT-UAQPre",$N600="QUEST","OUT-UAQ", $N600="Walk in","ColUATele")</f>
        <v>#N/A</v>
      </c>
      <c r="W600" s="70" t="str">
        <f t="shared" si="9"/>
        <v>#N/A</v>
      </c>
      <c r="X600" s="64" t="str">
        <f t="shared" si="10"/>
        <v/>
      </c>
      <c r="Y600" s="64" t="str">
        <f t="shared" si="11"/>
        <v/>
      </c>
      <c r="Z600" s="66" t="str">
        <f t="shared" si="12"/>
        <v> </v>
      </c>
      <c r="AA600" s="71"/>
    </row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A$600">
    <filterColumn colId="12">
      <filters blank="1"/>
    </filterColumn>
    <sortState ref="A1:AA600">
      <sortCondition ref="G1:G600"/>
      <sortCondition ref="F1:F600"/>
    </sortState>
  </autoFilter>
  <customSheetViews>
    <customSheetView guid="{C00DA3AA-9CBE-4B71-9EE3-D1FB1117BF89}" filter="1" showAutoFilter="1">
      <autoFilter ref="$B$1:$AA$599"/>
      <extLst>
        <ext uri="GoogleSheetsCustomDataVersion1">
          <go:sheetsCustomData xmlns:go="http://customooxmlschemas.google.com/" filterViewId="319543672"/>
        </ext>
      </extLst>
    </customSheetView>
  </customSheetViews>
  <conditionalFormatting sqref="A1:X600">
    <cfRule type="expression" dxfId="1" priority="1">
      <formula>$X1="ERROR"</formula>
    </cfRule>
  </conditionalFormatting>
  <conditionalFormatting sqref="A1:Z600">
    <cfRule type="expression" dxfId="1" priority="2">
      <formula>$Y1="NO MATCH"</formula>
    </cfRule>
  </conditionalFormatting>
  <conditionalFormatting sqref="D2:D600 O2:O600">
    <cfRule type="containsText" dxfId="1" priority="3" operator="containsText" text="X">
      <formula>NOT(ISERROR(SEARCH(("X"),(D2))))</formula>
    </cfRule>
  </conditionalFormatting>
  <conditionalFormatting sqref="A1:Z600">
    <cfRule type="expression" dxfId="2" priority="4">
      <formula>$Z1="Repeat"</formula>
    </cfRule>
  </conditionalFormatting>
  <conditionalFormatting sqref="V2:V600">
    <cfRule type="expression" dxfId="3" priority="5">
      <formula>$N2="QUEST"</formula>
    </cfRule>
  </conditionalFormatting>
  <conditionalFormatting sqref="D2:D600 O2:O600">
    <cfRule type="containsText" dxfId="3" priority="6" operator="containsText" text="✓">
      <formula>NOT(ISERROR(SEARCH(("✓"),(D2))))</formula>
    </cfRule>
  </conditionalFormatting>
  <conditionalFormatting sqref="A1:U600">
    <cfRule type="expression" dxfId="4" priority="7">
      <formula>$J1="MOLINA DUAL COMPLETE NEW MEXICO"</formula>
    </cfRule>
  </conditionalFormatting>
  <conditionalFormatting sqref="A1:U600">
    <cfRule type="expression" dxfId="4" priority="8">
      <formula>$J1="MOLINA DUAL COMPLETE TEXAS"</formula>
    </cfRule>
  </conditionalFormatting>
  <conditionalFormatting sqref="A1:U600">
    <cfRule type="expression" dxfId="4" priority="9">
      <formula>$J1="MOLINA MARKETPLACE TEXAS"</formula>
    </cfRule>
  </conditionalFormatting>
  <conditionalFormatting sqref="K1:K600">
    <cfRule type="containsText" dxfId="5" priority="10" operator="containsText" text="x">
      <formula>NOT(ISERROR(SEARCH(("x"),(K1))))</formula>
    </cfRule>
  </conditionalFormatting>
  <conditionalFormatting sqref="M1:M600">
    <cfRule type="containsText" dxfId="6" priority="11" operator="containsText" text="X">
      <formula>NOT(ISERROR(SEARCH(("X"),(M1))))</formula>
    </cfRule>
  </conditionalFormatting>
  <conditionalFormatting sqref="L1:L600">
    <cfRule type="containsText" dxfId="7" priority="12" operator="containsText" text="X">
      <formula>NOT(ISERROR(SEARCH(("X"),(L1))))</formula>
    </cfRule>
  </conditionalFormatting>
  <conditionalFormatting sqref="D1:D600 O1:O600">
    <cfRule type="containsBlanks" dxfId="8" priority="13">
      <formula>LEN(TRIM(D1))=0</formula>
    </cfRule>
  </conditionalFormatting>
  <conditionalFormatting sqref="J1:J600 N1:O1 Z1">
    <cfRule type="containsText" dxfId="9" priority="14" operator="containsText" text="Molina">
      <formula>NOT(ISERROR(SEARCH(("Molina"),(J1))))</formula>
    </cfRule>
  </conditionalFormatting>
  <conditionalFormatting sqref="K1:M600">
    <cfRule type="containsBlanks" dxfId="10" priority="15">
      <formula>LEN(TRIM(K1))=0</formula>
    </cfRule>
  </conditionalFormatting>
  <conditionalFormatting sqref="A2:N600 O1:O600 P2:Z600">
    <cfRule type="expression" dxfId="3" priority="16">
      <formula>$N1="SWAB"</formula>
    </cfRule>
  </conditionalFormatting>
  <conditionalFormatting sqref="J1:J600">
    <cfRule type="containsText" dxfId="1" priority="17" operator="containsText" text="Self Pay">
      <formula>NOT(ISERROR(SEARCH(("Self Pay"),(J1))))</formula>
    </cfRule>
  </conditionalFormatting>
  <conditionalFormatting sqref="J1:J600">
    <cfRule type="containsText" dxfId="1" priority="18" operator="containsText" text="Self-Pay">
      <formula>NOT(ISERROR(SEARCH(("Self-Pay"),(J1))))</formula>
    </cfRule>
  </conditionalFormatting>
  <conditionalFormatting sqref="J1:J600">
    <cfRule type="containsText" dxfId="1" priority="19" operator="containsText" text="Third Party">
      <formula>NOT(ISERROR(SEARCH(("Third Party"),(J1))))</formula>
    </cfRule>
  </conditionalFormatting>
  <conditionalFormatting sqref="A1:U600">
    <cfRule type="expression" dxfId="11" priority="20">
      <formula>$J1="SUPERIOR HEALTH PLAN"</formula>
    </cfRule>
  </conditionalFormatting>
  <conditionalFormatting sqref="A1:U600">
    <cfRule type="expression" dxfId="11" priority="21">
      <formula>$J1="AMBETTER - SUPERIOR"</formula>
    </cfRule>
  </conditionalFormatting>
  <conditionalFormatting sqref="A1:U600">
    <cfRule type="expression" dxfId="12" priority="22">
      <formula>$J1="Wellmed - Humana"</formula>
    </cfRule>
  </conditionalFormatting>
  <conditionalFormatting sqref="A1:U600">
    <cfRule type="expression" dxfId="12" priority="23">
      <formula>$J1="WELLMED - AARP MEDICARE COMPLETE"</formula>
    </cfRule>
  </conditionalFormatting>
  <conditionalFormatting sqref="A1:U600">
    <cfRule type="expression" dxfId="12" priority="24">
      <formula>$J1="WELLMED - AMERIVANTAGE"</formula>
    </cfRule>
  </conditionalFormatting>
  <conditionalFormatting sqref="A1:U600">
    <cfRule type="expression" dxfId="12" priority="25">
      <formula>$J1="WELLMED - CIGNA HEALTHSPRING"</formula>
    </cfRule>
  </conditionalFormatting>
  <conditionalFormatting sqref="A1:U600">
    <cfRule type="expression" dxfId="12" priority="26">
      <formula>$J1="WELLMED - UHC CHRONIC COMPLETE HMO C-SNP"</formula>
    </cfRule>
  </conditionalFormatting>
  <conditionalFormatting sqref="A1:U600">
    <cfRule type="expression" dxfId="12" priority="27">
      <formula>$J1="WELLMED - UHC DUAL COMPLETE HMO SNP"</formula>
    </cfRule>
  </conditionalFormatting>
  <conditionalFormatting sqref="A1:U600">
    <cfRule type="expression" dxfId="12" priority="28">
      <formula>$J1="WELLMED - UHC DUAL COMPLETE SNP"</formula>
    </cfRule>
  </conditionalFormatting>
  <conditionalFormatting sqref="A1:U600">
    <cfRule type="expression" dxfId="4" priority="29">
      <formula>$J1="MOLINA DUAL COMPLETE NEW MEXICO"</formula>
    </cfRule>
  </conditionalFormatting>
  <conditionalFormatting sqref="A1:U600">
    <cfRule type="expression" dxfId="4" priority="30">
      <formula>$J1="MOLINA DUAL COMPLETE TEXAS"</formula>
    </cfRule>
  </conditionalFormatting>
  <conditionalFormatting sqref="A1:U600">
    <cfRule type="expression" dxfId="4" priority="31">
      <formula>$J1="MOLINA MARKETPLACE TEXAS"</formula>
    </cfRule>
  </conditionalFormatting>
  <conditionalFormatting sqref="A1:U600">
    <cfRule type="expression" dxfId="4" priority="32">
      <formula>$J1="MOLINA MEDICAID TEXAS"</formula>
    </cfRule>
  </conditionalFormatting>
  <conditionalFormatting sqref="A1:U600">
    <cfRule type="expression" dxfId="13" priority="33">
      <formula>$J1="HUMANA OPEN ACCESS PLAN"</formula>
    </cfRule>
  </conditionalFormatting>
  <conditionalFormatting sqref="A1:U600">
    <cfRule type="expression" dxfId="14" priority="34">
      <formula>$J1="HUMANA CHOICE CARE"</formula>
    </cfRule>
  </conditionalFormatting>
  <conditionalFormatting sqref="V1:W600">
    <cfRule type="expression" dxfId="15" priority="35">
      <formula>$V1="UA"</formula>
    </cfRule>
  </conditionalFormatting>
  <conditionalFormatting sqref="V1:W600">
    <cfRule type="expression" dxfId="16" priority="36">
      <formula>$V1="OUTUA-PrRW"</formula>
    </cfRule>
  </conditionalFormatting>
  <conditionalFormatting sqref="V1:W600">
    <cfRule type="expression" dxfId="16" priority="37">
      <formula>$V1="OUT-UAQPre"</formula>
    </cfRule>
  </conditionalFormatting>
  <conditionalFormatting sqref="V1:W600">
    <cfRule type="expression" dxfId="17" priority="38">
      <formula>$V1="UA-Prelim"</formula>
    </cfRule>
  </conditionalFormatting>
  <conditionalFormatting sqref="V1:W600">
    <cfRule type="expression" dxfId="5" priority="39">
      <formula>$V1="UA-NWPT"</formula>
    </cfRule>
  </conditionalFormatting>
  <conditionalFormatting sqref="N1:O600">
    <cfRule type="expression" dxfId="1" priority="40">
      <formula>$O1="X"</formula>
    </cfRule>
  </conditionalFormatting>
  <conditionalFormatting sqref="V1:W600">
    <cfRule type="expression" dxfId="3" priority="41">
      <formula>$V1="OUT-UAQ"</formula>
    </cfRule>
  </conditionalFormatting>
  <conditionalFormatting sqref="V1:W600">
    <cfRule type="expression" dxfId="3" priority="42">
      <formula>$V1="OUTUA-FURW"</formula>
    </cfRule>
  </conditionalFormatting>
  <conditionalFormatting sqref="V1:W600">
    <cfRule type="expression" dxfId="18" priority="43">
      <formula>$V1="OUTSA-SaQu"</formula>
    </cfRule>
  </conditionalFormatting>
  <conditionalFormatting sqref="V1:W600">
    <cfRule type="expression" dxfId="18" priority="44">
      <formula>$V1="OUTSA-RW"</formula>
    </cfRule>
  </conditionalFormatting>
  <dataValidations>
    <dataValidation type="list" allowBlank="1" showErrorMessage="1" sqref="K2:M600">
      <formula1>"X"</formula1>
    </dataValidation>
    <dataValidation type="list" allowBlank="1" showErrorMessage="1" sqref="I2:I600">
      <formula1>"LOPEZ,MARTINEZ,TORRES,CAMPOS,THOMAS"</formula1>
    </dataValidation>
    <dataValidation type="list" allowBlank="1" showInputMessage="1" showErrorMessage="1" prompt="Click and enter a value from range 'Insurance Data'!C2:C608" sqref="F2:F600">
      <formula1>DATA!$C:$C</formula1>
    </dataValidation>
    <dataValidation type="list" allowBlank="1" showErrorMessage="1" sqref="H2:H600">
      <formula1>"CH,DA,DC,DM,FA,LM"</formula1>
    </dataValidation>
    <dataValidation type="list" allowBlank="1" showErrorMessage="1" sqref="J2:J600">
      <formula1>DATA!$A$2:$A600</formula1>
    </dataValidation>
    <dataValidation type="custom" allowBlank="1" showDropDown="1" showInputMessage="1" showErrorMessage="1" prompt="CAPITALS" sqref="A1:B600">
      <formula1>ISERROR(SEARCH((exact(upper(B:M),B:M)),(A1)))</formula1>
    </dataValidation>
    <dataValidation type="custom" allowBlank="1" showDropDown="1" showInputMessage="1" showErrorMessage="1" prompt="CAPITALS" sqref="C1:C600">
      <formula1>ISERROR(SEARCH((exact(upper(C:O),C:O)),(C1)))</formula1>
    </dataValidation>
    <dataValidation type="list" allowBlank="1" showErrorMessage="1" sqref="G2:G600">
      <formula1>DATA!$B$1:$B$44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13"/>
    <col customWidth="1" min="2" max="2" width="4.38"/>
    <col customWidth="1" min="3" max="3" width="8.13"/>
    <col customWidth="1" min="4" max="4" width="23.25"/>
    <col customWidth="1" min="5" max="5" width="7.0"/>
    <col customWidth="1" min="6" max="6" width="6.88"/>
    <col customWidth="1" min="7" max="7" width="9.75"/>
    <col customWidth="1" min="8" max="8" width="29.75"/>
    <col customWidth="1" min="9" max="9" width="9.38"/>
    <col customWidth="1" min="10" max="10" width="8.25"/>
    <col customWidth="1" min="11" max="11" width="6.75"/>
    <col customWidth="1" min="12" max="12" width="23.13"/>
    <col customWidth="1" hidden="1" min="13" max="13" width="23.0"/>
  </cols>
  <sheetData>
    <row r="1" ht="15.75" customHeight="1">
      <c r="A1" s="128" t="s">
        <v>6563</v>
      </c>
      <c r="B1" s="129"/>
      <c r="C1" s="130" t="s">
        <v>6496</v>
      </c>
      <c r="D1" s="131" t="s">
        <v>33</v>
      </c>
      <c r="E1" s="132" t="s">
        <v>34</v>
      </c>
      <c r="F1" s="133" t="s">
        <v>3</v>
      </c>
      <c r="G1" s="133" t="s">
        <v>1</v>
      </c>
      <c r="H1" s="134" t="s">
        <v>6425</v>
      </c>
      <c r="I1" s="135" t="s">
        <v>6555</v>
      </c>
      <c r="J1" s="135" t="s">
        <v>6556</v>
      </c>
      <c r="K1" s="136" t="s">
        <v>6557</v>
      </c>
      <c r="L1" s="137" t="s">
        <v>6503</v>
      </c>
      <c r="M1" s="138"/>
    </row>
    <row r="2" ht="15.75" customHeight="1">
      <c r="A2" s="139" t="s">
        <v>6558</v>
      </c>
      <c r="B2" s="140">
        <f t="shared" ref="B2:B6" si="1">COUNTIF(G:G,A2)</f>
        <v>0</v>
      </c>
      <c r="C2" s="141"/>
      <c r="D2" s="142"/>
      <c r="E2" s="143"/>
      <c r="F2" s="144"/>
      <c r="G2" s="142"/>
      <c r="H2" s="145"/>
      <c r="I2" s="142"/>
      <c r="J2" s="142"/>
      <c r="K2" s="142"/>
      <c r="L2" s="146"/>
      <c r="M2" s="138"/>
    </row>
    <row r="3" ht="15.75" customHeight="1">
      <c r="A3" s="139" t="s">
        <v>6561</v>
      </c>
      <c r="B3" s="140">
        <f t="shared" si="1"/>
        <v>0</v>
      </c>
      <c r="C3" s="147"/>
      <c r="D3" s="148"/>
      <c r="E3" s="149"/>
      <c r="F3" s="150"/>
      <c r="G3" s="151"/>
      <c r="H3" s="152"/>
      <c r="I3" s="153"/>
      <c r="J3" s="153"/>
      <c r="K3" s="153"/>
      <c r="L3" s="154"/>
      <c r="M3" s="138"/>
    </row>
    <row r="4" ht="15.75" customHeight="1">
      <c r="A4" s="155" t="s">
        <v>6562</v>
      </c>
      <c r="B4" s="155">
        <f t="shared" si="1"/>
        <v>0</v>
      </c>
      <c r="C4" s="141"/>
      <c r="D4" s="142"/>
      <c r="E4" s="143"/>
      <c r="F4" s="144"/>
      <c r="G4" s="142"/>
      <c r="H4" s="145"/>
      <c r="I4" s="142"/>
      <c r="J4" s="142"/>
      <c r="K4" s="142"/>
      <c r="L4" s="146"/>
      <c r="M4" s="138"/>
    </row>
    <row r="5" ht="15.75" customHeight="1">
      <c r="A5" s="156" t="s">
        <v>6560</v>
      </c>
      <c r="B5" s="155">
        <f t="shared" si="1"/>
        <v>0</v>
      </c>
      <c r="C5" s="147"/>
      <c r="D5" s="148"/>
      <c r="E5" s="149"/>
      <c r="F5" s="150"/>
      <c r="G5" s="151"/>
      <c r="H5" s="152"/>
      <c r="I5" s="153"/>
      <c r="J5" s="153"/>
      <c r="K5" s="153"/>
      <c r="L5" s="154"/>
      <c r="M5" s="138"/>
    </row>
    <row r="6" ht="15.75" customHeight="1">
      <c r="A6" s="139" t="s">
        <v>6</v>
      </c>
      <c r="B6" s="140">
        <f t="shared" si="1"/>
        <v>0</v>
      </c>
      <c r="C6" s="141"/>
      <c r="D6" s="142"/>
      <c r="E6" s="143"/>
      <c r="F6" s="144"/>
      <c r="G6" s="142"/>
      <c r="H6" s="145"/>
      <c r="I6" s="142"/>
      <c r="J6" s="142"/>
      <c r="K6" s="142"/>
      <c r="L6" s="146"/>
      <c r="M6" s="138"/>
    </row>
    <row r="7" ht="15.75" customHeight="1">
      <c r="A7" s="157"/>
      <c r="B7" s="157"/>
      <c r="C7" s="147"/>
      <c r="D7" s="148"/>
      <c r="E7" s="149"/>
      <c r="F7" s="150"/>
      <c r="G7" s="151"/>
      <c r="H7" s="152"/>
      <c r="I7" s="153"/>
      <c r="J7" s="153"/>
      <c r="K7" s="153"/>
      <c r="L7" s="154"/>
      <c r="M7" s="138"/>
    </row>
    <row r="8" ht="15.75" customHeight="1">
      <c r="A8" s="158"/>
      <c r="B8" s="158"/>
      <c r="C8" s="141"/>
      <c r="D8" s="142"/>
      <c r="E8" s="143"/>
      <c r="F8" s="144"/>
      <c r="G8" s="142"/>
      <c r="H8" s="145"/>
      <c r="I8" s="142"/>
      <c r="J8" s="142"/>
      <c r="K8" s="142"/>
      <c r="L8" s="146"/>
      <c r="M8" s="138"/>
    </row>
    <row r="9" ht="15.75" customHeight="1">
      <c r="A9" s="157"/>
      <c r="B9" s="157"/>
      <c r="C9" s="147"/>
      <c r="D9" s="148"/>
      <c r="E9" s="149"/>
      <c r="F9" s="150"/>
      <c r="G9" s="151"/>
      <c r="H9" s="152"/>
      <c r="I9" s="153"/>
      <c r="J9" s="153"/>
      <c r="K9" s="153"/>
      <c r="L9" s="154"/>
      <c r="M9" s="138"/>
    </row>
    <row r="10" ht="15.75" customHeight="1">
      <c r="A10" s="159"/>
      <c r="B10" s="160"/>
      <c r="C10" s="141"/>
      <c r="D10" s="142"/>
      <c r="E10" s="143"/>
      <c r="F10" s="144"/>
      <c r="G10" s="142"/>
      <c r="H10" s="145"/>
      <c r="I10" s="142"/>
      <c r="J10" s="142"/>
      <c r="K10" s="142"/>
      <c r="L10" s="146"/>
      <c r="M10" s="138"/>
    </row>
    <row r="11" ht="15.75" customHeight="1">
      <c r="A11" s="161"/>
      <c r="B11" s="162"/>
      <c r="C11" s="147"/>
      <c r="D11" s="148"/>
      <c r="E11" s="149"/>
      <c r="F11" s="150"/>
      <c r="G11" s="151"/>
      <c r="H11" s="152"/>
      <c r="I11" s="153"/>
      <c r="J11" s="153"/>
      <c r="K11" s="153"/>
      <c r="L11" s="154"/>
      <c r="M11" s="138"/>
    </row>
    <row r="12" ht="15.75" customHeight="1">
      <c r="A12" s="163"/>
      <c r="B12" s="164"/>
      <c r="C12" s="141"/>
      <c r="D12" s="142"/>
      <c r="E12" s="143"/>
      <c r="F12" s="144"/>
      <c r="G12" s="142"/>
      <c r="H12" s="145"/>
      <c r="I12" s="142"/>
      <c r="J12" s="142"/>
      <c r="K12" s="142"/>
      <c r="L12" s="146"/>
      <c r="M12" s="138"/>
    </row>
    <row r="13" ht="15.75" customHeight="1">
      <c r="A13" s="156" t="s">
        <v>6564</v>
      </c>
      <c r="B13" s="165">
        <f>AVERAGE(B2:B6)</f>
        <v>0</v>
      </c>
      <c r="C13" s="147"/>
      <c r="D13" s="148"/>
      <c r="E13" s="149"/>
      <c r="F13" s="150"/>
      <c r="G13" s="151"/>
      <c r="H13" s="152"/>
      <c r="I13" s="153"/>
      <c r="J13" s="153"/>
      <c r="K13" s="153"/>
      <c r="L13" s="154"/>
      <c r="M13" s="138"/>
    </row>
    <row r="14" ht="15.75" customHeight="1">
      <c r="A14" s="163"/>
      <c r="B14" s="164"/>
      <c r="C14" s="141"/>
      <c r="D14" s="142"/>
      <c r="E14" s="143"/>
      <c r="F14" s="144"/>
      <c r="G14" s="142"/>
      <c r="H14" s="145"/>
      <c r="I14" s="142"/>
      <c r="J14" s="142"/>
      <c r="K14" s="142"/>
      <c r="L14" s="146"/>
      <c r="M14" s="138"/>
    </row>
    <row r="15" ht="15.75" customHeight="1">
      <c r="A15" s="166"/>
      <c r="B15" s="162"/>
      <c r="C15" s="147"/>
      <c r="D15" s="148"/>
      <c r="E15" s="149"/>
      <c r="F15" s="150"/>
      <c r="G15" s="151"/>
      <c r="H15" s="152"/>
      <c r="I15" s="153"/>
      <c r="J15" s="153"/>
      <c r="K15" s="153"/>
      <c r="L15" s="154"/>
      <c r="M15" s="138"/>
    </row>
    <row r="16" ht="15.75" customHeight="1">
      <c r="A16" s="167" t="s">
        <v>6565</v>
      </c>
      <c r="B16" s="168">
        <f>SUM(B2:B6)</f>
        <v>0</v>
      </c>
      <c r="C16" s="141"/>
      <c r="D16" s="142"/>
      <c r="E16" s="143"/>
      <c r="F16" s="144"/>
      <c r="G16" s="142"/>
      <c r="H16" s="145"/>
      <c r="I16" s="142"/>
      <c r="J16" s="142"/>
      <c r="K16" s="142"/>
      <c r="L16" s="146"/>
      <c r="M16" s="138"/>
    </row>
    <row r="17" ht="15.75" customHeight="1">
      <c r="A17" s="169" t="s">
        <v>6566</v>
      </c>
      <c r="C17" s="147"/>
      <c r="D17" s="148"/>
      <c r="E17" s="149"/>
      <c r="F17" s="150"/>
      <c r="G17" s="151"/>
      <c r="H17" s="152"/>
      <c r="I17" s="153"/>
      <c r="J17" s="153"/>
      <c r="K17" s="153"/>
      <c r="L17" s="154"/>
      <c r="M17" s="138"/>
    </row>
    <row r="18" ht="15.75" customHeight="1">
      <c r="A18" s="170">
        <f>MAX(F:F)</f>
        <v>0</v>
      </c>
      <c r="C18" s="141"/>
      <c r="D18" s="142"/>
      <c r="E18" s="143"/>
      <c r="F18" s="144"/>
      <c r="G18" s="142"/>
      <c r="H18" s="145"/>
      <c r="I18" s="142"/>
      <c r="J18" s="142"/>
      <c r="K18" s="142"/>
      <c r="L18" s="146"/>
      <c r="M18" s="138"/>
    </row>
    <row r="19" ht="15.75" customHeight="1">
      <c r="A19" s="169" t="s">
        <v>6567</v>
      </c>
      <c r="C19" s="147"/>
      <c r="D19" s="148"/>
      <c r="E19" s="149"/>
      <c r="F19" s="150"/>
      <c r="G19" s="151"/>
      <c r="H19" s="152"/>
      <c r="I19" s="153"/>
      <c r="J19" s="153"/>
      <c r="K19" s="153"/>
      <c r="L19" s="154"/>
      <c r="M19" s="138"/>
    </row>
    <row r="20" ht="15.75" customHeight="1">
      <c r="A20" s="170">
        <f>MIN(F:F)</f>
        <v>0</v>
      </c>
      <c r="C20" s="141"/>
      <c r="D20" s="142"/>
      <c r="E20" s="143"/>
      <c r="F20" s="144"/>
      <c r="G20" s="142"/>
      <c r="H20" s="145"/>
      <c r="I20" s="142"/>
      <c r="J20" s="142"/>
      <c r="K20" s="142"/>
      <c r="L20" s="146"/>
      <c r="M20" s="138"/>
    </row>
    <row r="21" ht="15.75" customHeight="1">
      <c r="A21" s="157"/>
      <c r="B21" s="157"/>
      <c r="C21" s="147"/>
      <c r="D21" s="148"/>
      <c r="E21" s="149"/>
      <c r="F21" s="150"/>
      <c r="G21" s="151"/>
      <c r="H21" s="152"/>
      <c r="I21" s="153"/>
      <c r="J21" s="153"/>
      <c r="K21" s="153"/>
      <c r="L21" s="154"/>
      <c r="M21" s="138"/>
    </row>
    <row r="22" ht="15.75" customHeight="1">
      <c r="A22" s="171" t="s">
        <v>6568</v>
      </c>
      <c r="C22" s="141"/>
      <c r="D22" s="142"/>
      <c r="E22" s="143"/>
      <c r="F22" s="144"/>
      <c r="G22" s="142"/>
      <c r="H22" s="145"/>
      <c r="I22" s="142"/>
      <c r="J22" s="142"/>
      <c r="K22" s="142"/>
      <c r="L22" s="146"/>
      <c r="M22" s="138"/>
    </row>
    <row r="23" ht="15.75" customHeight="1">
      <c r="A23" s="172">
        <f>STATS!S3</f>
        <v>1198</v>
      </c>
      <c r="C23" s="147"/>
      <c r="D23" s="148"/>
      <c r="E23" s="149"/>
      <c r="F23" s="150"/>
      <c r="G23" s="151"/>
      <c r="H23" s="152"/>
      <c r="I23" s="153"/>
      <c r="J23" s="153"/>
      <c r="K23" s="153"/>
      <c r="L23" s="154"/>
      <c r="M23" s="138"/>
    </row>
    <row r="24" ht="15.75" customHeight="1">
      <c r="A24" s="164"/>
      <c r="B24" s="164"/>
      <c r="C24" s="141"/>
      <c r="D24" s="142"/>
      <c r="E24" s="143"/>
      <c r="F24" s="144"/>
      <c r="G24" s="142"/>
      <c r="H24" s="145"/>
      <c r="I24" s="142"/>
      <c r="J24" s="142"/>
      <c r="K24" s="142"/>
      <c r="L24" s="146"/>
      <c r="M24" s="138"/>
    </row>
    <row r="25" ht="15.75" customHeight="1">
      <c r="A25" s="173" t="s">
        <v>6569</v>
      </c>
      <c r="C25" s="147"/>
      <c r="D25" s="148"/>
      <c r="E25" s="149"/>
      <c r="F25" s="150"/>
      <c r="G25" s="151"/>
      <c r="H25" s="152"/>
      <c r="I25" s="153"/>
      <c r="J25" s="153"/>
      <c r="K25" s="153"/>
      <c r="L25" s="154"/>
      <c r="M25" s="138"/>
    </row>
    <row r="26" ht="15.75" customHeight="1">
      <c r="A26" s="155" t="s">
        <v>6558</v>
      </c>
      <c r="B26" s="174" t="str">
        <f t="shared" ref="B26:B30" si="2">1/($B2/$A$23)</f>
        <v>#DIV/0!</v>
      </c>
      <c r="C26" s="141"/>
      <c r="D26" s="142"/>
      <c r="E26" s="143"/>
      <c r="F26" s="144"/>
      <c r="G26" s="142"/>
      <c r="H26" s="145"/>
      <c r="I26" s="142"/>
      <c r="J26" s="142"/>
      <c r="K26" s="142"/>
      <c r="L26" s="146"/>
      <c r="M26" s="138"/>
    </row>
    <row r="27" ht="15.75" customHeight="1">
      <c r="A27" s="155" t="s">
        <v>6561</v>
      </c>
      <c r="B27" s="174" t="str">
        <f t="shared" si="2"/>
        <v>#DIV/0!</v>
      </c>
      <c r="C27" s="147"/>
      <c r="D27" s="148"/>
      <c r="E27" s="149"/>
      <c r="F27" s="150"/>
      <c r="G27" s="151"/>
      <c r="H27" s="152"/>
      <c r="I27" s="153"/>
      <c r="J27" s="153"/>
      <c r="K27" s="153"/>
      <c r="L27" s="154"/>
      <c r="M27" s="138"/>
    </row>
    <row r="28" ht="15.75" customHeight="1">
      <c r="A28" s="155" t="s">
        <v>6562</v>
      </c>
      <c r="B28" s="174" t="str">
        <f t="shared" si="2"/>
        <v>#DIV/0!</v>
      </c>
      <c r="C28" s="141"/>
      <c r="D28" s="142"/>
      <c r="E28" s="143"/>
      <c r="F28" s="144"/>
      <c r="G28" s="142"/>
      <c r="H28" s="145"/>
      <c r="I28" s="142"/>
      <c r="J28" s="142"/>
      <c r="K28" s="142"/>
      <c r="L28" s="146"/>
      <c r="M28" s="138"/>
    </row>
    <row r="29" ht="15.75" customHeight="1">
      <c r="A29" s="155" t="s">
        <v>6560</v>
      </c>
      <c r="B29" s="174" t="str">
        <f t="shared" si="2"/>
        <v>#DIV/0!</v>
      </c>
      <c r="C29" s="147"/>
      <c r="D29" s="148"/>
      <c r="E29" s="149"/>
      <c r="F29" s="150"/>
      <c r="G29" s="151"/>
      <c r="H29" s="152"/>
      <c r="I29" s="153"/>
      <c r="J29" s="153"/>
      <c r="K29" s="153"/>
      <c r="L29" s="154"/>
      <c r="M29" s="138"/>
    </row>
    <row r="30" ht="15.75" customHeight="1">
      <c r="A30" s="175" t="s">
        <v>6</v>
      </c>
      <c r="B30" s="174" t="str">
        <f t="shared" si="2"/>
        <v>#DIV/0!</v>
      </c>
      <c r="C30" s="142"/>
      <c r="D30" s="142"/>
      <c r="E30" s="143"/>
      <c r="F30" s="176"/>
      <c r="G30" s="142"/>
      <c r="H30" s="145"/>
      <c r="I30" s="142"/>
      <c r="J30" s="142"/>
      <c r="K30" s="142"/>
      <c r="L30" s="146"/>
      <c r="M30" s="138"/>
    </row>
    <row r="31" ht="15.75" customHeight="1">
      <c r="A31" s="162"/>
      <c r="B31" s="162"/>
      <c r="C31" s="148"/>
      <c r="D31" s="148"/>
      <c r="E31" s="149"/>
      <c r="F31" s="150"/>
      <c r="G31" s="151"/>
      <c r="H31" s="152"/>
      <c r="I31" s="153"/>
      <c r="J31" s="153"/>
      <c r="K31" s="153"/>
      <c r="L31" s="154"/>
      <c r="M31" s="138"/>
    </row>
    <row r="32" ht="15.75" customHeight="1">
      <c r="A32" s="164"/>
      <c r="B32" s="164"/>
      <c r="C32" s="141"/>
      <c r="D32" s="142"/>
      <c r="E32" s="143"/>
      <c r="F32" s="144"/>
      <c r="G32" s="142"/>
      <c r="H32" s="145"/>
      <c r="I32" s="142"/>
      <c r="J32" s="142"/>
      <c r="K32" s="142"/>
      <c r="L32" s="146"/>
      <c r="M32" s="138"/>
    </row>
    <row r="33" ht="15.75" customHeight="1">
      <c r="A33" s="157"/>
      <c r="B33" s="157"/>
      <c r="C33" s="147"/>
      <c r="D33" s="148"/>
      <c r="E33" s="149"/>
      <c r="F33" s="150"/>
      <c r="G33" s="151"/>
      <c r="H33" s="152"/>
      <c r="I33" s="153"/>
      <c r="J33" s="153"/>
      <c r="K33" s="153"/>
      <c r="L33" s="154"/>
      <c r="M33" s="138"/>
    </row>
    <row r="34" ht="15.75" customHeight="1">
      <c r="A34" s="164"/>
      <c r="B34" s="164"/>
      <c r="C34" s="141"/>
      <c r="D34" s="142"/>
      <c r="E34" s="143"/>
      <c r="F34" s="144"/>
      <c r="G34" s="142"/>
      <c r="H34" s="145"/>
      <c r="I34" s="142"/>
      <c r="J34" s="142"/>
      <c r="K34" s="142"/>
      <c r="L34" s="146"/>
      <c r="M34" s="138"/>
    </row>
    <row r="35" ht="15.75" customHeight="1">
      <c r="A35" s="162"/>
      <c r="B35" s="162"/>
      <c r="C35" s="147"/>
      <c r="D35" s="148"/>
      <c r="E35" s="149"/>
      <c r="F35" s="150"/>
      <c r="G35" s="151"/>
      <c r="H35" s="152"/>
      <c r="I35" s="153"/>
      <c r="J35" s="153"/>
      <c r="K35" s="153"/>
      <c r="L35" s="154"/>
      <c r="M35" s="138"/>
    </row>
    <row r="36" ht="15.75" customHeight="1">
      <c r="A36" s="164"/>
      <c r="B36" s="164"/>
      <c r="C36" s="141"/>
      <c r="D36" s="142"/>
      <c r="E36" s="143"/>
      <c r="F36" s="144"/>
      <c r="G36" s="142"/>
      <c r="H36" s="145"/>
      <c r="I36" s="142"/>
      <c r="J36" s="142"/>
      <c r="K36" s="142"/>
      <c r="L36" s="146"/>
      <c r="M36" s="138"/>
    </row>
    <row r="37" ht="15.75" customHeight="1">
      <c r="A37" s="162"/>
      <c r="B37" s="162"/>
      <c r="C37" s="147"/>
      <c r="D37" s="148"/>
      <c r="E37" s="149"/>
      <c r="F37" s="150"/>
      <c r="G37" s="151"/>
      <c r="H37" s="152"/>
      <c r="I37" s="153"/>
      <c r="J37" s="153"/>
      <c r="K37" s="153"/>
      <c r="L37" s="154"/>
      <c r="M37" s="138"/>
    </row>
    <row r="38" ht="15.75" customHeight="1">
      <c r="A38" s="158"/>
      <c r="B38" s="158"/>
      <c r="C38" s="141"/>
      <c r="D38" s="142"/>
      <c r="E38" s="143"/>
      <c r="F38" s="144"/>
      <c r="G38" s="142"/>
      <c r="H38" s="145"/>
      <c r="I38" s="142"/>
      <c r="J38" s="142"/>
      <c r="K38" s="142"/>
      <c r="L38" s="146"/>
      <c r="M38" s="138"/>
    </row>
    <row r="39" ht="15.75" customHeight="1">
      <c r="A39" s="157"/>
      <c r="B39" s="157"/>
      <c r="C39" s="147"/>
      <c r="D39" s="148"/>
      <c r="E39" s="149"/>
      <c r="F39" s="150"/>
      <c r="G39" s="151"/>
      <c r="H39" s="152"/>
      <c r="I39" s="153"/>
      <c r="J39" s="153"/>
      <c r="K39" s="153"/>
      <c r="L39" s="154"/>
      <c r="M39" s="138"/>
    </row>
    <row r="40" ht="15.75" customHeight="1">
      <c r="A40" s="158"/>
      <c r="B40" s="158"/>
      <c r="C40" s="141"/>
      <c r="D40" s="142"/>
      <c r="E40" s="143"/>
      <c r="F40" s="144"/>
      <c r="G40" s="142"/>
      <c r="H40" s="145"/>
      <c r="I40" s="177"/>
      <c r="J40" s="177"/>
      <c r="K40" s="177"/>
      <c r="L40" s="146"/>
      <c r="M40" s="138"/>
    </row>
    <row r="41" ht="15.75" customHeight="1">
      <c r="A41" s="157"/>
      <c r="B41" s="157"/>
      <c r="C41" s="147"/>
      <c r="D41" s="148"/>
      <c r="E41" s="149"/>
      <c r="F41" s="150"/>
      <c r="G41" s="151"/>
      <c r="H41" s="152"/>
      <c r="I41" s="177"/>
      <c r="J41" s="177"/>
      <c r="K41" s="177"/>
      <c r="L41" s="154"/>
      <c r="M41" s="138"/>
    </row>
    <row r="42" ht="15.75" customHeight="1">
      <c r="A42" s="158"/>
      <c r="B42" s="158"/>
      <c r="C42" s="141"/>
      <c r="D42" s="142"/>
      <c r="E42" s="143"/>
      <c r="F42" s="144"/>
      <c r="G42" s="142"/>
      <c r="H42" s="145"/>
      <c r="I42" s="177"/>
      <c r="J42" s="177"/>
      <c r="K42" s="177"/>
      <c r="L42" s="146"/>
      <c r="M42" s="138"/>
    </row>
    <row r="43" ht="15.75" customHeight="1">
      <c r="A43" s="157"/>
      <c r="B43" s="157"/>
      <c r="C43" s="147"/>
      <c r="D43" s="148"/>
      <c r="E43" s="149"/>
      <c r="F43" s="150"/>
      <c r="G43" s="151"/>
      <c r="H43" s="152"/>
      <c r="I43" s="153"/>
      <c r="J43" s="153"/>
      <c r="K43" s="153"/>
      <c r="L43" s="154"/>
      <c r="M43" s="138"/>
    </row>
    <row r="44" ht="15.75" customHeight="1">
      <c r="A44" s="158"/>
      <c r="B44" s="158"/>
      <c r="C44" s="141"/>
      <c r="D44" s="142"/>
      <c r="E44" s="143"/>
      <c r="F44" s="144"/>
      <c r="G44" s="142"/>
      <c r="H44" s="145"/>
      <c r="I44" s="142"/>
      <c r="J44" s="142"/>
      <c r="K44" s="142"/>
      <c r="L44" s="146"/>
      <c r="M44" s="138"/>
    </row>
    <row r="45" ht="15.75" customHeight="1">
      <c r="A45" s="157"/>
      <c r="B45" s="157"/>
      <c r="C45" s="147"/>
      <c r="D45" s="148"/>
      <c r="E45" s="149"/>
      <c r="F45" s="150"/>
      <c r="G45" s="151"/>
      <c r="H45" s="152"/>
      <c r="I45" s="153"/>
      <c r="J45" s="153"/>
      <c r="K45" s="153"/>
      <c r="L45" s="154"/>
      <c r="M45" s="138"/>
    </row>
    <row r="46" ht="15.75" customHeight="1">
      <c r="A46" s="158"/>
      <c r="B46" s="158"/>
      <c r="C46" s="141"/>
      <c r="D46" s="142"/>
      <c r="E46" s="143"/>
      <c r="F46" s="144"/>
      <c r="G46" s="142"/>
      <c r="H46" s="145"/>
      <c r="I46" s="142"/>
      <c r="J46" s="142"/>
      <c r="K46" s="142"/>
      <c r="L46" s="146"/>
      <c r="M46" s="138"/>
    </row>
    <row r="47" ht="15.75" customHeight="1">
      <c r="A47" s="157"/>
      <c r="B47" s="157"/>
      <c r="C47" s="147"/>
      <c r="D47" s="148"/>
      <c r="E47" s="149"/>
      <c r="F47" s="150"/>
      <c r="G47" s="151"/>
      <c r="H47" s="152"/>
      <c r="I47" s="178"/>
      <c r="J47" s="178"/>
      <c r="K47" s="178"/>
      <c r="L47" s="154"/>
      <c r="M47" s="138"/>
    </row>
    <row r="48" ht="15.75" customHeight="1">
      <c r="A48" s="158"/>
      <c r="B48" s="158"/>
      <c r="C48" s="141"/>
      <c r="D48" s="142"/>
      <c r="E48" s="143"/>
      <c r="F48" s="144"/>
      <c r="G48" s="142"/>
      <c r="H48" s="145"/>
      <c r="I48" s="142"/>
      <c r="J48" s="142"/>
      <c r="K48" s="142"/>
      <c r="L48" s="146"/>
      <c r="M48" s="138"/>
    </row>
    <row r="49" ht="15.75" customHeight="1">
      <c r="A49" s="157"/>
      <c r="B49" s="157"/>
      <c r="C49" s="147"/>
      <c r="D49" s="148"/>
      <c r="E49" s="149"/>
      <c r="F49" s="150"/>
      <c r="G49" s="151"/>
      <c r="H49" s="152"/>
      <c r="I49" s="179"/>
      <c r="J49" s="179"/>
      <c r="K49" s="179"/>
      <c r="L49" s="154"/>
      <c r="M49" s="138"/>
    </row>
    <row r="50" ht="15.75" customHeight="1">
      <c r="A50" s="158"/>
      <c r="B50" s="158"/>
      <c r="C50" s="141"/>
      <c r="D50" s="142"/>
      <c r="E50" s="143"/>
      <c r="F50" s="144"/>
      <c r="G50" s="142"/>
      <c r="H50" s="145"/>
      <c r="I50" s="177"/>
      <c r="J50" s="177"/>
      <c r="K50" s="177"/>
      <c r="L50" s="146"/>
      <c r="M50" s="138"/>
    </row>
    <row r="51" ht="15.75" customHeight="1">
      <c r="A51" s="157"/>
      <c r="B51" s="157"/>
      <c r="C51" s="147"/>
      <c r="D51" s="148"/>
      <c r="E51" s="149"/>
      <c r="F51" s="150"/>
      <c r="G51" s="151"/>
      <c r="H51" s="152"/>
      <c r="I51" s="179"/>
      <c r="J51" s="179"/>
      <c r="K51" s="179"/>
      <c r="L51" s="154"/>
      <c r="M51" s="138"/>
    </row>
    <row r="52" ht="15.75" customHeight="1">
      <c r="A52" s="158"/>
      <c r="B52" s="158"/>
      <c r="C52" s="141"/>
      <c r="D52" s="142"/>
      <c r="E52" s="143"/>
      <c r="F52" s="144"/>
      <c r="G52" s="142"/>
      <c r="H52" s="145"/>
      <c r="I52" s="177"/>
      <c r="J52" s="177"/>
      <c r="K52" s="177"/>
      <c r="L52" s="146"/>
      <c r="M52" s="138"/>
    </row>
    <row r="53" ht="15.75" customHeight="1">
      <c r="A53" s="157"/>
      <c r="B53" s="157"/>
      <c r="C53" s="147"/>
      <c r="D53" s="148"/>
      <c r="E53" s="149"/>
      <c r="F53" s="150"/>
      <c r="G53" s="151"/>
      <c r="H53" s="152"/>
      <c r="I53" s="177"/>
      <c r="J53" s="177"/>
      <c r="K53" s="177"/>
      <c r="L53" s="154"/>
      <c r="M53" s="138"/>
    </row>
    <row r="54" ht="15.75" customHeight="1">
      <c r="A54" s="158"/>
      <c r="B54" s="158"/>
      <c r="C54" s="141"/>
      <c r="D54" s="142"/>
      <c r="E54" s="143"/>
      <c r="F54" s="144"/>
      <c r="G54" s="142"/>
      <c r="H54" s="145"/>
      <c r="I54" s="177"/>
      <c r="J54" s="177"/>
      <c r="K54" s="177"/>
      <c r="L54" s="146"/>
      <c r="M54" s="138"/>
    </row>
    <row r="55" ht="15.75" customHeight="1">
      <c r="A55" s="157"/>
      <c r="B55" s="157"/>
      <c r="C55" s="147"/>
      <c r="D55" s="148"/>
      <c r="E55" s="149"/>
      <c r="F55" s="150"/>
      <c r="G55" s="151"/>
      <c r="H55" s="152"/>
      <c r="I55" s="177"/>
      <c r="J55" s="177"/>
      <c r="K55" s="177"/>
      <c r="L55" s="154"/>
      <c r="M55" s="138"/>
    </row>
    <row r="56" ht="15.75" customHeight="1">
      <c r="A56" s="164"/>
      <c r="B56" s="164"/>
      <c r="C56" s="141"/>
      <c r="D56" s="142"/>
      <c r="E56" s="143"/>
      <c r="F56" s="144"/>
      <c r="G56" s="142"/>
      <c r="H56" s="145"/>
      <c r="I56" s="142"/>
      <c r="J56" s="142"/>
      <c r="K56" s="142"/>
      <c r="L56" s="146"/>
      <c r="M56" s="138"/>
    </row>
    <row r="57" ht="15.75" customHeight="1">
      <c r="A57" s="162" t="s">
        <v>6570</v>
      </c>
      <c r="B57" s="162"/>
      <c r="C57" s="147"/>
      <c r="D57" s="148"/>
      <c r="E57" s="149"/>
      <c r="F57" s="150"/>
      <c r="G57" s="151"/>
      <c r="H57" s="152"/>
      <c r="I57" s="177"/>
      <c r="J57" s="177"/>
      <c r="K57" s="177"/>
      <c r="L57" s="154"/>
      <c r="M57" s="138"/>
    </row>
    <row r="58" ht="15.75" customHeight="1">
      <c r="A58" s="164"/>
      <c r="B58" s="164"/>
      <c r="C58" s="141"/>
      <c r="D58" s="142"/>
      <c r="E58" s="143"/>
      <c r="F58" s="144"/>
      <c r="G58" s="142"/>
      <c r="H58" s="145"/>
      <c r="I58" s="177"/>
      <c r="J58" s="177"/>
      <c r="K58" s="177"/>
      <c r="L58" s="146"/>
      <c r="M58" s="138"/>
    </row>
    <row r="59" ht="15.75" customHeight="1">
      <c r="A59" s="162"/>
      <c r="B59" s="162"/>
      <c r="C59" s="147"/>
      <c r="D59" s="148"/>
      <c r="E59" s="149"/>
      <c r="F59" s="150"/>
      <c r="G59" s="151"/>
      <c r="H59" s="152"/>
      <c r="I59" s="153"/>
      <c r="J59" s="153"/>
      <c r="K59" s="153"/>
      <c r="L59" s="154"/>
      <c r="M59" s="138"/>
    </row>
    <row r="60" ht="15.75" customHeight="1">
      <c r="A60" s="164"/>
      <c r="B60" s="164"/>
      <c r="C60" s="141"/>
      <c r="D60" s="142"/>
      <c r="E60" s="145"/>
      <c r="F60" s="144"/>
      <c r="G60" s="142"/>
      <c r="H60" s="145"/>
      <c r="I60" s="177"/>
      <c r="J60" s="177"/>
      <c r="K60" s="177"/>
      <c r="L60" s="146"/>
      <c r="M60" s="138"/>
    </row>
    <row r="61" ht="15.75" customHeight="1">
      <c r="A61" s="162"/>
      <c r="B61" s="162"/>
      <c r="C61" s="147"/>
      <c r="D61" s="148"/>
      <c r="E61" s="149"/>
      <c r="F61" s="150"/>
      <c r="G61" s="151"/>
      <c r="H61" s="152"/>
      <c r="I61" s="153"/>
      <c r="J61" s="153"/>
      <c r="K61" s="153"/>
      <c r="L61" s="154"/>
      <c r="M61" s="138"/>
    </row>
    <row r="62" ht="15.75" customHeight="1">
      <c r="A62" s="164"/>
      <c r="B62" s="164"/>
      <c r="C62" s="141"/>
      <c r="D62" s="142"/>
      <c r="E62" s="143"/>
      <c r="F62" s="144"/>
      <c r="G62" s="142"/>
      <c r="H62" s="145"/>
      <c r="I62" s="142"/>
      <c r="J62" s="142"/>
      <c r="K62" s="142"/>
      <c r="L62" s="146"/>
      <c r="M62" s="138"/>
    </row>
    <row r="63" ht="15.75" customHeight="1">
      <c r="A63" s="162"/>
      <c r="B63" s="162"/>
      <c r="C63" s="147"/>
      <c r="D63" s="148"/>
      <c r="E63" s="149"/>
      <c r="F63" s="150"/>
      <c r="G63" s="151"/>
      <c r="H63" s="152"/>
      <c r="I63" s="153"/>
      <c r="J63" s="153"/>
      <c r="K63" s="153"/>
      <c r="L63" s="154"/>
      <c r="M63" s="138"/>
    </row>
    <row r="64" ht="15.75" customHeight="1">
      <c r="A64" s="164"/>
      <c r="B64" s="164"/>
      <c r="C64" s="141"/>
      <c r="D64" s="142"/>
      <c r="E64" s="143"/>
      <c r="F64" s="144"/>
      <c r="G64" s="142"/>
      <c r="H64" s="145"/>
      <c r="I64" s="142"/>
      <c r="J64" s="142"/>
      <c r="K64" s="142"/>
      <c r="L64" s="146"/>
      <c r="M64" s="138"/>
    </row>
    <row r="65" ht="15.75" customHeight="1">
      <c r="A65" s="162"/>
      <c r="B65" s="162"/>
      <c r="C65" s="147"/>
      <c r="D65" s="148"/>
      <c r="E65" s="149"/>
      <c r="F65" s="150"/>
      <c r="G65" s="151"/>
      <c r="H65" s="152"/>
      <c r="I65" s="153"/>
      <c r="J65" s="153"/>
      <c r="K65" s="153"/>
      <c r="L65" s="154"/>
      <c r="M65" s="138"/>
    </row>
    <row r="66" ht="15.75" customHeight="1">
      <c r="A66" s="164"/>
      <c r="B66" s="164"/>
      <c r="C66" s="141"/>
      <c r="D66" s="142"/>
      <c r="E66" s="143"/>
      <c r="F66" s="144"/>
      <c r="G66" s="142"/>
      <c r="H66" s="145"/>
      <c r="I66" s="142"/>
      <c r="J66" s="142"/>
      <c r="K66" s="142"/>
      <c r="L66" s="146"/>
      <c r="M66" s="138"/>
    </row>
    <row r="67" ht="15.75" customHeight="1">
      <c r="A67" s="162"/>
      <c r="B67" s="162"/>
      <c r="C67" s="147"/>
      <c r="D67" s="148"/>
      <c r="E67" s="149"/>
      <c r="F67" s="150"/>
      <c r="G67" s="151"/>
      <c r="H67" s="152"/>
      <c r="I67" s="153"/>
      <c r="J67" s="153"/>
      <c r="K67" s="153"/>
      <c r="L67" s="154"/>
      <c r="M67" s="138"/>
    </row>
    <row r="68" ht="15.75" customHeight="1">
      <c r="A68" s="164"/>
      <c r="B68" s="164"/>
      <c r="C68" s="141"/>
      <c r="D68" s="142"/>
      <c r="E68" s="143"/>
      <c r="F68" s="144"/>
      <c r="G68" s="142"/>
      <c r="H68" s="145"/>
      <c r="I68" s="177"/>
      <c r="J68" s="177"/>
      <c r="K68" s="177"/>
      <c r="L68" s="146"/>
      <c r="M68" s="138"/>
    </row>
    <row r="69" ht="15.75" customHeight="1">
      <c r="A69" s="162"/>
      <c r="B69" s="162"/>
      <c r="C69" s="147"/>
      <c r="D69" s="148"/>
      <c r="E69" s="149"/>
      <c r="F69" s="150"/>
      <c r="G69" s="151"/>
      <c r="H69" s="152"/>
      <c r="I69" s="177"/>
      <c r="J69" s="177"/>
      <c r="K69" s="177"/>
      <c r="L69" s="154"/>
      <c r="M69" s="138"/>
    </row>
    <row r="70" ht="15.75" customHeight="1">
      <c r="A70" s="164"/>
      <c r="B70" s="164"/>
      <c r="C70" s="141"/>
      <c r="D70" s="142"/>
      <c r="E70" s="143"/>
      <c r="F70" s="144"/>
      <c r="G70" s="142"/>
      <c r="H70" s="145"/>
      <c r="I70" s="177"/>
      <c r="J70" s="177"/>
      <c r="K70" s="177"/>
      <c r="L70" s="146"/>
      <c r="M70" s="138"/>
    </row>
    <row r="71" ht="15.75" customHeight="1">
      <c r="A71" s="162"/>
      <c r="B71" s="162"/>
      <c r="C71" s="147"/>
      <c r="D71" s="148"/>
      <c r="E71" s="149"/>
      <c r="F71" s="150"/>
      <c r="G71" s="151"/>
      <c r="H71" s="152"/>
      <c r="I71" s="153"/>
      <c r="J71" s="153"/>
      <c r="K71" s="153"/>
      <c r="L71" s="154"/>
      <c r="M71" s="138"/>
    </row>
    <row r="72" ht="15.75" customHeight="1">
      <c r="A72" s="164"/>
      <c r="B72" s="164"/>
      <c r="C72" s="141"/>
      <c r="D72" s="142"/>
      <c r="E72" s="143"/>
      <c r="F72" s="144"/>
      <c r="G72" s="142"/>
      <c r="H72" s="145"/>
      <c r="I72" s="142"/>
      <c r="J72" s="142"/>
      <c r="K72" s="142"/>
      <c r="L72" s="146"/>
      <c r="M72" s="138"/>
    </row>
    <row r="73" ht="15.75" customHeight="1">
      <c r="A73" s="162"/>
      <c r="B73" s="162"/>
      <c r="C73" s="147"/>
      <c r="D73" s="148"/>
      <c r="E73" s="149"/>
      <c r="F73" s="150"/>
      <c r="G73" s="151"/>
      <c r="H73" s="152"/>
      <c r="I73" s="153"/>
      <c r="J73" s="153"/>
      <c r="K73" s="153"/>
      <c r="L73" s="154"/>
      <c r="M73" s="138"/>
    </row>
    <row r="74" ht="15.75" customHeight="1">
      <c r="A74" s="164"/>
      <c r="B74" s="164"/>
      <c r="C74" s="141"/>
      <c r="D74" s="142"/>
      <c r="E74" s="143"/>
      <c r="F74" s="144"/>
      <c r="G74" s="142"/>
      <c r="H74" s="145"/>
      <c r="I74" s="142"/>
      <c r="J74" s="142"/>
      <c r="K74" s="142"/>
      <c r="L74" s="146"/>
      <c r="M74" s="138"/>
    </row>
    <row r="75" ht="15.75" customHeight="1">
      <c r="A75" s="162"/>
      <c r="B75" s="162"/>
      <c r="C75" s="147"/>
      <c r="D75" s="148"/>
      <c r="E75" s="149"/>
      <c r="F75" s="150"/>
      <c r="G75" s="151"/>
      <c r="H75" s="152"/>
      <c r="I75" s="153"/>
      <c r="J75" s="153"/>
      <c r="K75" s="153"/>
      <c r="L75" s="154"/>
      <c r="M75" s="138"/>
    </row>
    <row r="76" ht="15.75" customHeight="1">
      <c r="A76" s="164"/>
      <c r="B76" s="164"/>
      <c r="C76" s="141"/>
      <c r="D76" s="142"/>
      <c r="E76" s="143"/>
      <c r="F76" s="144"/>
      <c r="G76" s="142"/>
      <c r="H76" s="145"/>
      <c r="I76" s="142"/>
      <c r="J76" s="142"/>
      <c r="K76" s="142"/>
      <c r="L76" s="146"/>
      <c r="M76" s="138"/>
    </row>
    <row r="77" ht="15.75" customHeight="1">
      <c r="A77" s="162"/>
      <c r="B77" s="162"/>
      <c r="C77" s="147"/>
      <c r="D77" s="148"/>
      <c r="E77" s="149"/>
      <c r="F77" s="150"/>
      <c r="G77" s="151"/>
      <c r="H77" s="152"/>
      <c r="I77" s="153"/>
      <c r="J77" s="153"/>
      <c r="K77" s="153"/>
      <c r="L77" s="154"/>
      <c r="M77" s="138"/>
    </row>
    <row r="78" ht="15.75" customHeight="1">
      <c r="A78" s="164"/>
      <c r="B78" s="164"/>
      <c r="C78" s="141"/>
      <c r="D78" s="142"/>
      <c r="E78" s="143"/>
      <c r="F78" s="144"/>
      <c r="G78" s="142"/>
      <c r="H78" s="145"/>
      <c r="I78" s="142"/>
      <c r="J78" s="142"/>
      <c r="K78" s="142"/>
      <c r="L78" s="146"/>
      <c r="M78" s="138"/>
    </row>
    <row r="79" ht="15.75" customHeight="1">
      <c r="A79" s="162"/>
      <c r="B79" s="162"/>
      <c r="C79" s="147"/>
      <c r="D79" s="148"/>
      <c r="E79" s="149"/>
      <c r="F79" s="150"/>
      <c r="G79" s="151"/>
      <c r="H79" s="152"/>
      <c r="I79" s="153"/>
      <c r="J79" s="153"/>
      <c r="K79" s="153"/>
      <c r="L79" s="154"/>
      <c r="M79" s="138"/>
    </row>
    <row r="80" ht="15.75" customHeight="1">
      <c r="A80" s="164"/>
      <c r="B80" s="164"/>
      <c r="C80" s="141"/>
      <c r="D80" s="142"/>
      <c r="E80" s="143"/>
      <c r="F80" s="144"/>
      <c r="G80" s="142"/>
      <c r="H80" s="145"/>
      <c r="I80" s="142"/>
      <c r="J80" s="142"/>
      <c r="K80" s="142"/>
      <c r="L80" s="146"/>
      <c r="M80" s="138"/>
    </row>
    <row r="81" ht="15.75" customHeight="1">
      <c r="A81" s="162"/>
      <c r="B81" s="162"/>
      <c r="C81" s="147"/>
      <c r="D81" s="148"/>
      <c r="E81" s="149"/>
      <c r="F81" s="150"/>
      <c r="G81" s="151"/>
      <c r="H81" s="152"/>
      <c r="I81" s="153"/>
      <c r="J81" s="153"/>
      <c r="K81" s="153"/>
      <c r="L81" s="154"/>
      <c r="M81" s="138"/>
    </row>
    <row r="82" ht="15.75" customHeight="1">
      <c r="A82" s="164"/>
      <c r="B82" s="164"/>
      <c r="C82" s="141"/>
      <c r="D82" s="142"/>
      <c r="E82" s="143"/>
      <c r="F82" s="144"/>
      <c r="G82" s="142"/>
      <c r="H82" s="145"/>
      <c r="I82" s="142"/>
      <c r="J82" s="142"/>
      <c r="K82" s="142"/>
      <c r="L82" s="146"/>
      <c r="M82" s="138"/>
    </row>
    <row r="83" ht="15.75" customHeight="1">
      <c r="A83" s="162"/>
      <c r="B83" s="162"/>
      <c r="C83" s="147"/>
      <c r="D83" s="148"/>
      <c r="E83" s="149"/>
      <c r="F83" s="150"/>
      <c r="G83" s="151"/>
      <c r="H83" s="152"/>
      <c r="I83" s="153"/>
      <c r="J83" s="153"/>
      <c r="K83" s="153"/>
      <c r="L83" s="154"/>
      <c r="M83" s="138"/>
    </row>
    <row r="84" ht="15.75" customHeight="1">
      <c r="A84" s="164"/>
      <c r="B84" s="164"/>
      <c r="C84" s="141"/>
      <c r="D84" s="142"/>
      <c r="E84" s="143"/>
      <c r="F84" s="144"/>
      <c r="G84" s="142"/>
      <c r="H84" s="145"/>
      <c r="I84" s="142"/>
      <c r="J84" s="142"/>
      <c r="K84" s="142"/>
      <c r="L84" s="146"/>
      <c r="M84" s="138"/>
    </row>
    <row r="85" ht="15.75" customHeight="1">
      <c r="A85" s="162"/>
      <c r="B85" s="162"/>
      <c r="C85" s="147"/>
      <c r="D85" s="148"/>
      <c r="E85" s="149"/>
      <c r="F85" s="150"/>
      <c r="G85" s="151"/>
      <c r="H85" s="152"/>
      <c r="I85" s="153"/>
      <c r="J85" s="153"/>
      <c r="K85" s="153"/>
      <c r="L85" s="154"/>
      <c r="M85" s="138"/>
    </row>
    <row r="86" ht="15.75" customHeight="1">
      <c r="A86" s="164"/>
      <c r="B86" s="164"/>
      <c r="C86" s="141"/>
      <c r="D86" s="142"/>
      <c r="E86" s="143"/>
      <c r="F86" s="144"/>
      <c r="G86" s="142"/>
      <c r="H86" s="145"/>
      <c r="I86" s="142"/>
      <c r="J86" s="142"/>
      <c r="K86" s="142"/>
      <c r="L86" s="146"/>
      <c r="M86" s="138"/>
    </row>
    <row r="87" ht="15.75" customHeight="1">
      <c r="A87" s="162"/>
      <c r="B87" s="162"/>
      <c r="C87" s="147"/>
      <c r="D87" s="148"/>
      <c r="E87" s="149"/>
      <c r="F87" s="150"/>
      <c r="G87" s="151"/>
      <c r="H87" s="152"/>
      <c r="I87" s="153"/>
      <c r="J87" s="153"/>
      <c r="K87" s="153"/>
      <c r="L87" s="154"/>
      <c r="M87" s="138"/>
    </row>
    <row r="88" ht="15.75" customHeight="1">
      <c r="A88" s="164"/>
      <c r="B88" s="164"/>
      <c r="C88" s="141"/>
      <c r="D88" s="142"/>
      <c r="E88" s="143"/>
      <c r="F88" s="144"/>
      <c r="G88" s="142"/>
      <c r="H88" s="145"/>
      <c r="I88" s="142"/>
      <c r="J88" s="142"/>
      <c r="K88" s="142"/>
      <c r="L88" s="146"/>
      <c r="M88" s="138"/>
    </row>
    <row r="89" ht="15.75" customHeight="1">
      <c r="A89" s="162"/>
      <c r="B89" s="162"/>
      <c r="C89" s="147"/>
      <c r="D89" s="148"/>
      <c r="E89" s="149"/>
      <c r="F89" s="150"/>
      <c r="G89" s="151"/>
      <c r="H89" s="152"/>
      <c r="I89" s="153"/>
      <c r="J89" s="153"/>
      <c r="K89" s="153"/>
      <c r="L89" s="154"/>
      <c r="M89" s="138"/>
    </row>
    <row r="90" ht="15.75" customHeight="1">
      <c r="A90" s="164"/>
      <c r="B90" s="164"/>
      <c r="C90" s="141"/>
      <c r="D90" s="142"/>
      <c r="E90" s="143"/>
      <c r="F90" s="144"/>
      <c r="G90" s="142"/>
      <c r="H90" s="145"/>
      <c r="I90" s="142"/>
      <c r="J90" s="142"/>
      <c r="K90" s="142"/>
      <c r="L90" s="146"/>
      <c r="M90" s="138"/>
    </row>
    <row r="91" ht="15.75" customHeight="1">
      <c r="A91" s="162"/>
      <c r="B91" s="162"/>
      <c r="C91" s="147"/>
      <c r="D91" s="148"/>
      <c r="E91" s="149"/>
      <c r="F91" s="150"/>
      <c r="G91" s="151"/>
      <c r="H91" s="152"/>
      <c r="I91" s="153"/>
      <c r="J91" s="153"/>
      <c r="K91" s="153"/>
      <c r="L91" s="154"/>
      <c r="M91" s="138"/>
    </row>
    <row r="92" ht="15.75" customHeight="1">
      <c r="A92" s="164"/>
      <c r="B92" s="164"/>
      <c r="C92" s="141"/>
      <c r="D92" s="142"/>
      <c r="E92" s="143"/>
      <c r="F92" s="144"/>
      <c r="G92" s="142"/>
      <c r="H92" s="145"/>
      <c r="I92" s="142"/>
      <c r="J92" s="142"/>
      <c r="K92" s="142"/>
      <c r="L92" s="146"/>
      <c r="M92" s="138"/>
    </row>
    <row r="93" ht="15.75" customHeight="1">
      <c r="A93" s="162"/>
      <c r="B93" s="162"/>
      <c r="C93" s="147"/>
      <c r="D93" s="148"/>
      <c r="E93" s="149"/>
      <c r="F93" s="150"/>
      <c r="G93" s="151"/>
      <c r="H93" s="152"/>
      <c r="I93" s="153"/>
      <c r="J93" s="153"/>
      <c r="K93" s="153"/>
      <c r="L93" s="154"/>
      <c r="M93" s="138"/>
    </row>
    <row r="94" ht="15.75" customHeight="1">
      <c r="A94" s="164"/>
      <c r="B94" s="164"/>
      <c r="C94" s="141"/>
      <c r="D94" s="142"/>
      <c r="E94" s="143"/>
      <c r="F94" s="144"/>
      <c r="G94" s="142"/>
      <c r="H94" s="145"/>
      <c r="I94" s="142"/>
      <c r="J94" s="142"/>
      <c r="K94" s="142"/>
      <c r="L94" s="146"/>
      <c r="M94" s="138"/>
    </row>
    <row r="95" ht="15.75" customHeight="1">
      <c r="A95" s="162"/>
      <c r="B95" s="162"/>
      <c r="C95" s="147"/>
      <c r="D95" s="148"/>
      <c r="E95" s="149"/>
      <c r="F95" s="150"/>
      <c r="G95" s="151"/>
      <c r="H95" s="152"/>
      <c r="I95" s="153"/>
      <c r="J95" s="153"/>
      <c r="K95" s="153"/>
      <c r="L95" s="154"/>
      <c r="M95" s="138"/>
    </row>
    <row r="96" ht="15.75" customHeight="1">
      <c r="A96" s="164"/>
      <c r="B96" s="164"/>
      <c r="C96" s="141"/>
      <c r="D96" s="142"/>
      <c r="E96" s="143"/>
      <c r="F96" s="144"/>
      <c r="G96" s="142"/>
      <c r="H96" s="145"/>
      <c r="I96" s="142"/>
      <c r="J96" s="142"/>
      <c r="K96" s="142"/>
      <c r="L96" s="146"/>
      <c r="M96" s="138"/>
    </row>
    <row r="97" ht="15.75" customHeight="1">
      <c r="A97" s="162"/>
      <c r="B97" s="162"/>
      <c r="C97" s="147"/>
      <c r="D97" s="148"/>
      <c r="E97" s="149"/>
      <c r="F97" s="150"/>
      <c r="G97" s="151"/>
      <c r="H97" s="152"/>
      <c r="I97" s="153"/>
      <c r="J97" s="153"/>
      <c r="K97" s="153"/>
      <c r="L97" s="154"/>
      <c r="M97" s="138"/>
    </row>
    <row r="98" ht="15.75" customHeight="1">
      <c r="A98" s="164"/>
      <c r="B98" s="164"/>
      <c r="C98" s="141"/>
      <c r="D98" s="142"/>
      <c r="E98" s="143"/>
      <c r="F98" s="144"/>
      <c r="G98" s="142"/>
      <c r="H98" s="145"/>
      <c r="I98" s="142"/>
      <c r="J98" s="142"/>
      <c r="K98" s="142"/>
      <c r="L98" s="146"/>
      <c r="M98" s="138"/>
    </row>
    <row r="99" ht="15.75" customHeight="1">
      <c r="A99" s="162"/>
      <c r="B99" s="162"/>
      <c r="C99" s="147"/>
      <c r="D99" s="148"/>
      <c r="E99" s="149"/>
      <c r="F99" s="150"/>
      <c r="G99" s="151"/>
      <c r="H99" s="152"/>
      <c r="I99" s="153"/>
      <c r="J99" s="153"/>
      <c r="K99" s="153"/>
      <c r="L99" s="154"/>
      <c r="M99" s="138"/>
    </row>
    <row r="100" ht="15.75" customHeight="1">
      <c r="A100" s="164"/>
      <c r="B100" s="164"/>
      <c r="C100" s="141"/>
      <c r="D100" s="142"/>
      <c r="E100" s="143"/>
      <c r="F100" s="144"/>
      <c r="G100" s="142"/>
      <c r="H100" s="145"/>
      <c r="I100" s="142"/>
      <c r="J100" s="142"/>
      <c r="K100" s="142"/>
      <c r="L100" s="146"/>
      <c r="M100" s="138"/>
    </row>
    <row r="101" ht="15.75" customHeight="1">
      <c r="A101" s="162"/>
      <c r="B101" s="162"/>
      <c r="C101" s="147"/>
      <c r="D101" s="148"/>
      <c r="E101" s="149"/>
      <c r="F101" s="150"/>
      <c r="G101" s="151"/>
      <c r="H101" s="152"/>
      <c r="I101" s="153"/>
      <c r="J101" s="153"/>
      <c r="K101" s="153"/>
      <c r="L101" s="154"/>
      <c r="M101" s="138"/>
    </row>
    <row r="102" ht="15.75" customHeight="1">
      <c r="A102" s="164"/>
      <c r="B102" s="164"/>
      <c r="C102" s="141"/>
      <c r="D102" s="142"/>
      <c r="E102" s="143"/>
      <c r="F102" s="144"/>
      <c r="G102" s="142"/>
      <c r="H102" s="145"/>
      <c r="I102" s="142"/>
      <c r="J102" s="142"/>
      <c r="K102" s="142"/>
      <c r="L102" s="146"/>
      <c r="M102" s="138"/>
    </row>
    <row r="103" ht="15.75" customHeight="1">
      <c r="A103" s="162"/>
      <c r="B103" s="162"/>
      <c r="C103" s="147"/>
      <c r="D103" s="148"/>
      <c r="E103" s="149"/>
      <c r="F103" s="150"/>
      <c r="G103" s="151"/>
      <c r="H103" s="152"/>
      <c r="I103" s="153"/>
      <c r="J103" s="153"/>
      <c r="K103" s="153"/>
      <c r="L103" s="154"/>
      <c r="M103" s="138"/>
    </row>
    <row r="104" ht="15.75" customHeight="1">
      <c r="A104" s="164"/>
      <c r="B104" s="164"/>
      <c r="C104" s="141"/>
      <c r="D104" s="142"/>
      <c r="E104" s="143"/>
      <c r="F104" s="144"/>
      <c r="G104" s="142"/>
      <c r="H104" s="145"/>
      <c r="I104" s="142"/>
      <c r="J104" s="142"/>
      <c r="K104" s="142"/>
      <c r="L104" s="146"/>
      <c r="M104" s="138"/>
    </row>
    <row r="105" ht="15.75" customHeight="1">
      <c r="A105" s="162"/>
      <c r="B105" s="162"/>
      <c r="C105" s="147"/>
      <c r="D105" s="148"/>
      <c r="E105" s="149"/>
      <c r="F105" s="150"/>
      <c r="G105" s="151"/>
      <c r="H105" s="152"/>
      <c r="I105" s="153"/>
      <c r="J105" s="153"/>
      <c r="K105" s="153"/>
      <c r="L105" s="154"/>
      <c r="M105" s="138"/>
    </row>
    <row r="106" ht="15.75" customHeight="1">
      <c r="A106" s="164"/>
      <c r="B106" s="164"/>
      <c r="C106" s="141"/>
      <c r="D106" s="142"/>
      <c r="E106" s="143"/>
      <c r="F106" s="144"/>
      <c r="G106" s="142"/>
      <c r="H106" s="145"/>
      <c r="I106" s="142"/>
      <c r="J106" s="142"/>
      <c r="K106" s="142"/>
      <c r="L106" s="146"/>
      <c r="M106" s="138"/>
    </row>
    <row r="107" ht="15.75" customHeight="1">
      <c r="A107" s="162"/>
      <c r="B107" s="162"/>
      <c r="C107" s="147"/>
      <c r="D107" s="148"/>
      <c r="E107" s="149"/>
      <c r="F107" s="150"/>
      <c r="G107" s="151"/>
      <c r="H107" s="152"/>
      <c r="I107" s="153"/>
      <c r="J107" s="153"/>
      <c r="K107" s="153"/>
      <c r="L107" s="154"/>
      <c r="M107" s="138"/>
    </row>
    <row r="108" ht="15.75" customHeight="1">
      <c r="A108" s="164"/>
      <c r="B108" s="164"/>
      <c r="C108" s="141"/>
      <c r="D108" s="142"/>
      <c r="E108" s="143"/>
      <c r="F108" s="144"/>
      <c r="G108" s="142"/>
      <c r="H108" s="145"/>
      <c r="I108" s="142"/>
      <c r="J108" s="142"/>
      <c r="K108" s="142"/>
      <c r="L108" s="146"/>
      <c r="M108" s="138"/>
    </row>
    <row r="109" ht="15.75" customHeight="1">
      <c r="A109" s="162"/>
      <c r="B109" s="162"/>
      <c r="C109" s="147"/>
      <c r="D109" s="148"/>
      <c r="E109" s="149"/>
      <c r="F109" s="150"/>
      <c r="G109" s="151"/>
      <c r="H109" s="152"/>
      <c r="I109" s="153"/>
      <c r="J109" s="153"/>
      <c r="K109" s="153"/>
      <c r="L109" s="154"/>
      <c r="M109" s="138"/>
    </row>
    <row r="110" ht="15.75" customHeight="1">
      <c r="A110" s="164"/>
      <c r="B110" s="164"/>
      <c r="C110" s="141"/>
      <c r="D110" s="142"/>
      <c r="E110" s="143"/>
      <c r="F110" s="144"/>
      <c r="G110" s="142"/>
      <c r="H110" s="145"/>
      <c r="I110" s="142"/>
      <c r="J110" s="142"/>
      <c r="K110" s="142"/>
      <c r="L110" s="146"/>
      <c r="M110" s="138"/>
    </row>
    <row r="111" ht="15.75" customHeight="1">
      <c r="A111" s="162"/>
      <c r="B111" s="162"/>
      <c r="C111" s="147"/>
      <c r="D111" s="148"/>
      <c r="E111" s="149"/>
      <c r="F111" s="150"/>
      <c r="G111" s="151"/>
      <c r="H111" s="152"/>
      <c r="I111" s="153"/>
      <c r="J111" s="153"/>
      <c r="K111" s="153"/>
      <c r="L111" s="154"/>
      <c r="M111" s="138"/>
    </row>
    <row r="112" ht="15.75" customHeight="1">
      <c r="A112" s="164"/>
      <c r="B112" s="164"/>
      <c r="C112" s="141"/>
      <c r="D112" s="142"/>
      <c r="E112" s="143"/>
      <c r="F112" s="144"/>
      <c r="G112" s="142"/>
      <c r="H112" s="145"/>
      <c r="I112" s="142"/>
      <c r="J112" s="142"/>
      <c r="K112" s="142"/>
      <c r="L112" s="146"/>
      <c r="M112" s="138"/>
    </row>
    <row r="113" ht="15.75" customHeight="1">
      <c r="A113" s="162"/>
      <c r="B113" s="162"/>
      <c r="C113" s="147"/>
      <c r="D113" s="148"/>
      <c r="E113" s="149"/>
      <c r="F113" s="150"/>
      <c r="G113" s="151"/>
      <c r="H113" s="152"/>
      <c r="I113" s="153"/>
      <c r="J113" s="153"/>
      <c r="K113" s="153"/>
      <c r="L113" s="154"/>
      <c r="M113" s="138"/>
    </row>
    <row r="114" ht="15.75" customHeight="1">
      <c r="A114" s="164"/>
      <c r="B114" s="164"/>
      <c r="C114" s="141"/>
      <c r="D114" s="142"/>
      <c r="E114" s="143"/>
      <c r="F114" s="144"/>
      <c r="G114" s="142"/>
      <c r="H114" s="145"/>
      <c r="I114" s="142"/>
      <c r="J114" s="142"/>
      <c r="K114" s="142"/>
      <c r="L114" s="146"/>
      <c r="M114" s="138"/>
    </row>
    <row r="115" ht="15.75" customHeight="1">
      <c r="A115" s="162"/>
      <c r="B115" s="162"/>
      <c r="C115" s="147"/>
      <c r="D115" s="148"/>
      <c r="E115" s="149"/>
      <c r="F115" s="150"/>
      <c r="G115" s="151"/>
      <c r="H115" s="152"/>
      <c r="I115" s="153"/>
      <c r="J115" s="153"/>
      <c r="K115" s="153"/>
      <c r="L115" s="154"/>
      <c r="M115" s="138"/>
    </row>
    <row r="116" ht="15.75" customHeight="1">
      <c r="A116" s="164"/>
      <c r="B116" s="164"/>
      <c r="C116" s="141"/>
      <c r="D116" s="142"/>
      <c r="E116" s="143"/>
      <c r="F116" s="144"/>
      <c r="G116" s="142"/>
      <c r="H116" s="145"/>
      <c r="I116" s="142"/>
      <c r="J116" s="142"/>
      <c r="K116" s="142"/>
      <c r="L116" s="146"/>
      <c r="M116" s="138"/>
    </row>
    <row r="117" ht="15.75" customHeight="1">
      <c r="A117" s="162"/>
      <c r="B117" s="162"/>
      <c r="C117" s="147"/>
      <c r="D117" s="148"/>
      <c r="E117" s="149"/>
      <c r="F117" s="150"/>
      <c r="G117" s="151"/>
      <c r="H117" s="152"/>
      <c r="I117" s="153"/>
      <c r="J117" s="153"/>
      <c r="K117" s="153"/>
      <c r="L117" s="154"/>
      <c r="M117" s="138"/>
    </row>
    <row r="118" ht="15.75" customHeight="1">
      <c r="A118" s="164"/>
      <c r="B118" s="164"/>
      <c r="C118" s="141"/>
      <c r="D118" s="142"/>
      <c r="E118" s="143"/>
      <c r="F118" s="144"/>
      <c r="G118" s="142"/>
      <c r="H118" s="145"/>
      <c r="I118" s="142"/>
      <c r="J118" s="142"/>
      <c r="K118" s="142"/>
      <c r="L118" s="146"/>
      <c r="M118" s="138"/>
    </row>
    <row r="119" ht="15.75" customHeight="1">
      <c r="A119" s="162"/>
      <c r="B119" s="162"/>
      <c r="C119" s="147"/>
      <c r="D119" s="148"/>
      <c r="E119" s="149"/>
      <c r="F119" s="150"/>
      <c r="G119" s="151"/>
      <c r="H119" s="152"/>
      <c r="I119" s="153"/>
      <c r="J119" s="153"/>
      <c r="K119" s="153"/>
      <c r="L119" s="154"/>
      <c r="M119" s="138"/>
    </row>
    <row r="120" ht="15.75" customHeight="1">
      <c r="A120" s="164"/>
      <c r="B120" s="164"/>
      <c r="C120" s="141"/>
      <c r="D120" s="142"/>
      <c r="E120" s="143"/>
      <c r="F120" s="144"/>
      <c r="G120" s="142"/>
      <c r="H120" s="145"/>
      <c r="I120" s="142"/>
      <c r="J120" s="142"/>
      <c r="K120" s="142"/>
      <c r="L120" s="146"/>
      <c r="M120" s="138"/>
    </row>
    <row r="121" ht="15.75" customHeight="1">
      <c r="A121" s="162"/>
      <c r="B121" s="162"/>
      <c r="C121" s="147"/>
      <c r="D121" s="148"/>
      <c r="E121" s="149"/>
      <c r="F121" s="150"/>
      <c r="G121" s="151"/>
      <c r="H121" s="152"/>
      <c r="I121" s="153"/>
      <c r="J121" s="153"/>
      <c r="K121" s="153"/>
      <c r="L121" s="154"/>
      <c r="M121" s="138"/>
    </row>
    <row r="122" ht="15.75" customHeight="1">
      <c r="A122" s="164"/>
      <c r="B122" s="164"/>
      <c r="C122" s="141"/>
      <c r="D122" s="142"/>
      <c r="E122" s="143"/>
      <c r="F122" s="144"/>
      <c r="G122" s="142"/>
      <c r="H122" s="145"/>
      <c r="I122" s="142"/>
      <c r="J122" s="142"/>
      <c r="K122" s="142"/>
      <c r="L122" s="146"/>
      <c r="M122" s="138"/>
    </row>
    <row r="123" ht="15.75" customHeight="1">
      <c r="A123" s="162"/>
      <c r="B123" s="162"/>
      <c r="C123" s="147"/>
      <c r="D123" s="148"/>
      <c r="E123" s="149"/>
      <c r="F123" s="150"/>
      <c r="G123" s="151"/>
      <c r="H123" s="152"/>
      <c r="I123" s="153"/>
      <c r="J123" s="153"/>
      <c r="K123" s="153"/>
      <c r="L123" s="154"/>
      <c r="M123" s="138"/>
    </row>
    <row r="124" ht="15.75" customHeight="1">
      <c r="A124" s="164"/>
      <c r="B124" s="164"/>
      <c r="C124" s="141"/>
      <c r="D124" s="142"/>
      <c r="E124" s="143"/>
      <c r="F124" s="144"/>
      <c r="G124" s="142"/>
      <c r="H124" s="145"/>
      <c r="I124" s="142"/>
      <c r="J124" s="142"/>
      <c r="K124" s="142"/>
      <c r="L124" s="146"/>
      <c r="M124" s="138"/>
    </row>
    <row r="125" ht="15.75" customHeight="1">
      <c r="A125" s="162"/>
      <c r="B125" s="162"/>
      <c r="C125" s="147"/>
      <c r="D125" s="148"/>
      <c r="E125" s="149"/>
      <c r="F125" s="150"/>
      <c r="G125" s="151"/>
      <c r="H125" s="152"/>
      <c r="I125" s="153"/>
      <c r="J125" s="153"/>
      <c r="K125" s="153"/>
      <c r="L125" s="154"/>
      <c r="M125" s="138"/>
    </row>
    <row r="126" ht="15.75" customHeight="1">
      <c r="A126" s="164"/>
      <c r="B126" s="164"/>
      <c r="C126" s="141"/>
      <c r="D126" s="142"/>
      <c r="E126" s="143"/>
      <c r="F126" s="144"/>
      <c r="G126" s="142"/>
      <c r="H126" s="145"/>
      <c r="I126" s="142"/>
      <c r="J126" s="142"/>
      <c r="K126" s="142"/>
      <c r="L126" s="146"/>
      <c r="M126" s="138"/>
    </row>
    <row r="127" ht="15.75" customHeight="1">
      <c r="A127" s="162"/>
      <c r="B127" s="162"/>
      <c r="C127" s="147"/>
      <c r="D127" s="148"/>
      <c r="E127" s="149"/>
      <c r="F127" s="150"/>
      <c r="G127" s="151"/>
      <c r="H127" s="152"/>
      <c r="I127" s="153"/>
      <c r="J127" s="153"/>
      <c r="K127" s="153"/>
      <c r="L127" s="154"/>
      <c r="M127" s="138"/>
    </row>
    <row r="128" ht="15.75" customHeight="1">
      <c r="A128" s="164"/>
      <c r="B128" s="164"/>
      <c r="C128" s="141"/>
      <c r="D128" s="142"/>
      <c r="E128" s="143"/>
      <c r="F128" s="144"/>
      <c r="G128" s="142"/>
      <c r="H128" s="145"/>
      <c r="I128" s="142"/>
      <c r="J128" s="142"/>
      <c r="K128" s="142"/>
      <c r="L128" s="146"/>
      <c r="M128" s="138"/>
    </row>
    <row r="129" ht="15.75" customHeight="1">
      <c r="A129" s="162"/>
      <c r="B129" s="162"/>
      <c r="C129" s="147"/>
      <c r="D129" s="148"/>
      <c r="E129" s="149"/>
      <c r="F129" s="150"/>
      <c r="G129" s="151"/>
      <c r="H129" s="152"/>
      <c r="I129" s="153"/>
      <c r="J129" s="153"/>
      <c r="K129" s="153"/>
      <c r="L129" s="154"/>
      <c r="M129" s="138"/>
    </row>
    <row r="130" ht="15.75" customHeight="1">
      <c r="A130" s="164"/>
      <c r="B130" s="164"/>
      <c r="C130" s="141"/>
      <c r="D130" s="142"/>
      <c r="E130" s="143"/>
      <c r="F130" s="144"/>
      <c r="G130" s="142"/>
      <c r="H130" s="145"/>
      <c r="I130" s="142"/>
      <c r="J130" s="142"/>
      <c r="K130" s="142"/>
      <c r="L130" s="146"/>
      <c r="M130" s="138"/>
    </row>
    <row r="131" ht="15.75" customHeight="1">
      <c r="A131" s="162"/>
      <c r="B131" s="162"/>
      <c r="C131" s="147"/>
      <c r="D131" s="148"/>
      <c r="E131" s="149"/>
      <c r="F131" s="150"/>
      <c r="G131" s="151"/>
      <c r="H131" s="152"/>
      <c r="I131" s="153"/>
      <c r="J131" s="153"/>
      <c r="K131" s="153"/>
      <c r="L131" s="154"/>
      <c r="M131" s="138"/>
    </row>
    <row r="132" ht="15.75" customHeight="1">
      <c r="A132" s="164"/>
      <c r="B132" s="164"/>
      <c r="C132" s="141"/>
      <c r="D132" s="142"/>
      <c r="E132" s="143"/>
      <c r="F132" s="144"/>
      <c r="G132" s="142"/>
      <c r="H132" s="145"/>
      <c r="I132" s="142"/>
      <c r="J132" s="142"/>
      <c r="K132" s="142"/>
      <c r="L132" s="146"/>
      <c r="M132" s="138"/>
    </row>
    <row r="133" ht="15.75" customHeight="1">
      <c r="A133" s="162"/>
      <c r="B133" s="162"/>
      <c r="C133" s="147"/>
      <c r="D133" s="148"/>
      <c r="E133" s="149"/>
      <c r="F133" s="150"/>
      <c r="G133" s="151"/>
      <c r="H133" s="152"/>
      <c r="I133" s="153"/>
      <c r="J133" s="153"/>
      <c r="K133" s="153"/>
      <c r="L133" s="154"/>
      <c r="M133" s="138"/>
    </row>
    <row r="134" ht="15.75" customHeight="1">
      <c r="A134" s="164"/>
      <c r="B134" s="164"/>
      <c r="C134" s="141"/>
      <c r="D134" s="142"/>
      <c r="E134" s="143"/>
      <c r="F134" s="144"/>
      <c r="G134" s="142"/>
      <c r="H134" s="145"/>
      <c r="I134" s="142"/>
      <c r="J134" s="142"/>
      <c r="K134" s="142"/>
      <c r="L134" s="146"/>
      <c r="M134" s="138"/>
    </row>
    <row r="135" ht="15.75" customHeight="1">
      <c r="A135" s="162"/>
      <c r="B135" s="162"/>
      <c r="C135" s="147"/>
      <c r="D135" s="148"/>
      <c r="E135" s="149"/>
      <c r="F135" s="150"/>
      <c r="G135" s="151"/>
      <c r="H135" s="152"/>
      <c r="I135" s="153"/>
      <c r="J135" s="153"/>
      <c r="K135" s="153"/>
      <c r="L135" s="154"/>
      <c r="M135" s="138"/>
    </row>
    <row r="136" ht="15.75" customHeight="1">
      <c r="A136" s="164"/>
      <c r="B136" s="164"/>
      <c r="C136" s="141"/>
      <c r="D136" s="142"/>
      <c r="E136" s="143"/>
      <c r="F136" s="144"/>
      <c r="G136" s="142"/>
      <c r="H136" s="145"/>
      <c r="I136" s="142"/>
      <c r="J136" s="142"/>
      <c r="K136" s="142"/>
      <c r="L136" s="146"/>
      <c r="M136" s="138"/>
    </row>
    <row r="137" ht="15.75" customHeight="1">
      <c r="A137" s="162"/>
      <c r="B137" s="162"/>
      <c r="C137" s="147"/>
      <c r="D137" s="148"/>
      <c r="E137" s="149"/>
      <c r="F137" s="150"/>
      <c r="G137" s="151"/>
      <c r="H137" s="152"/>
      <c r="I137" s="153"/>
      <c r="J137" s="153"/>
      <c r="K137" s="153"/>
      <c r="L137" s="154"/>
      <c r="M137" s="138"/>
    </row>
    <row r="138" ht="15.75" customHeight="1">
      <c r="A138" s="164"/>
      <c r="B138" s="164"/>
      <c r="C138" s="141"/>
      <c r="D138" s="142"/>
      <c r="E138" s="143"/>
      <c r="F138" s="144"/>
      <c r="G138" s="142"/>
      <c r="H138" s="145"/>
      <c r="I138" s="142"/>
      <c r="J138" s="142"/>
      <c r="K138" s="142"/>
      <c r="L138" s="146"/>
      <c r="M138" s="138"/>
    </row>
    <row r="139" ht="15.75" customHeight="1">
      <c r="A139" s="162"/>
      <c r="B139" s="162"/>
      <c r="C139" s="147"/>
      <c r="D139" s="148"/>
      <c r="E139" s="149"/>
      <c r="F139" s="150"/>
      <c r="G139" s="151"/>
      <c r="H139" s="152"/>
      <c r="I139" s="153"/>
      <c r="J139" s="153"/>
      <c r="K139" s="153"/>
      <c r="L139" s="154"/>
      <c r="M139" s="138"/>
    </row>
    <row r="140" ht="15.75" customHeight="1">
      <c r="A140" s="164"/>
      <c r="B140" s="164"/>
      <c r="C140" s="141"/>
      <c r="D140" s="142"/>
      <c r="E140" s="143"/>
      <c r="F140" s="144"/>
      <c r="G140" s="142"/>
      <c r="H140" s="145"/>
      <c r="I140" s="142"/>
      <c r="J140" s="142"/>
      <c r="K140" s="142"/>
      <c r="L140" s="146"/>
      <c r="M140" s="138"/>
    </row>
    <row r="141" ht="15.75" customHeight="1">
      <c r="A141" s="162"/>
      <c r="B141" s="162"/>
      <c r="C141" s="147"/>
      <c r="D141" s="148"/>
      <c r="E141" s="149"/>
      <c r="F141" s="150"/>
      <c r="G141" s="151"/>
      <c r="H141" s="152"/>
      <c r="I141" s="153"/>
      <c r="J141" s="153"/>
      <c r="K141" s="153"/>
      <c r="L141" s="154"/>
      <c r="M141" s="138"/>
    </row>
    <row r="142" ht="15.75" customHeight="1">
      <c r="A142" s="164"/>
      <c r="B142" s="164"/>
      <c r="C142" s="141"/>
      <c r="D142" s="142"/>
      <c r="E142" s="143"/>
      <c r="F142" s="144"/>
      <c r="G142" s="142"/>
      <c r="H142" s="145"/>
      <c r="I142" s="142"/>
      <c r="J142" s="142"/>
      <c r="K142" s="142"/>
      <c r="L142" s="146"/>
      <c r="M142" s="138"/>
    </row>
    <row r="143" ht="15.75" customHeight="1">
      <c r="A143" s="162"/>
      <c r="B143" s="162"/>
      <c r="C143" s="147"/>
      <c r="D143" s="148"/>
      <c r="E143" s="149"/>
      <c r="F143" s="150"/>
      <c r="G143" s="151"/>
      <c r="H143" s="152"/>
      <c r="I143" s="153"/>
      <c r="J143" s="153"/>
      <c r="K143" s="153"/>
      <c r="L143" s="154"/>
      <c r="M143" s="138"/>
    </row>
    <row r="144" ht="15.75" customHeight="1">
      <c r="A144" s="164"/>
      <c r="B144" s="164"/>
      <c r="C144" s="141"/>
      <c r="D144" s="142"/>
      <c r="E144" s="143"/>
      <c r="F144" s="144"/>
      <c r="G144" s="142"/>
      <c r="H144" s="145"/>
      <c r="I144" s="142"/>
      <c r="J144" s="142"/>
      <c r="K144" s="142"/>
      <c r="L144" s="146"/>
      <c r="M144" s="138"/>
    </row>
    <row r="145" ht="15.75" customHeight="1">
      <c r="A145" s="162"/>
      <c r="B145" s="162"/>
      <c r="C145" s="147"/>
      <c r="D145" s="148"/>
      <c r="E145" s="149"/>
      <c r="F145" s="150"/>
      <c r="G145" s="151"/>
      <c r="H145" s="152"/>
      <c r="I145" s="153"/>
      <c r="J145" s="153"/>
      <c r="K145" s="153"/>
      <c r="L145" s="154"/>
      <c r="M145" s="138"/>
    </row>
    <row r="146" ht="15.75" customHeight="1">
      <c r="A146" s="164"/>
      <c r="B146" s="164"/>
      <c r="C146" s="141"/>
      <c r="D146" s="142"/>
      <c r="E146" s="143"/>
      <c r="F146" s="144"/>
      <c r="G146" s="142"/>
      <c r="H146" s="145"/>
      <c r="I146" s="142"/>
      <c r="J146" s="142"/>
      <c r="K146" s="142"/>
      <c r="L146" s="146"/>
      <c r="M146" s="138"/>
    </row>
    <row r="147" ht="15.75" customHeight="1">
      <c r="A147" s="162"/>
      <c r="B147" s="162"/>
      <c r="C147" s="147"/>
      <c r="D147" s="148"/>
      <c r="E147" s="149"/>
      <c r="F147" s="150"/>
      <c r="G147" s="151"/>
      <c r="H147" s="152"/>
      <c r="I147" s="153"/>
      <c r="J147" s="153"/>
      <c r="K147" s="153"/>
      <c r="L147" s="154"/>
      <c r="M147" s="138"/>
    </row>
    <row r="148" ht="15.75" customHeight="1">
      <c r="A148" s="164"/>
      <c r="B148" s="164"/>
      <c r="C148" s="141"/>
      <c r="D148" s="142"/>
      <c r="E148" s="143"/>
      <c r="F148" s="144"/>
      <c r="G148" s="142"/>
      <c r="H148" s="145"/>
      <c r="I148" s="142"/>
      <c r="J148" s="142"/>
      <c r="K148" s="142"/>
      <c r="L148" s="146"/>
      <c r="M148" s="138"/>
    </row>
    <row r="149" ht="15.75" customHeight="1">
      <c r="A149" s="162"/>
      <c r="B149" s="162"/>
      <c r="C149" s="147"/>
      <c r="D149" s="148"/>
      <c r="E149" s="149"/>
      <c r="F149" s="150"/>
      <c r="G149" s="151"/>
      <c r="H149" s="152"/>
      <c r="I149" s="153"/>
      <c r="J149" s="153"/>
      <c r="K149" s="153"/>
      <c r="L149" s="154"/>
      <c r="M149" s="138"/>
    </row>
    <row r="150" ht="15.75" customHeight="1">
      <c r="A150" s="164"/>
      <c r="B150" s="164"/>
      <c r="C150" s="141"/>
      <c r="D150" s="142"/>
      <c r="E150" s="143"/>
      <c r="F150" s="144"/>
      <c r="G150" s="142"/>
      <c r="H150" s="145"/>
      <c r="I150" s="142"/>
      <c r="J150" s="142"/>
      <c r="K150" s="142"/>
      <c r="L150" s="146"/>
      <c r="M150" s="138"/>
    </row>
    <row r="151" ht="15.75" customHeight="1">
      <c r="A151" s="162"/>
      <c r="B151" s="162"/>
      <c r="C151" s="147"/>
      <c r="D151" s="148"/>
      <c r="E151" s="149"/>
      <c r="F151" s="150"/>
      <c r="G151" s="151"/>
      <c r="H151" s="152"/>
      <c r="I151" s="153"/>
      <c r="J151" s="153"/>
      <c r="K151" s="153"/>
      <c r="L151" s="154"/>
      <c r="M151" s="138"/>
    </row>
    <row r="152" ht="15.75" customHeight="1">
      <c r="A152" s="164"/>
      <c r="B152" s="164"/>
      <c r="C152" s="141"/>
      <c r="D152" s="142"/>
      <c r="E152" s="143"/>
      <c r="F152" s="144"/>
      <c r="G152" s="142"/>
      <c r="H152" s="145"/>
      <c r="I152" s="142"/>
      <c r="J152" s="142"/>
      <c r="K152" s="142"/>
      <c r="L152" s="146"/>
      <c r="M152" s="138"/>
    </row>
    <row r="153" ht="15.75" customHeight="1">
      <c r="A153" s="162"/>
      <c r="B153" s="162"/>
      <c r="C153" s="147"/>
      <c r="D153" s="148"/>
      <c r="E153" s="149"/>
      <c r="F153" s="150"/>
      <c r="G153" s="151"/>
      <c r="H153" s="152"/>
      <c r="I153" s="153"/>
      <c r="J153" s="153"/>
      <c r="K153" s="153"/>
      <c r="L153" s="154"/>
      <c r="M153" s="138"/>
    </row>
    <row r="154" ht="15.75" customHeight="1">
      <c r="A154" s="164"/>
      <c r="B154" s="164"/>
      <c r="C154" s="141"/>
      <c r="D154" s="142"/>
      <c r="E154" s="143"/>
      <c r="F154" s="144"/>
      <c r="G154" s="142"/>
      <c r="H154" s="145"/>
      <c r="I154" s="142"/>
      <c r="J154" s="142"/>
      <c r="K154" s="142"/>
      <c r="L154" s="146"/>
      <c r="M154" s="138"/>
    </row>
    <row r="155" ht="15.75" customHeight="1">
      <c r="A155" s="162"/>
      <c r="B155" s="162"/>
      <c r="C155" s="147"/>
      <c r="D155" s="148"/>
      <c r="E155" s="149"/>
      <c r="F155" s="150"/>
      <c r="G155" s="151"/>
      <c r="H155" s="152"/>
      <c r="I155" s="153"/>
      <c r="J155" s="153"/>
      <c r="K155" s="153"/>
      <c r="L155" s="154"/>
      <c r="M155" s="138"/>
    </row>
    <row r="156" ht="15.75" customHeight="1">
      <c r="A156" s="164"/>
      <c r="B156" s="164"/>
      <c r="C156" s="141"/>
      <c r="D156" s="142"/>
      <c r="E156" s="143"/>
      <c r="F156" s="144"/>
      <c r="G156" s="142"/>
      <c r="H156" s="145"/>
      <c r="I156" s="142"/>
      <c r="J156" s="142"/>
      <c r="K156" s="142"/>
      <c r="L156" s="146"/>
      <c r="M156" s="138"/>
    </row>
    <row r="157" ht="15.75" customHeight="1">
      <c r="A157" s="162"/>
      <c r="B157" s="162"/>
      <c r="C157" s="147"/>
      <c r="D157" s="148"/>
      <c r="E157" s="149"/>
      <c r="F157" s="150"/>
      <c r="G157" s="151"/>
      <c r="H157" s="152"/>
      <c r="I157" s="153"/>
      <c r="J157" s="153"/>
      <c r="K157" s="153"/>
      <c r="L157" s="154"/>
      <c r="M157" s="138"/>
    </row>
    <row r="158" ht="15.75" customHeight="1">
      <c r="A158" s="164"/>
      <c r="B158" s="164"/>
      <c r="C158" s="141"/>
      <c r="D158" s="142"/>
      <c r="E158" s="143"/>
      <c r="F158" s="144"/>
      <c r="G158" s="142"/>
      <c r="H158" s="145"/>
      <c r="I158" s="142"/>
      <c r="J158" s="142"/>
      <c r="K158" s="142"/>
      <c r="L158" s="146"/>
      <c r="M158" s="138"/>
    </row>
    <row r="159" ht="15.75" customHeight="1">
      <c r="A159" s="162"/>
      <c r="B159" s="162"/>
      <c r="C159" s="147"/>
      <c r="D159" s="148"/>
      <c r="E159" s="149"/>
      <c r="F159" s="150"/>
      <c r="G159" s="151"/>
      <c r="H159" s="152"/>
      <c r="I159" s="153"/>
      <c r="J159" s="153"/>
      <c r="K159" s="153"/>
      <c r="L159" s="154"/>
      <c r="M159" s="138"/>
    </row>
    <row r="160" ht="15.75" customHeight="1">
      <c r="A160" s="164"/>
      <c r="B160" s="164"/>
      <c r="C160" s="141"/>
      <c r="D160" s="142"/>
      <c r="E160" s="143"/>
      <c r="F160" s="144"/>
      <c r="G160" s="142"/>
      <c r="H160" s="145"/>
      <c r="I160" s="142"/>
      <c r="J160" s="142"/>
      <c r="K160" s="142"/>
      <c r="L160" s="146"/>
      <c r="M160" s="138"/>
    </row>
    <row r="161" ht="15.75" customHeight="1">
      <c r="A161" s="162"/>
      <c r="B161" s="162"/>
      <c r="C161" s="147"/>
      <c r="D161" s="148"/>
      <c r="E161" s="149"/>
      <c r="F161" s="150"/>
      <c r="G161" s="151"/>
      <c r="H161" s="152"/>
      <c r="I161" s="153"/>
      <c r="J161" s="153"/>
      <c r="K161" s="153"/>
      <c r="L161" s="154"/>
      <c r="M161" s="138"/>
    </row>
    <row r="162" ht="15.75" customHeight="1">
      <c r="A162" s="164"/>
      <c r="B162" s="164"/>
      <c r="C162" s="141"/>
      <c r="D162" s="142"/>
      <c r="E162" s="143"/>
      <c r="F162" s="144"/>
      <c r="G162" s="142"/>
      <c r="H162" s="145"/>
      <c r="I162" s="142"/>
      <c r="J162" s="142"/>
      <c r="K162" s="142"/>
      <c r="L162" s="146"/>
      <c r="M162" s="138"/>
    </row>
    <row r="163" ht="15.75" customHeight="1">
      <c r="A163" s="162"/>
      <c r="B163" s="162"/>
      <c r="C163" s="147"/>
      <c r="D163" s="148"/>
      <c r="E163" s="149"/>
      <c r="F163" s="150"/>
      <c r="G163" s="151"/>
      <c r="H163" s="152"/>
      <c r="I163" s="153"/>
      <c r="J163" s="153"/>
      <c r="K163" s="153"/>
      <c r="L163" s="154"/>
      <c r="M163" s="138"/>
    </row>
    <row r="164" ht="15.75" customHeight="1">
      <c r="A164" s="164"/>
      <c r="B164" s="164"/>
      <c r="C164" s="141"/>
      <c r="D164" s="142"/>
      <c r="E164" s="143"/>
      <c r="F164" s="144"/>
      <c r="G164" s="142"/>
      <c r="H164" s="145"/>
      <c r="I164" s="142"/>
      <c r="J164" s="142"/>
      <c r="K164" s="142"/>
      <c r="L164" s="146"/>
      <c r="M164" s="138"/>
    </row>
    <row r="165" ht="15.75" customHeight="1">
      <c r="A165" s="162"/>
      <c r="B165" s="162"/>
      <c r="C165" s="147"/>
      <c r="D165" s="148"/>
      <c r="E165" s="149"/>
      <c r="F165" s="150"/>
      <c r="G165" s="151"/>
      <c r="H165" s="152"/>
      <c r="I165" s="153"/>
      <c r="J165" s="153"/>
      <c r="K165" s="153"/>
      <c r="L165" s="154"/>
      <c r="M165" s="138"/>
    </row>
    <row r="166" ht="15.75" customHeight="1">
      <c r="A166" s="164"/>
      <c r="B166" s="164"/>
      <c r="C166" s="141"/>
      <c r="D166" s="142"/>
      <c r="E166" s="143"/>
      <c r="F166" s="144"/>
      <c r="G166" s="142"/>
      <c r="H166" s="145"/>
      <c r="I166" s="142"/>
      <c r="J166" s="142"/>
      <c r="K166" s="142"/>
      <c r="L166" s="146"/>
      <c r="M166" s="138"/>
    </row>
    <row r="167" ht="15.75" customHeight="1">
      <c r="A167" s="162"/>
      <c r="B167" s="162"/>
      <c r="C167" s="147"/>
      <c r="D167" s="148"/>
      <c r="E167" s="149"/>
      <c r="F167" s="150"/>
      <c r="G167" s="151"/>
      <c r="H167" s="152"/>
      <c r="I167" s="153"/>
      <c r="J167" s="153"/>
      <c r="K167" s="153"/>
      <c r="L167" s="154"/>
      <c r="M167" s="138"/>
    </row>
    <row r="168" ht="15.75" customHeight="1">
      <c r="A168" s="164"/>
      <c r="B168" s="164"/>
      <c r="C168" s="141"/>
      <c r="D168" s="142"/>
      <c r="E168" s="143"/>
      <c r="F168" s="144"/>
      <c r="G168" s="142"/>
      <c r="H168" s="145"/>
      <c r="I168" s="142"/>
      <c r="J168" s="142"/>
      <c r="K168" s="142"/>
      <c r="L168" s="146"/>
      <c r="M168" s="138"/>
    </row>
    <row r="169" ht="15.75" customHeight="1">
      <c r="A169" s="162"/>
      <c r="B169" s="162"/>
      <c r="C169" s="147"/>
      <c r="D169" s="148"/>
      <c r="E169" s="149"/>
      <c r="F169" s="150"/>
      <c r="G169" s="151"/>
      <c r="H169" s="152"/>
      <c r="I169" s="153"/>
      <c r="J169" s="153"/>
      <c r="K169" s="153"/>
      <c r="L169" s="154"/>
      <c r="M169" s="138"/>
    </row>
    <row r="170" ht="15.75" customHeight="1">
      <c r="A170" s="164"/>
      <c r="B170" s="164"/>
      <c r="C170" s="141"/>
      <c r="D170" s="142"/>
      <c r="E170" s="143"/>
      <c r="F170" s="144"/>
      <c r="G170" s="142"/>
      <c r="H170" s="145"/>
      <c r="I170" s="142"/>
      <c r="J170" s="142"/>
      <c r="K170" s="142"/>
      <c r="L170" s="146"/>
      <c r="M170" s="138"/>
    </row>
    <row r="171" ht="15.75" customHeight="1">
      <c r="A171" s="162"/>
      <c r="B171" s="162"/>
      <c r="C171" s="147"/>
      <c r="D171" s="148"/>
      <c r="E171" s="149"/>
      <c r="F171" s="150"/>
      <c r="G171" s="151"/>
      <c r="H171" s="152"/>
      <c r="I171" s="153"/>
      <c r="J171" s="153"/>
      <c r="K171" s="153"/>
      <c r="L171" s="154"/>
      <c r="M171" s="138"/>
    </row>
    <row r="172" ht="15.75" customHeight="1">
      <c r="A172" s="164"/>
      <c r="B172" s="164"/>
      <c r="C172" s="141"/>
      <c r="D172" s="142"/>
      <c r="E172" s="143"/>
      <c r="F172" s="144"/>
      <c r="G172" s="142"/>
      <c r="H172" s="145"/>
      <c r="I172" s="142"/>
      <c r="J172" s="142"/>
      <c r="K172" s="142"/>
      <c r="L172" s="146"/>
      <c r="M172" s="138"/>
    </row>
    <row r="173" ht="15.75" customHeight="1">
      <c r="A173" s="162"/>
      <c r="B173" s="162"/>
      <c r="C173" s="147"/>
      <c r="D173" s="148"/>
      <c r="E173" s="149"/>
      <c r="F173" s="150"/>
      <c r="G173" s="151"/>
      <c r="H173" s="152"/>
      <c r="I173" s="153"/>
      <c r="J173" s="153"/>
      <c r="K173" s="153"/>
      <c r="L173" s="154"/>
      <c r="M173" s="138"/>
    </row>
    <row r="174" ht="15.75" customHeight="1">
      <c r="A174" s="164"/>
      <c r="B174" s="164"/>
      <c r="C174" s="141"/>
      <c r="D174" s="142"/>
      <c r="E174" s="143"/>
      <c r="F174" s="144"/>
      <c r="G174" s="142"/>
      <c r="H174" s="145"/>
      <c r="I174" s="142"/>
      <c r="J174" s="142"/>
      <c r="K174" s="142"/>
      <c r="L174" s="146"/>
      <c r="M174" s="138"/>
    </row>
    <row r="175" ht="15.75" customHeight="1">
      <c r="A175" s="162"/>
      <c r="B175" s="162"/>
      <c r="C175" s="147"/>
      <c r="D175" s="148"/>
      <c r="E175" s="149"/>
      <c r="F175" s="150"/>
      <c r="G175" s="151"/>
      <c r="H175" s="152"/>
      <c r="I175" s="153"/>
      <c r="J175" s="153"/>
      <c r="K175" s="153"/>
      <c r="L175" s="154"/>
      <c r="M175" s="138"/>
    </row>
    <row r="176" ht="15.75" customHeight="1">
      <c r="A176" s="164"/>
      <c r="B176" s="164"/>
      <c r="C176" s="141"/>
      <c r="D176" s="142"/>
      <c r="E176" s="143"/>
      <c r="F176" s="144"/>
      <c r="G176" s="142"/>
      <c r="H176" s="145"/>
      <c r="I176" s="142"/>
      <c r="J176" s="142"/>
      <c r="K176" s="142"/>
      <c r="L176" s="146"/>
      <c r="M176" s="138"/>
    </row>
    <row r="177" ht="15.75" customHeight="1">
      <c r="A177" s="162"/>
      <c r="B177" s="162"/>
      <c r="C177" s="147"/>
      <c r="D177" s="148"/>
      <c r="E177" s="149"/>
      <c r="F177" s="150"/>
      <c r="G177" s="151"/>
      <c r="H177" s="152"/>
      <c r="I177" s="153"/>
      <c r="J177" s="153"/>
      <c r="K177" s="153"/>
      <c r="L177" s="154"/>
      <c r="M177" s="138"/>
    </row>
    <row r="178" ht="15.75" customHeight="1">
      <c r="A178" s="164"/>
      <c r="B178" s="164"/>
      <c r="C178" s="141"/>
      <c r="D178" s="142"/>
      <c r="E178" s="143"/>
      <c r="F178" s="144"/>
      <c r="G178" s="142"/>
      <c r="H178" s="145"/>
      <c r="I178" s="142"/>
      <c r="J178" s="142"/>
      <c r="K178" s="142"/>
      <c r="L178" s="146"/>
      <c r="M178" s="138"/>
    </row>
    <row r="179" ht="15.75" customHeight="1">
      <c r="A179" s="162"/>
      <c r="B179" s="162"/>
      <c r="C179" s="147"/>
      <c r="D179" s="148"/>
      <c r="E179" s="149"/>
      <c r="F179" s="150"/>
      <c r="G179" s="151"/>
      <c r="H179" s="152"/>
      <c r="I179" s="153"/>
      <c r="J179" s="153"/>
      <c r="K179" s="153"/>
      <c r="L179" s="154"/>
      <c r="M179" s="138"/>
    </row>
    <row r="180" ht="15.75" customHeight="1">
      <c r="A180" s="164"/>
      <c r="B180" s="164"/>
      <c r="C180" s="141"/>
      <c r="D180" s="142"/>
      <c r="E180" s="143"/>
      <c r="F180" s="144"/>
      <c r="G180" s="142"/>
      <c r="H180" s="145"/>
      <c r="I180" s="142"/>
      <c r="J180" s="142"/>
      <c r="K180" s="142"/>
      <c r="L180" s="146"/>
      <c r="M180" s="138"/>
    </row>
    <row r="181" ht="15.75" customHeight="1">
      <c r="A181" s="162"/>
      <c r="B181" s="162"/>
      <c r="C181" s="147"/>
      <c r="D181" s="148"/>
      <c r="E181" s="149"/>
      <c r="F181" s="150"/>
      <c r="G181" s="151"/>
      <c r="H181" s="152"/>
      <c r="I181" s="153"/>
      <c r="J181" s="153"/>
      <c r="K181" s="153"/>
      <c r="L181" s="154"/>
      <c r="M181" s="138"/>
    </row>
    <row r="182" ht="15.75" customHeight="1">
      <c r="A182" s="164"/>
      <c r="B182" s="164"/>
      <c r="C182" s="141"/>
      <c r="D182" s="142"/>
      <c r="E182" s="143"/>
      <c r="F182" s="144"/>
      <c r="G182" s="142"/>
      <c r="H182" s="145"/>
      <c r="I182" s="142"/>
      <c r="J182" s="142"/>
      <c r="K182" s="142"/>
      <c r="L182" s="146"/>
      <c r="M182" s="138"/>
    </row>
    <row r="183" ht="15.75" customHeight="1">
      <c r="A183" s="162"/>
      <c r="B183" s="162"/>
      <c r="C183" s="147"/>
      <c r="D183" s="148"/>
      <c r="E183" s="149"/>
      <c r="F183" s="150"/>
      <c r="G183" s="151"/>
      <c r="H183" s="152"/>
      <c r="I183" s="153"/>
      <c r="J183" s="153"/>
      <c r="K183" s="153"/>
      <c r="L183" s="154"/>
      <c r="M183" s="138"/>
    </row>
    <row r="184" ht="15.75" customHeight="1">
      <c r="A184" s="164"/>
      <c r="B184" s="164"/>
      <c r="C184" s="141"/>
      <c r="D184" s="142"/>
      <c r="E184" s="143"/>
      <c r="F184" s="144"/>
      <c r="G184" s="142"/>
      <c r="H184" s="145"/>
      <c r="I184" s="142"/>
      <c r="J184" s="142"/>
      <c r="K184" s="142"/>
      <c r="L184" s="146"/>
      <c r="M184" s="138"/>
    </row>
    <row r="185" ht="15.75" customHeight="1">
      <c r="A185" s="162"/>
      <c r="B185" s="162"/>
      <c r="C185" s="147"/>
      <c r="D185" s="148"/>
      <c r="E185" s="149"/>
      <c r="F185" s="150"/>
      <c r="G185" s="151"/>
      <c r="H185" s="152"/>
      <c r="I185" s="153"/>
      <c r="J185" s="153"/>
      <c r="K185" s="153"/>
      <c r="L185" s="154"/>
      <c r="M185" s="138"/>
    </row>
    <row r="186" ht="15.75" customHeight="1">
      <c r="A186" s="164"/>
      <c r="B186" s="164"/>
      <c r="C186" s="141"/>
      <c r="D186" s="142"/>
      <c r="E186" s="143"/>
      <c r="F186" s="144"/>
      <c r="G186" s="142"/>
      <c r="H186" s="145"/>
      <c r="I186" s="142"/>
      <c r="J186" s="142"/>
      <c r="K186" s="142"/>
      <c r="L186" s="146"/>
      <c r="M186" s="138"/>
    </row>
    <row r="187" ht="15.75" customHeight="1">
      <c r="A187" s="162"/>
      <c r="B187" s="162"/>
      <c r="C187" s="147"/>
      <c r="D187" s="148"/>
      <c r="E187" s="149"/>
      <c r="F187" s="150"/>
      <c r="G187" s="151"/>
      <c r="H187" s="152"/>
      <c r="I187" s="153"/>
      <c r="J187" s="153"/>
      <c r="K187" s="153"/>
      <c r="L187" s="154"/>
      <c r="M187" s="138"/>
    </row>
    <row r="188" ht="15.75" customHeight="1">
      <c r="A188" s="164"/>
      <c r="B188" s="164"/>
      <c r="C188" s="141"/>
      <c r="D188" s="142"/>
      <c r="E188" s="143"/>
      <c r="F188" s="144"/>
      <c r="G188" s="142"/>
      <c r="H188" s="145"/>
      <c r="I188" s="142"/>
      <c r="J188" s="142"/>
      <c r="K188" s="142"/>
      <c r="L188" s="146"/>
      <c r="M188" s="138"/>
    </row>
    <row r="189" ht="15.75" customHeight="1">
      <c r="A189" s="162"/>
      <c r="B189" s="162"/>
      <c r="C189" s="147"/>
      <c r="D189" s="148"/>
      <c r="E189" s="149"/>
      <c r="F189" s="150"/>
      <c r="G189" s="151"/>
      <c r="H189" s="152"/>
      <c r="I189" s="153"/>
      <c r="J189" s="153"/>
      <c r="K189" s="153"/>
      <c r="L189" s="154"/>
      <c r="M189" s="138"/>
    </row>
    <row r="190" ht="15.75" customHeight="1">
      <c r="A190" s="164"/>
      <c r="B190" s="164"/>
      <c r="C190" s="141"/>
      <c r="D190" s="142"/>
      <c r="E190" s="143"/>
      <c r="F190" s="144"/>
      <c r="G190" s="142"/>
      <c r="H190" s="145"/>
      <c r="I190" s="142"/>
      <c r="J190" s="142"/>
      <c r="K190" s="142"/>
      <c r="L190" s="146"/>
      <c r="M190" s="138"/>
    </row>
    <row r="191" ht="15.75" customHeight="1">
      <c r="A191" s="162"/>
      <c r="B191" s="162"/>
      <c r="C191" s="147"/>
      <c r="D191" s="148"/>
      <c r="E191" s="149"/>
      <c r="F191" s="150"/>
      <c r="G191" s="151"/>
      <c r="H191" s="152"/>
      <c r="I191" s="153"/>
      <c r="J191" s="153"/>
      <c r="K191" s="153"/>
      <c r="L191" s="154"/>
      <c r="M191" s="138"/>
    </row>
    <row r="192" ht="15.75" customHeight="1">
      <c r="A192" s="164"/>
      <c r="B192" s="164"/>
      <c r="C192" s="141"/>
      <c r="D192" s="142"/>
      <c r="E192" s="143"/>
      <c r="F192" s="144"/>
      <c r="G192" s="142"/>
      <c r="H192" s="145"/>
      <c r="I192" s="142"/>
      <c r="J192" s="142"/>
      <c r="K192" s="142"/>
      <c r="L192" s="146"/>
      <c r="M192" s="138"/>
    </row>
    <row r="193" ht="15.75" customHeight="1">
      <c r="A193" s="162"/>
      <c r="B193" s="162"/>
      <c r="C193" s="147"/>
      <c r="D193" s="148"/>
      <c r="E193" s="149"/>
      <c r="F193" s="150"/>
      <c r="G193" s="151"/>
      <c r="H193" s="152"/>
      <c r="I193" s="153"/>
      <c r="J193" s="153"/>
      <c r="K193" s="153"/>
      <c r="L193" s="154"/>
      <c r="M193" s="138"/>
    </row>
    <row r="194" ht="15.75" customHeight="1">
      <c r="A194" s="164"/>
      <c r="B194" s="164"/>
      <c r="C194" s="141"/>
      <c r="D194" s="142"/>
      <c r="E194" s="143"/>
      <c r="F194" s="144"/>
      <c r="G194" s="142"/>
      <c r="H194" s="145"/>
      <c r="I194" s="142"/>
      <c r="J194" s="142"/>
      <c r="K194" s="142"/>
      <c r="L194" s="146"/>
      <c r="M194" s="138"/>
    </row>
    <row r="195" ht="15.75" customHeight="1">
      <c r="A195" s="162"/>
      <c r="B195" s="162"/>
      <c r="C195" s="147"/>
      <c r="D195" s="148"/>
      <c r="E195" s="149"/>
      <c r="F195" s="150"/>
      <c r="G195" s="151"/>
      <c r="H195" s="152"/>
      <c r="I195" s="153"/>
      <c r="J195" s="153"/>
      <c r="K195" s="153"/>
      <c r="L195" s="154"/>
      <c r="M195" s="138"/>
    </row>
    <row r="196" ht="15.75" customHeight="1">
      <c r="A196" s="164"/>
      <c r="B196" s="164"/>
      <c r="C196" s="141"/>
      <c r="D196" s="142"/>
      <c r="E196" s="143"/>
      <c r="F196" s="144"/>
      <c r="G196" s="142"/>
      <c r="H196" s="145"/>
      <c r="I196" s="142"/>
      <c r="J196" s="142"/>
      <c r="K196" s="142"/>
      <c r="L196" s="146"/>
      <c r="M196" s="138"/>
    </row>
    <row r="197" ht="15.75" customHeight="1">
      <c r="A197" s="162"/>
      <c r="B197" s="162"/>
      <c r="C197" s="147"/>
      <c r="D197" s="148"/>
      <c r="E197" s="149"/>
      <c r="F197" s="150"/>
      <c r="G197" s="151"/>
      <c r="H197" s="152"/>
      <c r="I197" s="153"/>
      <c r="J197" s="153"/>
      <c r="K197" s="153"/>
      <c r="L197" s="154"/>
      <c r="M197" s="138"/>
    </row>
    <row r="198" ht="15.75" customHeight="1">
      <c r="A198" s="164"/>
      <c r="B198" s="164"/>
      <c r="C198" s="141"/>
      <c r="D198" s="142"/>
      <c r="E198" s="143"/>
      <c r="F198" s="144"/>
      <c r="G198" s="142"/>
      <c r="H198" s="145"/>
      <c r="I198" s="142"/>
      <c r="J198" s="142"/>
      <c r="K198" s="142"/>
      <c r="L198" s="146"/>
      <c r="M198" s="138"/>
    </row>
    <row r="199" ht="15.75" customHeight="1">
      <c r="A199" s="162"/>
      <c r="B199" s="162"/>
      <c r="C199" s="147"/>
      <c r="D199" s="148"/>
      <c r="E199" s="149"/>
      <c r="F199" s="150"/>
      <c r="G199" s="151"/>
      <c r="H199" s="152"/>
      <c r="I199" s="153"/>
      <c r="J199" s="153"/>
      <c r="K199" s="153"/>
      <c r="L199" s="154"/>
      <c r="M199" s="138"/>
    </row>
    <row r="200" ht="15.75" customHeight="1">
      <c r="A200" s="164"/>
      <c r="B200" s="164"/>
      <c r="C200" s="141"/>
      <c r="D200" s="142"/>
      <c r="E200" s="143"/>
      <c r="F200" s="144"/>
      <c r="G200" s="142"/>
      <c r="H200" s="145"/>
      <c r="I200" s="142"/>
      <c r="J200" s="142"/>
      <c r="K200" s="142"/>
      <c r="L200" s="146"/>
      <c r="M200" s="138"/>
    </row>
    <row r="201" ht="15.75" customHeight="1">
      <c r="A201" s="162"/>
      <c r="B201" s="162"/>
      <c r="C201" s="147"/>
      <c r="D201" s="148"/>
      <c r="E201" s="149"/>
      <c r="F201" s="150"/>
      <c r="G201" s="151"/>
      <c r="H201" s="152"/>
      <c r="I201" s="153"/>
      <c r="J201" s="153"/>
      <c r="K201" s="153"/>
      <c r="L201" s="154"/>
      <c r="M201" s="138"/>
    </row>
    <row r="202" ht="15.75" customHeight="1">
      <c r="A202" s="164"/>
      <c r="B202" s="164"/>
      <c r="C202" s="141"/>
      <c r="D202" s="142"/>
      <c r="E202" s="143"/>
      <c r="F202" s="144"/>
      <c r="G202" s="142"/>
      <c r="H202" s="145"/>
      <c r="I202" s="142"/>
      <c r="J202" s="142"/>
      <c r="K202" s="142"/>
      <c r="L202" s="146"/>
      <c r="M202" s="138"/>
    </row>
    <row r="203" ht="15.75" customHeight="1">
      <c r="A203" s="162"/>
      <c r="B203" s="162"/>
      <c r="C203" s="180"/>
      <c r="D203" s="181"/>
      <c r="E203" s="182"/>
      <c r="F203" s="183"/>
      <c r="G203" s="151"/>
      <c r="H203" s="184"/>
      <c r="I203" s="153"/>
      <c r="J203" s="153"/>
      <c r="K203" s="153"/>
      <c r="L203" s="185"/>
      <c r="M203" s="138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L$203"/>
  <mergeCells count="7">
    <mergeCell ref="A17:B17"/>
    <mergeCell ref="A18:B18"/>
    <mergeCell ref="A19:B19"/>
    <mergeCell ref="A20:B20"/>
    <mergeCell ref="A22:B22"/>
    <mergeCell ref="A23:B23"/>
    <mergeCell ref="A25:B25"/>
  </mergeCells>
  <conditionalFormatting sqref="L29:L31">
    <cfRule type="expression" dxfId="1" priority="1">
      <formula>$W29="ERROR"</formula>
    </cfRule>
  </conditionalFormatting>
  <conditionalFormatting sqref="L29:L31">
    <cfRule type="expression" dxfId="1" priority="2">
      <formula>$X29="NO MATCH"</formula>
    </cfRule>
  </conditionalFormatting>
  <conditionalFormatting sqref="L29:L31">
    <cfRule type="expression" dxfId="2" priority="3">
      <formula>$Y29="Repeat"</formula>
    </cfRule>
  </conditionalFormatting>
  <conditionalFormatting sqref="L29:L31">
    <cfRule type="expression" dxfId="3" priority="4">
      <formula>$M29="QUEST"</formula>
    </cfRule>
  </conditionalFormatting>
  <conditionalFormatting sqref="L29:L31">
    <cfRule type="expression" dxfId="3" priority="5">
      <formula>$M29="SWAB"</formula>
    </cfRule>
  </conditionalFormatting>
  <conditionalFormatting sqref="L29:L31">
    <cfRule type="expression" dxfId="15" priority="6">
      <formula>$U29="UA"</formula>
    </cfRule>
  </conditionalFormatting>
  <conditionalFormatting sqref="L29:L31">
    <cfRule type="expression" dxfId="16" priority="7">
      <formula>$U29="OUTUA-PrRW"</formula>
    </cfRule>
  </conditionalFormatting>
  <conditionalFormatting sqref="L29:L31">
    <cfRule type="expression" dxfId="16" priority="8">
      <formula>$U29="OUT-UAQPre"</formula>
    </cfRule>
  </conditionalFormatting>
  <conditionalFormatting sqref="L29:L31">
    <cfRule type="expression" dxfId="17" priority="9">
      <formula>$U29="UA-Prelim"</formula>
    </cfRule>
  </conditionalFormatting>
  <conditionalFormatting sqref="L29:L31">
    <cfRule type="expression" dxfId="5" priority="10">
      <formula>$U29="UA-NWPT"</formula>
    </cfRule>
  </conditionalFormatting>
  <conditionalFormatting sqref="L29:L31">
    <cfRule type="expression" dxfId="3" priority="11">
      <formula>$U29="OUT-UAQ"</formula>
    </cfRule>
  </conditionalFormatting>
  <conditionalFormatting sqref="L29:L31">
    <cfRule type="expression" dxfId="3" priority="12">
      <formula>$U29="OUTUA-FURW"</formula>
    </cfRule>
  </conditionalFormatting>
  <conditionalFormatting sqref="L29:L31">
    <cfRule type="expression" dxfId="18" priority="13">
      <formula>$U29="OUTSA-SaQu"</formula>
    </cfRule>
  </conditionalFormatting>
  <conditionalFormatting sqref="L29:L31">
    <cfRule type="expression" dxfId="18" priority="14">
      <formula>$U29="OUTSA-RW"</formula>
    </cfRule>
  </conditionalFormatting>
  <conditionalFormatting sqref="C1:L203">
    <cfRule type="containsBlanks" dxfId="23" priority="15">
      <formula>LEN(TRIM(C1))=0</formula>
    </cfRule>
  </conditionalFormatting>
  <conditionalFormatting sqref="C1:L203">
    <cfRule type="notContainsBlanks" dxfId="23" priority="16">
      <formula>LEN(TRIM(C1))&gt;0</formula>
    </cfRule>
  </conditionalFormatting>
  <conditionalFormatting sqref="A1:B203">
    <cfRule type="notContainsBlanks" dxfId="24" priority="17">
      <formula>LEN(TRIM(A1))&gt;0</formula>
    </cfRule>
  </conditionalFormatting>
  <conditionalFormatting sqref="A1:B203">
    <cfRule type="containsBlanks" dxfId="24" priority="18">
      <formula>LEN(TRIM(A1))=0</formula>
    </cfRule>
  </conditionalFormatting>
  <dataValidations>
    <dataValidation type="custom" allowBlank="1" showDropDown="1" showInputMessage="1" showErrorMessage="1" prompt="CAPITALS" sqref="C38">
      <formula1>ISERROR(SEARCH((exact(upper(C:L),C:L)),(C38)))</formula1>
    </dataValidation>
    <dataValidation type="custom" allowBlank="1" showDropDown="1" showInputMessage="1" showErrorMessage="1" prompt="CAPITALS" sqref="D2:D203">
      <formula1>ISERROR(SEARCH((exact(upper(C:L),C:L)),(D2)))</formula1>
    </dataValidation>
    <dataValidation type="custom" allowBlank="1" showDropDown="1" showInputMessage="1" showErrorMessage="1" prompt="CAPITALS" sqref="E2:E203">
      <formula1>ISERROR(SEARCH((exact(upper(F:O),F:O)),(E2)))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8.88"/>
    <col customWidth="1" min="3" max="3" width="6.88"/>
    <col customWidth="1" min="4" max="4" width="6.38"/>
    <col customWidth="1" min="5" max="6" width="9.88"/>
    <col customWidth="1" min="7" max="7" width="6.38"/>
    <col customWidth="1" min="8" max="9" width="6.13"/>
    <col customWidth="1" min="11" max="11" width="6.5"/>
    <col customWidth="1" min="12" max="15" width="7.38"/>
    <col customWidth="1" min="16" max="16" width="7.5"/>
    <col customWidth="1" hidden="1" min="17" max="17" width="5.5"/>
    <col customWidth="1" hidden="1" min="18" max="18" width="14.63"/>
    <col customWidth="1" min="19" max="19" width="26.13"/>
    <col customWidth="1" min="20" max="20" width="14.63"/>
  </cols>
  <sheetData>
    <row r="1" ht="29.25" customHeight="1">
      <c r="A1" s="186" t="s">
        <v>6571</v>
      </c>
      <c r="B1" s="186" t="s">
        <v>33</v>
      </c>
      <c r="C1" s="187" t="s">
        <v>6510</v>
      </c>
      <c r="D1" s="188" t="s">
        <v>6572</v>
      </c>
      <c r="E1" s="189" t="s">
        <v>6573</v>
      </c>
      <c r="F1" s="190" t="s">
        <v>6574</v>
      </c>
      <c r="G1" s="186" t="s">
        <v>6575</v>
      </c>
      <c r="H1" s="191"/>
      <c r="I1" s="192"/>
      <c r="J1" s="193"/>
      <c r="K1" s="194" t="s">
        <v>6572</v>
      </c>
      <c r="L1" s="195"/>
      <c r="M1" s="195"/>
      <c r="N1" s="195"/>
      <c r="O1" s="196"/>
      <c r="P1" s="192"/>
      <c r="Q1" s="186" t="s">
        <v>6576</v>
      </c>
      <c r="R1" s="197"/>
      <c r="S1" s="198" t="s">
        <v>6577</v>
      </c>
      <c r="T1" s="197" t="s">
        <v>6574</v>
      </c>
    </row>
    <row r="2" ht="29.25" customHeight="1">
      <c r="A2" s="199" t="s">
        <v>6578</v>
      </c>
      <c r="B2" s="200" t="str">
        <f>ERRATA!A2</f>
        <v>DM</v>
      </c>
      <c r="C2" s="201">
        <f>VLOOKUP(B2,ERRATA!A:B,2,0)</f>
        <v>0</v>
      </c>
      <c r="D2" s="202" t="str">
        <f t="shared" ref="D2:D6" si="1">1-($C2/$C$8)</f>
        <v>#DIV/0!</v>
      </c>
      <c r="E2" s="203" t="str">
        <f t="shared" ref="E2:E6" si="2">$D2/MAX($D$2:$D$6)</f>
        <v>#DIV/0!</v>
      </c>
      <c r="F2" s="204" t="str">
        <f>VLOOKUP($B2, ERRATA!$A$26:$B$30,2,0)</f>
        <v>#DIV/0!</v>
      </c>
      <c r="G2" s="200">
        <f t="shared" ref="G2:G6" si="3">($C2-$C$9)^2</f>
        <v>0</v>
      </c>
      <c r="H2" s="191"/>
      <c r="I2" s="192"/>
      <c r="J2" s="193"/>
      <c r="K2" s="205">
        <v>5.0</v>
      </c>
      <c r="L2" s="205">
        <v>4.0</v>
      </c>
      <c r="M2" s="205">
        <v>3.0</v>
      </c>
      <c r="N2" s="205">
        <v>2.0</v>
      </c>
      <c r="O2" s="205">
        <v>1.0</v>
      </c>
      <c r="P2" s="192"/>
      <c r="Q2" s="200" t="str">
        <f t="shared" ref="Q2:Q5" si="4">$C2-$C$9/$G2</f>
        <v>#DIV/0!</v>
      </c>
      <c r="R2" s="197"/>
      <c r="S2" s="198" t="s">
        <v>6579</v>
      </c>
      <c r="T2" s="197" t="str">
        <f>IFS(K4=0,28,K4&lt;&gt;0, $S$3/K4)</f>
        <v>#DIV/0!</v>
      </c>
    </row>
    <row r="3" ht="29.25" customHeight="1">
      <c r="A3" s="206"/>
      <c r="B3" s="200" t="str">
        <f>ERRATA!A3</f>
        <v>CH</v>
      </c>
      <c r="C3" s="207">
        <f>VLOOKUP(B3,ERRATA!A:B,2,0)</f>
        <v>0</v>
      </c>
      <c r="D3" s="208" t="str">
        <f t="shared" si="1"/>
        <v>#DIV/0!</v>
      </c>
      <c r="E3" s="203" t="str">
        <f t="shared" si="2"/>
        <v>#DIV/0!</v>
      </c>
      <c r="F3" s="204" t="str">
        <f>VLOOKUP($B3, ERRATA!$A$26:$B$30,2,0)</f>
        <v>#DIV/0!</v>
      </c>
      <c r="G3" s="209">
        <f t="shared" si="3"/>
        <v>0</v>
      </c>
      <c r="H3" s="191"/>
      <c r="I3" s="192"/>
      <c r="J3" s="205" t="s">
        <v>6580</v>
      </c>
      <c r="K3" s="205" t="s">
        <v>6581</v>
      </c>
      <c r="L3" s="205" t="s">
        <v>6582</v>
      </c>
      <c r="M3" s="205" t="s">
        <v>6576</v>
      </c>
      <c r="N3" s="205" t="s">
        <v>6583</v>
      </c>
      <c r="O3" s="205" t="s">
        <v>6584</v>
      </c>
      <c r="P3" s="192"/>
      <c r="Q3" s="209" t="str">
        <f t="shared" si="4"/>
        <v>#DIV/0!</v>
      </c>
      <c r="R3" s="210">
        <v>44567.0</v>
      </c>
      <c r="S3" s="198">
        <f>R4-R3</f>
        <v>1198</v>
      </c>
      <c r="T3" s="197" t="str">
        <f>$S$3/L4</f>
        <v>#DIV/0!</v>
      </c>
    </row>
    <row r="4" ht="29.25" customHeight="1">
      <c r="A4" s="206"/>
      <c r="B4" s="200" t="str">
        <f>ERRATA!A4</f>
        <v>LM</v>
      </c>
      <c r="C4" s="207">
        <f>VLOOKUP(B4,ERRATA!A:B,2,0)</f>
        <v>0</v>
      </c>
      <c r="D4" s="208" t="str">
        <f t="shared" si="1"/>
        <v>#DIV/0!</v>
      </c>
      <c r="E4" s="203" t="str">
        <f t="shared" si="2"/>
        <v>#DIV/0!</v>
      </c>
      <c r="F4" s="204" t="str">
        <f>VLOOKUP($B4, ERRATA!$A$26:$B$30,2,0)</f>
        <v>#DIV/0!</v>
      </c>
      <c r="G4" s="209">
        <f t="shared" si="3"/>
        <v>0</v>
      </c>
      <c r="H4" s="191"/>
      <c r="I4" s="192"/>
      <c r="J4" s="205" t="s">
        <v>6585</v>
      </c>
      <c r="K4" s="211" t="b">
        <f>IF(($L$4-$G$10)&lt;0,0)</f>
        <v>0</v>
      </c>
      <c r="L4" s="212">
        <f>$M$4-$G$10</f>
        <v>0</v>
      </c>
      <c r="M4" s="213">
        <f>C9</f>
        <v>0</v>
      </c>
      <c r="N4" s="212">
        <f>$M$4+$G$10</f>
        <v>0</v>
      </c>
      <c r="O4" s="212">
        <f>$N$4+$G$10</f>
        <v>0</v>
      </c>
      <c r="P4" s="192"/>
      <c r="Q4" s="209" t="str">
        <f t="shared" si="4"/>
        <v>#DIV/0!</v>
      </c>
      <c r="R4" s="214">
        <f>TODAY()</f>
        <v>45765</v>
      </c>
      <c r="S4" s="198" t="s">
        <v>6586</v>
      </c>
      <c r="T4" s="197" t="str">
        <f>$S$3/M4</f>
        <v>#DIV/0!</v>
      </c>
    </row>
    <row r="5" ht="29.25" customHeight="1">
      <c r="A5" s="206"/>
      <c r="B5" s="200" t="str">
        <f>ERRATA!A5</f>
        <v>DA</v>
      </c>
      <c r="C5" s="207">
        <f>VLOOKUP(B5,ERRATA!A:B,2,0)</f>
        <v>0</v>
      </c>
      <c r="D5" s="208" t="str">
        <f t="shared" si="1"/>
        <v>#DIV/0!</v>
      </c>
      <c r="E5" s="203" t="str">
        <f t="shared" si="2"/>
        <v>#DIV/0!</v>
      </c>
      <c r="F5" s="204" t="str">
        <f>VLOOKUP($B5, ERRATA!$A$26:$B$30,2,0)</f>
        <v>#DIV/0!</v>
      </c>
      <c r="G5" s="209">
        <f t="shared" si="3"/>
        <v>0</v>
      </c>
      <c r="H5" s="191"/>
      <c r="I5" s="192"/>
      <c r="J5" s="215" t="s">
        <v>6</v>
      </c>
      <c r="K5" s="216" t="str">
        <f t="shared" ref="K5:K9" si="5">IFS(VLOOKUP($J5, $B$1:$C$6,2,0)&lt;$K$4,"X",VLOOKUP($J5, $B$1:$C$6,2,0)&gt;$K$4,"")</f>
        <v>X</v>
      </c>
      <c r="L5" s="216" t="str">
        <f t="shared" ref="L5:L9" si="6">IFS(and(VLOOKUP($J5, $B$1:$C$6,2,0)&lt;$L$4,VLOOKUP($J5, $B$1:$C$6,2,0)&gt;$K$4),"X",OR(VLOOKUP($J5, $B$1:$C$6,2,0)&gt;$L$4,VLOOKUP($J5, $B$1:$C$6,2,0)&lt;$K$4),"")</f>
        <v/>
      </c>
      <c r="M5" s="216" t="str">
        <f t="shared" ref="M5:M9" si="7">IFS(and(VLOOKUP($J5, $B$1:$C$6,2,0)&gt;$L$4,VLOOKUP($J5, $B$1:$C$6,2,0)&lt;$N$4),"X",or(VLOOKUP($J5, $B$1:$C$6,2,0)&lt;$L$4,VLOOKUP($J5, $B$1:$C$6,2,0)&gt;$N$4),"")</f>
        <v>#N/A</v>
      </c>
      <c r="N5" s="216" t="str">
        <f t="shared" ref="N5:N9" si="8">IFS(and(VLOOKUP($J5, $B$1:$C$6,2,0)&gt;$N$4,VLOOKUP($J5, $B$1:$C$6,2,0)&lt;$O$4),"X",or(VLOOKUP($J5, $B$1:$C$6,2,0)&lt;$N$4,VLOOKUP($J5, $B$1:$C$6,2,0)&gt;$O$4),"")</f>
        <v>#N/A</v>
      </c>
      <c r="O5" s="216" t="str">
        <f t="shared" ref="O5:O9" si="9">IFS(VLOOKUP($J5, $B$1:$C$6,2,0)&gt;$O$4,"X",VLOOKUP($J5, $B$1:$C$6,2,0)&lt;$O$4,"")</f>
        <v>#N/A</v>
      </c>
      <c r="P5" s="192"/>
      <c r="Q5" s="209" t="str">
        <f t="shared" si="4"/>
        <v>#DIV/0!</v>
      </c>
      <c r="R5" s="197"/>
      <c r="S5" s="198" t="s">
        <v>6587</v>
      </c>
      <c r="T5" s="197" t="str">
        <f>$S$3/N4</f>
        <v>#DIV/0!</v>
      </c>
    </row>
    <row r="6" ht="29.25" customHeight="1">
      <c r="A6" s="206"/>
      <c r="B6" s="200" t="str">
        <f>ERRATA!A6</f>
        <v>JA</v>
      </c>
      <c r="C6" s="207">
        <f>VLOOKUP(B6,ERRATA!A:B,2,0)</f>
        <v>0</v>
      </c>
      <c r="D6" s="208" t="str">
        <f t="shared" si="1"/>
        <v>#DIV/0!</v>
      </c>
      <c r="E6" s="203" t="str">
        <f t="shared" si="2"/>
        <v>#DIV/0!</v>
      </c>
      <c r="F6" s="204" t="str">
        <f>VLOOKUP($B6, ERRATA!$A$26:$B$30,2,0)</f>
        <v>#DIV/0!</v>
      </c>
      <c r="G6" s="209">
        <f t="shared" si="3"/>
        <v>0</v>
      </c>
      <c r="H6" s="191"/>
      <c r="I6" s="192"/>
      <c r="J6" s="205" t="s">
        <v>6558</v>
      </c>
      <c r="K6" s="216" t="str">
        <f t="shared" si="5"/>
        <v>X</v>
      </c>
      <c r="L6" s="216" t="str">
        <f t="shared" si="6"/>
        <v/>
      </c>
      <c r="M6" s="216" t="str">
        <f t="shared" si="7"/>
        <v>#N/A</v>
      </c>
      <c r="N6" s="216" t="str">
        <f t="shared" si="8"/>
        <v>#N/A</v>
      </c>
      <c r="O6" s="216" t="str">
        <f t="shared" si="9"/>
        <v>#N/A</v>
      </c>
      <c r="P6" s="192"/>
      <c r="Q6" s="209"/>
      <c r="R6" s="197"/>
      <c r="S6" s="198" t="s">
        <v>6588</v>
      </c>
      <c r="T6" s="197" t="str">
        <f>$S$3/O4</f>
        <v>#DIV/0!</v>
      </c>
    </row>
    <row r="7" ht="29.25" customHeight="1">
      <c r="A7" s="206"/>
      <c r="B7" s="217"/>
      <c r="C7" s="218"/>
      <c r="D7" s="219"/>
      <c r="E7" s="220" t="s">
        <v>6564</v>
      </c>
      <c r="F7" s="221" t="str">
        <f>AVERAGE(F2:F6)</f>
        <v>#DIV/0!</v>
      </c>
      <c r="G7" s="217"/>
      <c r="H7" s="191"/>
      <c r="I7" s="192"/>
      <c r="J7" s="205" t="s">
        <v>6561</v>
      </c>
      <c r="K7" s="216" t="str">
        <f t="shared" si="5"/>
        <v>X</v>
      </c>
      <c r="L7" s="216" t="str">
        <f t="shared" si="6"/>
        <v/>
      </c>
      <c r="M7" s="216" t="str">
        <f t="shared" si="7"/>
        <v>#N/A</v>
      </c>
      <c r="N7" s="216" t="str">
        <f t="shared" si="8"/>
        <v>#N/A</v>
      </c>
      <c r="O7" s="216" t="str">
        <f t="shared" si="9"/>
        <v>#N/A</v>
      </c>
      <c r="P7" s="192"/>
      <c r="Q7" s="209"/>
      <c r="R7" s="197"/>
      <c r="S7" s="222" t="str">
        <f>T5</f>
        <v>#DIV/0!</v>
      </c>
      <c r="T7" s="197"/>
    </row>
    <row r="8" ht="29.25" customHeight="1">
      <c r="A8" s="223"/>
      <c r="B8" s="224" t="s">
        <v>6565</v>
      </c>
      <c r="C8" s="207">
        <f>VLOOKUP(B8,ERRATA!A:B,2,0)</f>
        <v>0</v>
      </c>
      <c r="D8" s="208"/>
      <c r="E8" s="225" t="s">
        <v>6589</v>
      </c>
      <c r="F8" s="226">
        <f>C8/S3</f>
        <v>0</v>
      </c>
      <c r="G8" s="209">
        <f>sum(G2:G6)</f>
        <v>0</v>
      </c>
      <c r="H8" s="191"/>
      <c r="I8" s="192"/>
      <c r="J8" s="205" t="s">
        <v>6562</v>
      </c>
      <c r="K8" s="216" t="str">
        <f t="shared" si="5"/>
        <v>X</v>
      </c>
      <c r="L8" s="216" t="str">
        <f t="shared" si="6"/>
        <v/>
      </c>
      <c r="M8" s="216" t="str">
        <f t="shared" si="7"/>
        <v>#N/A</v>
      </c>
      <c r="N8" s="216" t="str">
        <f t="shared" si="8"/>
        <v>#N/A</v>
      </c>
      <c r="O8" s="216" t="str">
        <f t="shared" si="9"/>
        <v>#N/A</v>
      </c>
      <c r="P8" s="192"/>
      <c r="Q8" s="227"/>
      <c r="R8" s="197"/>
      <c r="T8" s="197"/>
    </row>
    <row r="9" ht="29.25" customHeight="1">
      <c r="A9" s="228"/>
      <c r="B9" s="229" t="s">
        <v>6590</v>
      </c>
      <c r="C9" s="230">
        <f>AVERAGE(C2:C5)</f>
        <v>0</v>
      </c>
      <c r="D9" s="231"/>
      <c r="E9" s="225" t="s">
        <v>6591</v>
      </c>
      <c r="F9" s="226" t="str">
        <f>SUM(F2:F6)</f>
        <v>#DIV/0!</v>
      </c>
      <c r="G9" s="232"/>
      <c r="H9" s="191"/>
      <c r="I9" s="192"/>
      <c r="J9" s="205" t="s">
        <v>6560</v>
      </c>
      <c r="K9" s="216" t="str">
        <f t="shared" si="5"/>
        <v>X</v>
      </c>
      <c r="L9" s="216" t="str">
        <f t="shared" si="6"/>
        <v/>
      </c>
      <c r="M9" s="216" t="str">
        <f t="shared" si="7"/>
        <v>#N/A</v>
      </c>
      <c r="N9" s="216" t="str">
        <f t="shared" si="8"/>
        <v>#N/A</v>
      </c>
      <c r="O9" s="216" t="str">
        <f t="shared" si="9"/>
        <v>#N/A</v>
      </c>
      <c r="P9" s="192"/>
      <c r="Q9" s="233"/>
      <c r="R9" s="197"/>
      <c r="T9" s="197"/>
    </row>
    <row r="10" ht="29.25" customHeight="1">
      <c r="A10" s="234"/>
      <c r="B10" s="186" t="s">
        <v>6575</v>
      </c>
      <c r="C10" s="187"/>
      <c r="D10" s="188"/>
      <c r="E10" s="189"/>
      <c r="F10" s="186" t="str">
        <f>(F9/C12)^(1/2)</f>
        <v>#DIV/0!</v>
      </c>
      <c r="G10" s="235">
        <f>(G8/C12)^(1/2)</f>
        <v>0</v>
      </c>
      <c r="H10" s="191"/>
      <c r="I10" s="192"/>
      <c r="J10" s="236" t="str">
        <f>T1</f>
        <v>ERROR FREQ (DAYS)</v>
      </c>
      <c r="K10" s="236" t="str">
        <f>T2</f>
        <v>#DIV/0!</v>
      </c>
      <c r="L10" s="236" t="str">
        <f>T3</f>
        <v>#DIV/0!</v>
      </c>
      <c r="M10" s="236" t="str">
        <f>T4</f>
        <v>#DIV/0!</v>
      </c>
      <c r="N10" s="236" t="str">
        <f>T5</f>
        <v>#DIV/0!</v>
      </c>
      <c r="O10" s="236" t="str">
        <f>T6</f>
        <v>#DIV/0!</v>
      </c>
      <c r="P10" s="192"/>
      <c r="Q10" s="234"/>
      <c r="R10" s="197"/>
      <c r="S10" s="237"/>
      <c r="T10" s="197"/>
    </row>
    <row r="11" ht="29.25" customHeight="1">
      <c r="A11" s="234"/>
      <c r="B11" s="234"/>
      <c r="C11" s="234"/>
      <c r="D11" s="234"/>
      <c r="E11" s="234"/>
      <c r="F11" s="238"/>
      <c r="G11" s="234"/>
      <c r="H11" s="191"/>
      <c r="I11" s="192"/>
      <c r="J11" s="192"/>
      <c r="K11" s="192"/>
      <c r="L11" s="192"/>
      <c r="M11" s="192"/>
      <c r="N11" s="192"/>
      <c r="O11" s="192"/>
      <c r="P11" s="192"/>
      <c r="Q11" s="234"/>
      <c r="R11" s="197"/>
      <c r="S11" s="237"/>
      <c r="T11" s="197"/>
    </row>
    <row r="12" ht="29.25" customHeight="1">
      <c r="A12" s="234"/>
      <c r="B12" s="239" t="s">
        <v>6592</v>
      </c>
      <c r="C12" s="239">
        <f>IFERROR(__xludf.DUMMYFUNCTION("COUNTUNIQUE(B2:B5)"),4.0)</f>
        <v>4</v>
      </c>
      <c r="D12" s="234"/>
      <c r="E12" s="234"/>
      <c r="F12" s="238"/>
      <c r="G12" s="234"/>
      <c r="H12" s="191"/>
      <c r="I12" s="192"/>
      <c r="J12" s="192"/>
      <c r="K12" s="192"/>
      <c r="L12" s="192"/>
      <c r="M12" s="192"/>
      <c r="N12" s="192"/>
      <c r="O12" s="192"/>
      <c r="P12" s="192"/>
      <c r="Q12" s="234"/>
      <c r="R12" s="197"/>
      <c r="S12" s="237"/>
      <c r="T12" s="197"/>
    </row>
    <row r="13" ht="29.25" customHeight="1">
      <c r="A13" s="234"/>
      <c r="B13" s="234"/>
      <c r="C13" s="234"/>
      <c r="D13" s="234"/>
      <c r="E13" s="234"/>
      <c r="F13" s="238"/>
      <c r="G13" s="234"/>
      <c r="H13" s="191"/>
      <c r="I13" s="192"/>
      <c r="J13" s="192"/>
      <c r="K13" s="192"/>
      <c r="L13" s="192"/>
      <c r="M13" s="192"/>
      <c r="N13" s="192"/>
      <c r="O13" s="192"/>
      <c r="P13" s="192"/>
      <c r="Q13" s="234"/>
      <c r="R13" s="197"/>
      <c r="S13" s="237"/>
      <c r="T13" s="197"/>
    </row>
    <row r="14" ht="29.25" customHeight="1">
      <c r="A14" s="234"/>
      <c r="B14" s="234"/>
      <c r="C14" s="234"/>
      <c r="D14" s="234"/>
      <c r="E14" s="234"/>
      <c r="F14" s="238"/>
      <c r="G14" s="234"/>
      <c r="H14" s="191"/>
      <c r="I14" s="192"/>
      <c r="J14" s="192"/>
      <c r="K14" s="192"/>
      <c r="L14" s="192"/>
      <c r="M14" s="192"/>
      <c r="N14" s="192"/>
      <c r="O14" s="192"/>
      <c r="P14" s="192"/>
      <c r="Q14" s="234"/>
      <c r="R14" s="197"/>
      <c r="S14" s="237"/>
      <c r="T14" s="197"/>
    </row>
    <row r="15" ht="29.25" customHeight="1">
      <c r="A15" s="234"/>
      <c r="B15" s="234"/>
      <c r="C15" s="234"/>
      <c r="D15" s="234"/>
      <c r="E15" s="234"/>
      <c r="F15" s="238"/>
      <c r="G15" s="234"/>
      <c r="H15" s="191"/>
      <c r="I15" s="192"/>
      <c r="J15" s="192"/>
      <c r="K15" s="192"/>
      <c r="L15" s="192"/>
      <c r="M15" s="192"/>
      <c r="N15" s="192"/>
      <c r="O15" s="192"/>
      <c r="P15" s="192"/>
      <c r="Q15" s="234"/>
      <c r="R15" s="197"/>
      <c r="S15" s="237"/>
      <c r="T15" s="19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1:O1"/>
    <mergeCell ref="A2:A8"/>
  </mergeCells>
  <conditionalFormatting sqref="G10">
    <cfRule type="cellIs" dxfId="1" priority="1" operator="greaterThanOrEqual">
      <formula>3.9</formula>
    </cfRule>
  </conditionalFormatting>
  <conditionalFormatting sqref="K5:O9">
    <cfRule type="containsBlanks" dxfId="25" priority="2">
      <formula>LEN(TRIM(K5))=0</formula>
    </cfRule>
  </conditionalFormatting>
  <conditionalFormatting sqref="Q9">
    <cfRule type="cellIs" dxfId="26" priority="3" operator="greaterThan">
      <formula>3</formula>
    </cfRule>
  </conditionalFormatting>
  <conditionalFormatting sqref="F1:F7 F10:F15">
    <cfRule type="cellIs" dxfId="1" priority="4" operator="lessThanOrEqual">
      <formula>$T$5</formula>
    </cfRule>
  </conditionalFormatting>
  <conditionalFormatting sqref="F1:F7 F10:F15">
    <cfRule type="cellIs" dxfId="12" priority="5" operator="lessThan">
      <formula>$T$3</formula>
    </cfRule>
  </conditionalFormatting>
  <conditionalFormatting sqref="F1:F7 F10:F15">
    <cfRule type="cellIs" dxfId="3" priority="6" operator="greaterThan">
      <formula>$T$3</formula>
    </cfRule>
  </conditionalFormatting>
  <printOptions horizontalCentered="1"/>
  <pageMargins bottom="0.75" footer="0.0" header="0.0" left="0.7" right="0.7" top="0.75"/>
  <pageSetup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25.75"/>
    <col customWidth="1" min="3" max="3" width="8.13"/>
    <col customWidth="1" min="4" max="4" width="1.88"/>
    <col customWidth="1" min="5" max="5" width="8.5"/>
    <col customWidth="1" min="6" max="6" width="9.38"/>
    <col customWidth="1" min="7" max="7" width="12.63"/>
    <col customWidth="1" min="8" max="8" width="9.75"/>
    <col customWidth="1" min="9" max="9" width="11.38"/>
    <col customWidth="1" min="10" max="10" width="37.25"/>
    <col customWidth="1" min="11" max="11" width="9.75"/>
    <col customWidth="1" min="12" max="12" width="12.5"/>
    <col customWidth="1" min="13" max="13" width="9.13"/>
    <col customWidth="1" min="14" max="14" width="8.63"/>
    <col customWidth="1" min="15" max="15" width="1.88"/>
    <col customWidth="1" hidden="1" min="16" max="21" width="24.38"/>
    <col customWidth="1" min="22" max="22" width="15.5"/>
    <col customWidth="1" hidden="1" min="23" max="26" width="24.38"/>
    <col customWidth="1" min="27" max="27" width="24.38"/>
  </cols>
  <sheetData>
    <row r="1" ht="15.75" customHeight="1">
      <c r="A1" s="44" t="s">
        <v>6554</v>
      </c>
      <c r="B1" s="44" t="s">
        <v>33</v>
      </c>
      <c r="C1" s="116" t="s">
        <v>6496</v>
      </c>
      <c r="D1" s="117"/>
      <c r="E1" s="44" t="s">
        <v>34</v>
      </c>
      <c r="F1" s="44" t="s">
        <v>3</v>
      </c>
      <c r="G1" s="118" t="s">
        <v>6367</v>
      </c>
      <c r="H1" s="44" t="s">
        <v>1</v>
      </c>
      <c r="I1" s="44" t="s">
        <v>6499</v>
      </c>
      <c r="J1" s="44" t="s">
        <v>6425</v>
      </c>
      <c r="K1" s="118" t="s">
        <v>6555</v>
      </c>
      <c r="L1" s="118" t="s">
        <v>6556</v>
      </c>
      <c r="M1" s="118" t="s">
        <v>6557</v>
      </c>
      <c r="N1" s="119" t="s">
        <v>6503</v>
      </c>
      <c r="O1" s="117"/>
      <c r="P1" s="44" t="s">
        <v>6478</v>
      </c>
      <c r="Q1" s="118" t="s">
        <v>6504</v>
      </c>
      <c r="R1" s="118" t="s">
        <v>6422</v>
      </c>
      <c r="S1" s="118" t="s">
        <v>6424</v>
      </c>
      <c r="T1" s="118" t="s">
        <v>6437</v>
      </c>
      <c r="U1" s="44"/>
      <c r="V1" s="53" t="s">
        <v>6505</v>
      </c>
      <c r="W1" s="44"/>
      <c r="X1" s="44"/>
      <c r="Y1" s="118" t="s">
        <v>6506</v>
      </c>
      <c r="Z1" s="119"/>
      <c r="AA1" s="120"/>
    </row>
    <row r="2" ht="15.75" customHeight="1">
      <c r="A2" s="76" t="s">
        <v>6593</v>
      </c>
      <c r="B2" s="76" t="s">
        <v>3937</v>
      </c>
      <c r="C2" s="77">
        <v>15555.0</v>
      </c>
      <c r="D2" s="121" t="s">
        <v>6594</v>
      </c>
      <c r="E2" s="79">
        <v>20542.0</v>
      </c>
      <c r="F2" s="80">
        <v>44613.0</v>
      </c>
      <c r="G2" s="81">
        <v>0.3229166666666667</v>
      </c>
      <c r="H2" s="83" t="s">
        <v>6562</v>
      </c>
      <c r="I2" s="122" t="s">
        <v>6529</v>
      </c>
      <c r="J2" s="85" t="s">
        <v>6427</v>
      </c>
      <c r="K2" s="86"/>
      <c r="L2" s="86" t="s">
        <v>6559</v>
      </c>
      <c r="M2" s="86" t="s">
        <v>6559</v>
      </c>
      <c r="N2" s="86"/>
      <c r="O2" s="121" t="s">
        <v>6594</v>
      </c>
      <c r="P2" s="79" t="e">
        <v>#VALUE!</v>
      </c>
      <c r="Q2" s="123" t="e">
        <v>#VALUE!</v>
      </c>
      <c r="R2" s="124" t="e">
        <v>#VALUE!</v>
      </c>
      <c r="S2" s="125" t="e">
        <v>#VALUE!</v>
      </c>
      <c r="T2" s="125" t="e">
        <v>#VALUE!</v>
      </c>
      <c r="U2" s="83">
        <v>0.0</v>
      </c>
      <c r="V2" s="88" t="s">
        <v>6519</v>
      </c>
      <c r="W2" s="126" t="s">
        <v>6595</v>
      </c>
      <c r="X2" s="122" t="s">
        <v>6595</v>
      </c>
      <c r="Y2" s="122" t="s">
        <v>6596</v>
      </c>
      <c r="Z2" s="86" t="s">
        <v>6597</v>
      </c>
      <c r="AA2" s="71"/>
    </row>
    <row r="3" ht="15.75" customHeight="1">
      <c r="A3" s="56" t="s">
        <v>6598</v>
      </c>
      <c r="B3" s="56" t="s">
        <v>6184</v>
      </c>
      <c r="C3" s="57">
        <v>18144.0</v>
      </c>
      <c r="D3" s="127" t="s">
        <v>6594</v>
      </c>
      <c r="E3" s="59">
        <v>19469.0</v>
      </c>
      <c r="F3" s="80">
        <v>44613.0</v>
      </c>
      <c r="G3" s="61">
        <v>0.34375</v>
      </c>
      <c r="H3" s="83" t="s">
        <v>6561</v>
      </c>
      <c r="I3" s="64" t="s">
        <v>6527</v>
      </c>
      <c r="J3" s="65" t="s">
        <v>6374</v>
      </c>
      <c r="K3" s="66" t="s">
        <v>6559</v>
      </c>
      <c r="L3" s="66"/>
      <c r="M3" s="66"/>
      <c r="N3" s="66"/>
      <c r="O3" s="127" t="s">
        <v>6594</v>
      </c>
      <c r="P3" s="59" t="e">
        <v>#VALUE!</v>
      </c>
      <c r="Q3" s="67" t="e">
        <v>#VALUE!</v>
      </c>
      <c r="R3" s="68" t="e">
        <v>#VALUE!</v>
      </c>
      <c r="S3" s="62" t="e">
        <v>#VALUE!</v>
      </c>
      <c r="T3" s="62" t="e">
        <v>#VALUE!</v>
      </c>
      <c r="U3" s="63">
        <v>0.0</v>
      </c>
      <c r="V3" s="69" t="s">
        <v>6525</v>
      </c>
      <c r="W3" s="70" t="s">
        <v>6599</v>
      </c>
      <c r="X3" s="64" t="s">
        <v>6599</v>
      </c>
      <c r="Y3" s="64" t="s">
        <v>6596</v>
      </c>
      <c r="Z3" s="66" t="s">
        <v>6597</v>
      </c>
      <c r="AA3" s="71"/>
    </row>
    <row r="4" ht="15.75" customHeight="1">
      <c r="A4" s="56" t="s">
        <v>6600</v>
      </c>
      <c r="B4" s="56" t="s">
        <v>1715</v>
      </c>
      <c r="C4" s="57">
        <v>12795.0</v>
      </c>
      <c r="D4" s="127" t="s">
        <v>6594</v>
      </c>
      <c r="E4" s="59">
        <v>25954.0</v>
      </c>
      <c r="F4" s="80">
        <v>44613.0</v>
      </c>
      <c r="G4" s="61">
        <v>0.3541666666666667</v>
      </c>
      <c r="H4" s="83" t="s">
        <v>6558</v>
      </c>
      <c r="I4" s="64" t="s">
        <v>6521</v>
      </c>
      <c r="J4" s="65" t="s">
        <v>6489</v>
      </c>
      <c r="K4" s="66"/>
      <c r="L4" s="66" t="s">
        <v>6559</v>
      </c>
      <c r="M4" s="66" t="s">
        <v>6559</v>
      </c>
      <c r="N4" s="66"/>
      <c r="O4" s="127" t="s">
        <v>6594</v>
      </c>
      <c r="P4" s="59" t="e">
        <v>#VALUE!</v>
      </c>
      <c r="Q4" s="67" t="e">
        <v>#VALUE!</v>
      </c>
      <c r="R4" s="68" t="e">
        <v>#VALUE!</v>
      </c>
      <c r="S4" s="62" t="e">
        <v>#VALUE!</v>
      </c>
      <c r="T4" s="62" t="e">
        <v>#VALUE!</v>
      </c>
      <c r="U4" s="63">
        <v>0.0</v>
      </c>
      <c r="V4" s="69" t="s">
        <v>6519</v>
      </c>
      <c r="W4" s="70" t="s">
        <v>6595</v>
      </c>
      <c r="X4" s="64" t="s">
        <v>6595</v>
      </c>
      <c r="Y4" s="64" t="s">
        <v>6596</v>
      </c>
      <c r="Z4" s="66" t="s">
        <v>6597</v>
      </c>
      <c r="AA4" s="71"/>
    </row>
    <row r="5" ht="15.75" customHeight="1">
      <c r="A5" s="56" t="s">
        <v>6601</v>
      </c>
      <c r="B5" s="56" t="s">
        <v>3785</v>
      </c>
      <c r="C5" s="57">
        <v>15379.0</v>
      </c>
      <c r="D5" s="127" t="s">
        <v>6594</v>
      </c>
      <c r="E5" s="59">
        <v>17858.0</v>
      </c>
      <c r="F5" s="80">
        <v>44613.0</v>
      </c>
      <c r="G5" s="61">
        <v>0.3541666666666667</v>
      </c>
      <c r="H5" s="83" t="s">
        <v>6560</v>
      </c>
      <c r="I5" s="64" t="s">
        <v>6524</v>
      </c>
      <c r="J5" s="65" t="s">
        <v>6375</v>
      </c>
      <c r="K5" s="66"/>
      <c r="L5" s="66" t="s">
        <v>6559</v>
      </c>
      <c r="M5" s="66"/>
      <c r="N5" s="66"/>
      <c r="O5" s="127" t="s">
        <v>6594</v>
      </c>
      <c r="P5" s="59" t="e">
        <v>#VALUE!</v>
      </c>
      <c r="Q5" s="67" t="e">
        <v>#VALUE!</v>
      </c>
      <c r="R5" s="68" t="e">
        <v>#VALUE!</v>
      </c>
      <c r="S5" s="62" t="e">
        <v>#VALUE!</v>
      </c>
      <c r="T5" s="62" t="e">
        <v>#VALUE!</v>
      </c>
      <c r="U5" s="63">
        <v>0.0</v>
      </c>
      <c r="V5" s="69" t="s">
        <v>6523</v>
      </c>
      <c r="W5" s="70" t="s">
        <v>6602</v>
      </c>
      <c r="X5" s="64" t="s">
        <v>6602</v>
      </c>
      <c r="Y5" s="64" t="s">
        <v>6596</v>
      </c>
      <c r="Z5" s="66" t="s">
        <v>6597</v>
      </c>
      <c r="AA5" s="71"/>
    </row>
    <row r="6" ht="15.75" customHeight="1">
      <c r="A6" s="56" t="s">
        <v>6603</v>
      </c>
      <c r="B6" s="56" t="s">
        <v>4184</v>
      </c>
      <c r="C6" s="57">
        <v>15831.0</v>
      </c>
      <c r="D6" s="127" t="s">
        <v>6594</v>
      </c>
      <c r="E6" s="59">
        <v>27556.0</v>
      </c>
      <c r="F6" s="80">
        <v>44613.0</v>
      </c>
      <c r="G6" s="61">
        <v>0.3645833333333333</v>
      </c>
      <c r="H6" s="83" t="s">
        <v>6558</v>
      </c>
      <c r="I6" s="64" t="s">
        <v>6521</v>
      </c>
      <c r="J6" s="65" t="s">
        <v>6407</v>
      </c>
      <c r="K6" s="66"/>
      <c r="L6" s="66" t="s">
        <v>6559</v>
      </c>
      <c r="M6" s="66" t="s">
        <v>6559</v>
      </c>
      <c r="N6" s="66"/>
      <c r="O6" s="127" t="s">
        <v>6594</v>
      </c>
      <c r="P6" s="59" t="e">
        <v>#VALUE!</v>
      </c>
      <c r="Q6" s="67" t="e">
        <v>#VALUE!</v>
      </c>
      <c r="R6" s="68" t="e">
        <v>#VALUE!</v>
      </c>
      <c r="S6" s="62" t="e">
        <v>#VALUE!</v>
      </c>
      <c r="T6" s="62" t="e">
        <v>#VALUE!</v>
      </c>
      <c r="U6" s="63">
        <v>0.0</v>
      </c>
      <c r="V6" s="69" t="s">
        <v>6519</v>
      </c>
      <c r="W6" s="70" t="s">
        <v>6595</v>
      </c>
      <c r="X6" s="64" t="s">
        <v>6595</v>
      </c>
      <c r="Y6" s="64" t="s">
        <v>6596</v>
      </c>
      <c r="Z6" s="66" t="s">
        <v>6597</v>
      </c>
      <c r="AA6" s="71"/>
    </row>
    <row r="7" ht="15.75" customHeight="1">
      <c r="A7" s="56" t="s">
        <v>6604</v>
      </c>
      <c r="B7" s="56" t="s">
        <v>6155</v>
      </c>
      <c r="C7" s="57">
        <v>17982.0</v>
      </c>
      <c r="D7" s="127" t="s">
        <v>6594</v>
      </c>
      <c r="E7" s="59">
        <v>31771.0</v>
      </c>
      <c r="F7" s="80">
        <v>44613.0</v>
      </c>
      <c r="G7" s="61">
        <v>0.3645833333333333</v>
      </c>
      <c r="H7" s="83" t="s">
        <v>6561</v>
      </c>
      <c r="I7" s="64" t="s">
        <v>6527</v>
      </c>
      <c r="J7" s="65" t="s">
        <v>6372</v>
      </c>
      <c r="K7" s="66" t="s">
        <v>6559</v>
      </c>
      <c r="L7" s="66"/>
      <c r="M7" s="66"/>
      <c r="N7" s="66"/>
      <c r="O7" s="127" t="s">
        <v>6594</v>
      </c>
      <c r="P7" s="59" t="e">
        <v>#VALUE!</v>
      </c>
      <c r="Q7" s="67" t="e">
        <v>#VALUE!</v>
      </c>
      <c r="R7" s="68" t="e">
        <v>#VALUE!</v>
      </c>
      <c r="S7" s="62" t="e">
        <v>#VALUE!</v>
      </c>
      <c r="T7" s="62" t="e">
        <v>#VALUE!</v>
      </c>
      <c r="U7" s="63">
        <v>0.0</v>
      </c>
      <c r="V7" s="69" t="s">
        <v>6525</v>
      </c>
      <c r="W7" s="70" t="s">
        <v>6599</v>
      </c>
      <c r="X7" s="64" t="s">
        <v>6599</v>
      </c>
      <c r="Y7" s="64" t="s">
        <v>6596</v>
      </c>
      <c r="Z7" s="66" t="s">
        <v>6597</v>
      </c>
      <c r="AA7" s="71"/>
    </row>
    <row r="8" ht="15.75" customHeight="1">
      <c r="A8" s="56" t="s">
        <v>6605</v>
      </c>
      <c r="B8" s="56" t="s">
        <v>6178</v>
      </c>
      <c r="C8" s="57">
        <v>18023.0</v>
      </c>
      <c r="D8" s="127" t="s">
        <v>6594</v>
      </c>
      <c r="E8" s="59">
        <v>36140.0</v>
      </c>
      <c r="F8" s="80">
        <v>44613.0</v>
      </c>
      <c r="G8" s="61">
        <v>0.3645833333333333</v>
      </c>
      <c r="H8" s="83" t="s">
        <v>6561</v>
      </c>
      <c r="I8" s="64" t="s">
        <v>6527</v>
      </c>
      <c r="J8" s="65" t="s">
        <v>6444</v>
      </c>
      <c r="K8" s="66"/>
      <c r="L8" s="66" t="s">
        <v>6559</v>
      </c>
      <c r="M8" s="66"/>
      <c r="N8" s="66"/>
      <c r="O8" s="127" t="s">
        <v>6594</v>
      </c>
      <c r="P8" s="59" t="e">
        <v>#VALUE!</v>
      </c>
      <c r="Q8" s="67" t="e">
        <v>#VALUE!</v>
      </c>
      <c r="R8" s="68" t="e">
        <v>#VALUE!</v>
      </c>
      <c r="S8" s="62" t="e">
        <v>#VALUE!</v>
      </c>
      <c r="T8" s="62" t="e">
        <v>#VALUE!</v>
      </c>
      <c r="U8" s="63">
        <v>0.0</v>
      </c>
      <c r="V8" s="69" t="s">
        <v>6523</v>
      </c>
      <c r="W8" s="70" t="s">
        <v>6602</v>
      </c>
      <c r="X8" s="64" t="s">
        <v>6602</v>
      </c>
      <c r="Y8" s="64" t="s">
        <v>6596</v>
      </c>
      <c r="Z8" s="66" t="s">
        <v>6597</v>
      </c>
      <c r="AA8" s="71"/>
    </row>
    <row r="9" ht="15.75" customHeight="1">
      <c r="A9" s="56" t="s">
        <v>6606</v>
      </c>
      <c r="B9" s="56" t="s">
        <v>4419</v>
      </c>
      <c r="C9" s="57">
        <v>16096.0</v>
      </c>
      <c r="D9" s="127" t="s">
        <v>6594</v>
      </c>
      <c r="E9" s="59">
        <v>30163.0</v>
      </c>
      <c r="F9" s="80">
        <v>44613.0</v>
      </c>
      <c r="G9" s="61">
        <v>0.375</v>
      </c>
      <c r="H9" s="83" t="s">
        <v>6560</v>
      </c>
      <c r="I9" s="64" t="s">
        <v>6524</v>
      </c>
      <c r="J9" s="65" t="s">
        <v>6489</v>
      </c>
      <c r="K9" s="66"/>
      <c r="L9" s="66" t="s">
        <v>6559</v>
      </c>
      <c r="M9" s="66"/>
      <c r="N9" s="66"/>
      <c r="O9" s="127" t="s">
        <v>6594</v>
      </c>
      <c r="P9" s="59" t="e">
        <v>#VALUE!</v>
      </c>
      <c r="Q9" s="67" t="e">
        <v>#VALUE!</v>
      </c>
      <c r="R9" s="68" t="e">
        <v>#VALUE!</v>
      </c>
      <c r="S9" s="62" t="e">
        <v>#VALUE!</v>
      </c>
      <c r="T9" s="62" t="e">
        <v>#VALUE!</v>
      </c>
      <c r="U9" s="63">
        <v>0.0</v>
      </c>
      <c r="V9" s="69" t="s">
        <v>6523</v>
      </c>
      <c r="W9" s="70" t="s">
        <v>6602</v>
      </c>
      <c r="X9" s="64" t="s">
        <v>6602</v>
      </c>
      <c r="Y9" s="64" t="s">
        <v>6596</v>
      </c>
      <c r="Z9" s="66" t="s">
        <v>6597</v>
      </c>
      <c r="AA9" s="71"/>
    </row>
    <row r="10" ht="15.75" customHeight="1">
      <c r="A10" s="56" t="s">
        <v>6607</v>
      </c>
      <c r="B10" s="56" t="s">
        <v>251</v>
      </c>
      <c r="C10" s="57">
        <v>9676.0</v>
      </c>
      <c r="D10" s="127" t="s">
        <v>6594</v>
      </c>
      <c r="E10" s="59">
        <v>20831.0</v>
      </c>
      <c r="F10" s="80">
        <v>44613.0</v>
      </c>
      <c r="G10" s="61">
        <v>0.3854166666666667</v>
      </c>
      <c r="H10" s="83" t="s">
        <v>6558</v>
      </c>
      <c r="I10" s="64" t="s">
        <v>6521</v>
      </c>
      <c r="J10" s="65" t="s">
        <v>6489</v>
      </c>
      <c r="K10" s="66"/>
      <c r="L10" s="66" t="s">
        <v>6559</v>
      </c>
      <c r="M10" s="66" t="s">
        <v>6559</v>
      </c>
      <c r="N10" s="66"/>
      <c r="O10" s="127" t="s">
        <v>6594</v>
      </c>
      <c r="P10" s="59" t="e">
        <v>#VALUE!</v>
      </c>
      <c r="Q10" s="67" t="e">
        <v>#VALUE!</v>
      </c>
      <c r="R10" s="68" t="e">
        <v>#VALUE!</v>
      </c>
      <c r="S10" s="62" t="e">
        <v>#VALUE!</v>
      </c>
      <c r="T10" s="62" t="e">
        <v>#VALUE!</v>
      </c>
      <c r="U10" s="63">
        <v>0.0</v>
      </c>
      <c r="V10" s="69" t="s">
        <v>6519</v>
      </c>
      <c r="W10" s="70" t="s">
        <v>6595</v>
      </c>
      <c r="X10" s="64" t="s">
        <v>6595</v>
      </c>
      <c r="Y10" s="64" t="s">
        <v>6596</v>
      </c>
      <c r="Z10" s="66" t="s">
        <v>6597</v>
      </c>
      <c r="AA10" s="71"/>
    </row>
    <row r="11" ht="15.75" customHeight="1">
      <c r="A11" s="56" t="s">
        <v>6608</v>
      </c>
      <c r="B11" s="56" t="s">
        <v>676</v>
      </c>
      <c r="C11" s="57">
        <v>10766.0</v>
      </c>
      <c r="D11" s="127" t="s">
        <v>6594</v>
      </c>
      <c r="E11" s="59">
        <v>27154.0</v>
      </c>
      <c r="F11" s="80">
        <v>44613.0</v>
      </c>
      <c r="G11" s="61">
        <v>0.3958333333333333</v>
      </c>
      <c r="H11" s="83" t="s">
        <v>6560</v>
      </c>
      <c r="I11" s="64" t="s">
        <v>6524</v>
      </c>
      <c r="J11" s="65" t="s">
        <v>6381</v>
      </c>
      <c r="K11" s="66"/>
      <c r="L11" s="66" t="s">
        <v>6559</v>
      </c>
      <c r="M11" s="66"/>
      <c r="N11" s="66"/>
      <c r="O11" s="127" t="s">
        <v>6594</v>
      </c>
      <c r="P11" s="59" t="e">
        <v>#VALUE!</v>
      </c>
      <c r="Q11" s="67" t="e">
        <v>#VALUE!</v>
      </c>
      <c r="R11" s="68" t="e">
        <v>#VALUE!</v>
      </c>
      <c r="S11" s="62" t="e">
        <v>#VALUE!</v>
      </c>
      <c r="T11" s="62" t="e">
        <v>#VALUE!</v>
      </c>
      <c r="U11" s="63">
        <v>0.0</v>
      </c>
      <c r="V11" s="69" t="s">
        <v>6523</v>
      </c>
      <c r="W11" s="70" t="s">
        <v>6602</v>
      </c>
      <c r="X11" s="64" t="s">
        <v>6602</v>
      </c>
      <c r="Y11" s="64" t="s">
        <v>6596</v>
      </c>
      <c r="Z11" s="66" t="s">
        <v>6597</v>
      </c>
      <c r="AA11" s="71"/>
    </row>
    <row r="12" ht="15.75" customHeight="1">
      <c r="A12" s="56" t="s">
        <v>6609</v>
      </c>
      <c r="B12" s="56" t="s">
        <v>5290</v>
      </c>
      <c r="C12" s="57">
        <v>17209.0</v>
      </c>
      <c r="D12" s="127" t="s">
        <v>6594</v>
      </c>
      <c r="E12" s="59">
        <v>31086.0</v>
      </c>
      <c r="F12" s="80">
        <v>44613.0</v>
      </c>
      <c r="G12" s="61">
        <v>0.3958333333333333</v>
      </c>
      <c r="H12" s="83" t="s">
        <v>6558</v>
      </c>
      <c r="I12" s="64" t="s">
        <v>6521</v>
      </c>
      <c r="J12" s="65" t="s">
        <v>6407</v>
      </c>
      <c r="K12" s="66"/>
      <c r="L12" s="66" t="s">
        <v>6559</v>
      </c>
      <c r="M12" s="66"/>
      <c r="N12" s="66"/>
      <c r="O12" s="127" t="s">
        <v>6594</v>
      </c>
      <c r="P12" s="59" t="e">
        <v>#VALUE!</v>
      </c>
      <c r="Q12" s="67" t="e">
        <v>#VALUE!</v>
      </c>
      <c r="R12" s="68" t="e">
        <v>#VALUE!</v>
      </c>
      <c r="S12" s="62" t="e">
        <v>#VALUE!</v>
      </c>
      <c r="T12" s="62" t="e">
        <v>#VALUE!</v>
      </c>
      <c r="U12" s="63">
        <v>0.0</v>
      </c>
      <c r="V12" s="69" t="s">
        <v>6523</v>
      </c>
      <c r="W12" s="70" t="s">
        <v>6602</v>
      </c>
      <c r="X12" s="64" t="s">
        <v>6602</v>
      </c>
      <c r="Y12" s="64" t="s">
        <v>6596</v>
      </c>
      <c r="Z12" s="66" t="s">
        <v>6597</v>
      </c>
      <c r="AA12" s="71"/>
    </row>
    <row r="13" ht="15.75" customHeight="1">
      <c r="A13" s="56" t="s">
        <v>6610</v>
      </c>
      <c r="B13" s="56" t="s">
        <v>6170</v>
      </c>
      <c r="C13" s="57">
        <v>18130.0</v>
      </c>
      <c r="D13" s="127" t="s">
        <v>6594</v>
      </c>
      <c r="E13" s="59">
        <v>23798.0</v>
      </c>
      <c r="F13" s="80">
        <v>44613.0</v>
      </c>
      <c r="G13" s="61">
        <v>0.3958333333333333</v>
      </c>
      <c r="H13" s="83" t="s">
        <v>6561</v>
      </c>
      <c r="I13" s="64" t="s">
        <v>6527</v>
      </c>
      <c r="J13" s="65" t="s">
        <v>6444</v>
      </c>
      <c r="K13" s="66" t="s">
        <v>6559</v>
      </c>
      <c r="L13" s="66"/>
      <c r="M13" s="66"/>
      <c r="N13" s="66"/>
      <c r="O13" s="127" t="s">
        <v>6594</v>
      </c>
      <c r="P13" s="59" t="e">
        <v>#VALUE!</v>
      </c>
      <c r="Q13" s="67" t="e">
        <v>#VALUE!</v>
      </c>
      <c r="R13" s="68" t="e">
        <v>#VALUE!</v>
      </c>
      <c r="S13" s="62" t="e">
        <v>#VALUE!</v>
      </c>
      <c r="T13" s="62" t="e">
        <v>#VALUE!</v>
      </c>
      <c r="U13" s="63">
        <v>0.0</v>
      </c>
      <c r="V13" s="69" t="s">
        <v>6525</v>
      </c>
      <c r="W13" s="70" t="s">
        <v>6599</v>
      </c>
      <c r="X13" s="64" t="s">
        <v>6599</v>
      </c>
      <c r="Y13" s="64" t="s">
        <v>6596</v>
      </c>
      <c r="Z13" s="66" t="s">
        <v>6597</v>
      </c>
      <c r="AA13" s="71"/>
    </row>
    <row r="14" ht="15.75" customHeight="1">
      <c r="A14" s="56" t="s">
        <v>6611</v>
      </c>
      <c r="B14" s="56" t="s">
        <v>2076</v>
      </c>
      <c r="C14" s="57">
        <v>13235.0</v>
      </c>
      <c r="D14" s="127" t="s">
        <v>6594</v>
      </c>
      <c r="E14" s="59">
        <v>25452.0</v>
      </c>
      <c r="F14" s="80">
        <v>44613.0</v>
      </c>
      <c r="G14" s="61">
        <v>0.40625</v>
      </c>
      <c r="H14" s="83" t="s">
        <v>6560</v>
      </c>
      <c r="I14" s="64" t="s">
        <v>6524</v>
      </c>
      <c r="J14" s="65" t="s">
        <v>6372</v>
      </c>
      <c r="K14" s="66"/>
      <c r="L14" s="66" t="s">
        <v>6559</v>
      </c>
      <c r="M14" s="66" t="s">
        <v>6559</v>
      </c>
      <c r="N14" s="66"/>
      <c r="O14" s="127" t="s">
        <v>6594</v>
      </c>
      <c r="P14" s="59" t="e">
        <v>#VALUE!</v>
      </c>
      <c r="Q14" s="67" t="e">
        <v>#VALUE!</v>
      </c>
      <c r="R14" s="68" t="e">
        <v>#VALUE!</v>
      </c>
      <c r="S14" s="62" t="e">
        <v>#VALUE!</v>
      </c>
      <c r="T14" s="62" t="e">
        <v>#VALUE!</v>
      </c>
      <c r="U14" s="63">
        <v>0.0</v>
      </c>
      <c r="V14" s="69" t="s">
        <v>6519</v>
      </c>
      <c r="W14" s="70" t="s">
        <v>6595</v>
      </c>
      <c r="X14" s="64" t="s">
        <v>6595</v>
      </c>
      <c r="Y14" s="64" t="s">
        <v>6596</v>
      </c>
      <c r="Z14" s="66" t="s">
        <v>6597</v>
      </c>
      <c r="AA14" s="71"/>
    </row>
    <row r="15" ht="15.75" customHeight="1">
      <c r="A15" s="56" t="s">
        <v>6612</v>
      </c>
      <c r="B15" s="56" t="s">
        <v>501</v>
      </c>
      <c r="C15" s="57">
        <v>10337.0</v>
      </c>
      <c r="D15" s="127" t="s">
        <v>6594</v>
      </c>
      <c r="E15" s="59">
        <v>28137.0</v>
      </c>
      <c r="F15" s="80">
        <v>44613.0</v>
      </c>
      <c r="G15" s="61">
        <v>0.4166666666666667</v>
      </c>
      <c r="H15" s="83" t="s">
        <v>6558</v>
      </c>
      <c r="I15" s="64" t="s">
        <v>6521</v>
      </c>
      <c r="J15" s="65" t="s">
        <v>6385</v>
      </c>
      <c r="K15" s="66"/>
      <c r="L15" s="66" t="s">
        <v>6559</v>
      </c>
      <c r="M15" s="66"/>
      <c r="N15" s="66"/>
      <c r="O15" s="127" t="s">
        <v>6594</v>
      </c>
      <c r="P15" s="59" t="e">
        <v>#VALUE!</v>
      </c>
      <c r="Q15" s="67" t="e">
        <v>#VALUE!</v>
      </c>
      <c r="R15" s="68" t="e">
        <v>#VALUE!</v>
      </c>
      <c r="S15" s="62" t="e">
        <v>#VALUE!</v>
      </c>
      <c r="T15" s="62" t="e">
        <v>#VALUE!</v>
      </c>
      <c r="U15" s="63">
        <v>0.0</v>
      </c>
      <c r="V15" s="69" t="s">
        <v>6523</v>
      </c>
      <c r="W15" s="70" t="s">
        <v>6602</v>
      </c>
      <c r="X15" s="64" t="s">
        <v>6602</v>
      </c>
      <c r="Y15" s="64" t="s">
        <v>6596</v>
      </c>
      <c r="Z15" s="66" t="s">
        <v>6597</v>
      </c>
      <c r="AA15" s="71"/>
    </row>
    <row r="16" ht="15.75" customHeight="1">
      <c r="A16" s="56" t="s">
        <v>6613</v>
      </c>
      <c r="B16" s="56" t="s">
        <v>4311</v>
      </c>
      <c r="C16" s="57">
        <v>15972.0</v>
      </c>
      <c r="D16" s="127" t="s">
        <v>6594</v>
      </c>
      <c r="E16" s="59">
        <v>22825.0</v>
      </c>
      <c r="F16" s="80">
        <v>44613.0</v>
      </c>
      <c r="G16" s="61">
        <v>0.4166666666666667</v>
      </c>
      <c r="H16" s="83" t="s">
        <v>6560</v>
      </c>
      <c r="I16" s="64" t="s">
        <v>6524</v>
      </c>
      <c r="J16" s="65" t="s">
        <v>6427</v>
      </c>
      <c r="K16" s="66"/>
      <c r="L16" s="66" t="s">
        <v>6559</v>
      </c>
      <c r="M16" s="66" t="s">
        <v>6559</v>
      </c>
      <c r="N16" s="66"/>
      <c r="O16" s="127" t="s">
        <v>6594</v>
      </c>
      <c r="P16" s="59" t="e">
        <v>#VALUE!</v>
      </c>
      <c r="Q16" s="67" t="e">
        <v>#VALUE!</v>
      </c>
      <c r="R16" s="68" t="e">
        <v>#VALUE!</v>
      </c>
      <c r="S16" s="62" t="e">
        <v>#VALUE!</v>
      </c>
      <c r="T16" s="62" t="e">
        <v>#VALUE!</v>
      </c>
      <c r="U16" s="63">
        <v>0.0</v>
      </c>
      <c r="V16" s="69" t="s">
        <v>6519</v>
      </c>
      <c r="W16" s="70" t="s">
        <v>6595</v>
      </c>
      <c r="X16" s="64" t="s">
        <v>6595</v>
      </c>
      <c r="Y16" s="64" t="s">
        <v>6596</v>
      </c>
      <c r="Z16" s="66" t="s">
        <v>6597</v>
      </c>
      <c r="AA16" s="71"/>
    </row>
    <row r="17" ht="15.75" customHeight="1">
      <c r="A17" s="56" t="s">
        <v>6614</v>
      </c>
      <c r="B17" s="56" t="s">
        <v>6166</v>
      </c>
      <c r="C17" s="57">
        <v>18128.0</v>
      </c>
      <c r="D17" s="127" t="s">
        <v>6594</v>
      </c>
      <c r="E17" s="59">
        <v>12964.0</v>
      </c>
      <c r="F17" s="80">
        <v>44613.0</v>
      </c>
      <c r="G17" s="61">
        <v>0.4166666666666667</v>
      </c>
      <c r="H17" s="83" t="s">
        <v>6561</v>
      </c>
      <c r="I17" s="64" t="s">
        <v>6527</v>
      </c>
      <c r="J17" s="65" t="s">
        <v>6476</v>
      </c>
      <c r="K17" s="66" t="s">
        <v>6559</v>
      </c>
      <c r="L17" s="66"/>
      <c r="M17" s="66"/>
      <c r="N17" s="66"/>
      <c r="O17" s="127" t="s">
        <v>6594</v>
      </c>
      <c r="P17" s="59" t="e">
        <v>#VALUE!</v>
      </c>
      <c r="Q17" s="67" t="e">
        <v>#VALUE!</v>
      </c>
      <c r="R17" s="68" t="e">
        <v>#VALUE!</v>
      </c>
      <c r="S17" s="62" t="e">
        <v>#VALUE!</v>
      </c>
      <c r="T17" s="62" t="e">
        <v>#VALUE!</v>
      </c>
      <c r="U17" s="63">
        <v>0.0</v>
      </c>
      <c r="V17" s="69" t="s">
        <v>6525</v>
      </c>
      <c r="W17" s="70" t="s">
        <v>6599</v>
      </c>
      <c r="X17" s="64" t="s">
        <v>6599</v>
      </c>
      <c r="Y17" s="64" t="s">
        <v>6596</v>
      </c>
      <c r="Z17" s="66" t="s">
        <v>6597</v>
      </c>
      <c r="AA17" s="71"/>
    </row>
    <row r="18" ht="15.75" customHeight="1">
      <c r="A18" s="56" t="s">
        <v>6615</v>
      </c>
      <c r="B18" s="56" t="s">
        <v>4655</v>
      </c>
      <c r="C18" s="72">
        <v>16388.0</v>
      </c>
      <c r="D18" s="127" t="s">
        <v>6594</v>
      </c>
      <c r="E18" s="59">
        <v>15830.0</v>
      </c>
      <c r="F18" s="80">
        <v>44613.0</v>
      </c>
      <c r="G18" s="61">
        <v>0.4270833333333333</v>
      </c>
      <c r="H18" s="83" t="s">
        <v>6558</v>
      </c>
      <c r="I18" s="64" t="s">
        <v>6521</v>
      </c>
      <c r="J18" s="65" t="s">
        <v>6451</v>
      </c>
      <c r="K18" s="66"/>
      <c r="L18" s="66" t="s">
        <v>6559</v>
      </c>
      <c r="M18" s="66" t="s">
        <v>6559</v>
      </c>
      <c r="N18" s="66"/>
      <c r="O18" s="127" t="s">
        <v>6594</v>
      </c>
      <c r="P18" s="59" t="e">
        <v>#VALUE!</v>
      </c>
      <c r="Q18" s="67" t="e">
        <v>#VALUE!</v>
      </c>
      <c r="R18" s="68" t="e">
        <v>#VALUE!</v>
      </c>
      <c r="S18" s="62" t="e">
        <v>#VALUE!</v>
      </c>
      <c r="T18" s="62" t="e">
        <v>#VALUE!</v>
      </c>
      <c r="U18" s="63">
        <v>0.0</v>
      </c>
      <c r="V18" s="69" t="s">
        <v>6519</v>
      </c>
      <c r="W18" s="70" t="s">
        <v>6595</v>
      </c>
      <c r="X18" s="64" t="s">
        <v>6595</v>
      </c>
      <c r="Y18" s="64" t="s">
        <v>6596</v>
      </c>
      <c r="Z18" s="66" t="s">
        <v>6597</v>
      </c>
      <c r="AA18" s="71"/>
    </row>
    <row r="19" ht="15.75" customHeight="1">
      <c r="A19" s="56" t="s">
        <v>6616</v>
      </c>
      <c r="B19" s="56" t="s">
        <v>1354</v>
      </c>
      <c r="C19" s="57">
        <v>12275.0</v>
      </c>
      <c r="D19" s="127" t="s">
        <v>6594</v>
      </c>
      <c r="E19" s="59">
        <v>14237.0</v>
      </c>
      <c r="F19" s="80">
        <v>44613.0</v>
      </c>
      <c r="G19" s="61">
        <v>0.4375</v>
      </c>
      <c r="H19" s="83" t="s">
        <v>6558</v>
      </c>
      <c r="I19" s="64" t="s">
        <v>6521</v>
      </c>
      <c r="J19" s="65" t="s">
        <v>6477</v>
      </c>
      <c r="K19" s="66"/>
      <c r="L19" s="66" t="s">
        <v>6559</v>
      </c>
      <c r="M19" s="66"/>
      <c r="N19" s="66"/>
      <c r="O19" s="127" t="s">
        <v>6594</v>
      </c>
      <c r="P19" s="59" t="e">
        <v>#VALUE!</v>
      </c>
      <c r="Q19" s="67" t="e">
        <v>#VALUE!</v>
      </c>
      <c r="R19" s="68" t="e">
        <v>#VALUE!</v>
      </c>
      <c r="S19" s="62" t="e">
        <v>#VALUE!</v>
      </c>
      <c r="T19" s="62" t="e">
        <v>#VALUE!</v>
      </c>
      <c r="U19" s="63">
        <v>0.0</v>
      </c>
      <c r="V19" s="69" t="s">
        <v>6523</v>
      </c>
      <c r="W19" s="70" t="s">
        <v>6602</v>
      </c>
      <c r="X19" s="64" t="s">
        <v>6602</v>
      </c>
      <c r="Y19" s="64" t="s">
        <v>6596</v>
      </c>
      <c r="Z19" s="66" t="s">
        <v>6597</v>
      </c>
      <c r="AA19" s="71"/>
    </row>
    <row r="20" ht="15.75" customHeight="1">
      <c r="A20" s="56" t="s">
        <v>6617</v>
      </c>
      <c r="B20" s="56" t="s">
        <v>4915</v>
      </c>
      <c r="C20" s="57">
        <v>16739.0</v>
      </c>
      <c r="D20" s="127" t="s">
        <v>6594</v>
      </c>
      <c r="E20" s="59">
        <v>16716.0</v>
      </c>
      <c r="F20" s="80">
        <v>44613.0</v>
      </c>
      <c r="G20" s="61">
        <v>0.4375</v>
      </c>
      <c r="H20" s="83" t="s">
        <v>6560</v>
      </c>
      <c r="I20" s="64" t="s">
        <v>6524</v>
      </c>
      <c r="J20" s="65" t="s">
        <v>6375</v>
      </c>
      <c r="K20" s="66"/>
      <c r="L20" s="66" t="s">
        <v>6559</v>
      </c>
      <c r="M20" s="66"/>
      <c r="N20" s="66"/>
      <c r="O20" s="127" t="s">
        <v>6594</v>
      </c>
      <c r="P20" s="59" t="e">
        <v>#VALUE!</v>
      </c>
      <c r="Q20" s="67" t="e">
        <v>#VALUE!</v>
      </c>
      <c r="R20" s="68" t="e">
        <v>#VALUE!</v>
      </c>
      <c r="S20" s="62" t="e">
        <v>#VALUE!</v>
      </c>
      <c r="T20" s="62" t="e">
        <v>#VALUE!</v>
      </c>
      <c r="U20" s="63">
        <v>0.0</v>
      </c>
      <c r="V20" s="69" t="s">
        <v>6523</v>
      </c>
      <c r="W20" s="70" t="s">
        <v>6602</v>
      </c>
      <c r="X20" s="64" t="s">
        <v>6602</v>
      </c>
      <c r="Y20" s="64" t="s">
        <v>6596</v>
      </c>
      <c r="Z20" s="66" t="s">
        <v>6597</v>
      </c>
      <c r="AA20" s="71"/>
    </row>
    <row r="21" ht="15.75" customHeight="1">
      <c r="A21" s="56" t="s">
        <v>6618</v>
      </c>
      <c r="B21" s="56" t="s">
        <v>5571</v>
      </c>
      <c r="C21" s="57">
        <v>17581.0</v>
      </c>
      <c r="D21" s="127" t="s">
        <v>6594</v>
      </c>
      <c r="E21" s="59">
        <v>29340.0</v>
      </c>
      <c r="F21" s="80">
        <v>44613.0</v>
      </c>
      <c r="G21" s="61">
        <v>0.4479166666666667</v>
      </c>
      <c r="H21" s="83" t="s">
        <v>6561</v>
      </c>
      <c r="I21" s="64" t="s">
        <v>6527</v>
      </c>
      <c r="J21" s="65" t="s">
        <v>6492</v>
      </c>
      <c r="K21" s="66" t="s">
        <v>6559</v>
      </c>
      <c r="L21" s="66"/>
      <c r="M21" s="66"/>
      <c r="N21" s="66"/>
      <c r="O21" s="127" t="s">
        <v>6594</v>
      </c>
      <c r="P21" s="59" t="e">
        <v>#VALUE!</v>
      </c>
      <c r="Q21" s="67" t="e">
        <v>#VALUE!</v>
      </c>
      <c r="R21" s="68" t="e">
        <v>#VALUE!</v>
      </c>
      <c r="S21" s="62" t="e">
        <v>#VALUE!</v>
      </c>
      <c r="T21" s="62" t="e">
        <v>#VALUE!</v>
      </c>
      <c r="U21" s="63">
        <v>0.0</v>
      </c>
      <c r="V21" s="69" t="s">
        <v>6525</v>
      </c>
      <c r="W21" s="70" t="s">
        <v>6599</v>
      </c>
      <c r="X21" s="64" t="s">
        <v>6599</v>
      </c>
      <c r="Y21" s="64" t="s">
        <v>6596</v>
      </c>
      <c r="Z21" s="66" t="s">
        <v>6597</v>
      </c>
      <c r="AA21" s="71"/>
    </row>
    <row r="22" ht="15.75" customHeight="1">
      <c r="A22" s="56" t="s">
        <v>6619</v>
      </c>
      <c r="B22" s="56" t="s">
        <v>6173</v>
      </c>
      <c r="C22" s="57">
        <v>18125.0</v>
      </c>
      <c r="D22" s="127" t="s">
        <v>6594</v>
      </c>
      <c r="E22" s="59">
        <v>29910.0</v>
      </c>
      <c r="F22" s="80">
        <v>44613.0</v>
      </c>
      <c r="G22" s="61">
        <v>0.4479166666666667</v>
      </c>
      <c r="H22" s="83" t="s">
        <v>6561</v>
      </c>
      <c r="I22" s="64" t="s">
        <v>6527</v>
      </c>
      <c r="J22" s="65" t="s">
        <v>6488</v>
      </c>
      <c r="K22" s="66" t="s">
        <v>6559</v>
      </c>
      <c r="L22" s="66"/>
      <c r="M22" s="66"/>
      <c r="N22" s="66"/>
      <c r="O22" s="127" t="s">
        <v>6594</v>
      </c>
      <c r="P22" s="59" t="e">
        <v>#VALUE!</v>
      </c>
      <c r="Q22" s="67" t="e">
        <v>#VALUE!</v>
      </c>
      <c r="R22" s="68" t="e">
        <v>#VALUE!</v>
      </c>
      <c r="S22" s="62" t="e">
        <v>#VALUE!</v>
      </c>
      <c r="T22" s="62" t="e">
        <v>#VALUE!</v>
      </c>
      <c r="U22" s="63">
        <v>0.0</v>
      </c>
      <c r="V22" s="69" t="s">
        <v>6525</v>
      </c>
      <c r="W22" s="70" t="s">
        <v>6599</v>
      </c>
      <c r="X22" s="64" t="s">
        <v>6599</v>
      </c>
      <c r="Y22" s="64" t="s">
        <v>6596</v>
      </c>
      <c r="Z22" s="66" t="s">
        <v>6597</v>
      </c>
      <c r="AA22" s="71"/>
    </row>
    <row r="23" ht="15.75" customHeight="1">
      <c r="A23" s="56" t="s">
        <v>6620</v>
      </c>
      <c r="B23" s="56" t="s">
        <v>4366</v>
      </c>
      <c r="C23" s="57">
        <v>16035.0</v>
      </c>
      <c r="D23" s="127" t="s">
        <v>6594</v>
      </c>
      <c r="E23" s="59">
        <v>19873.0</v>
      </c>
      <c r="F23" s="80">
        <v>44613.0</v>
      </c>
      <c r="G23" s="61">
        <v>0.4583333333333333</v>
      </c>
      <c r="H23" s="83" t="s">
        <v>6561</v>
      </c>
      <c r="I23" s="64" t="s">
        <v>6527</v>
      </c>
      <c r="J23" s="65" t="s">
        <v>6551</v>
      </c>
      <c r="K23" s="66"/>
      <c r="L23" s="66" t="s">
        <v>6559</v>
      </c>
      <c r="M23" s="66"/>
      <c r="N23" s="66"/>
      <c r="O23" s="127" t="s">
        <v>6594</v>
      </c>
      <c r="P23" s="59" t="e">
        <v>#VALUE!</v>
      </c>
      <c r="Q23" s="67" t="e">
        <v>#VALUE!</v>
      </c>
      <c r="R23" s="68" t="e">
        <v>#VALUE!</v>
      </c>
      <c r="S23" s="62" t="e">
        <v>#VALUE!</v>
      </c>
      <c r="T23" s="62" t="e">
        <v>#VALUE!</v>
      </c>
      <c r="U23" s="63">
        <v>0.0</v>
      </c>
      <c r="V23" s="69" t="s">
        <v>6523</v>
      </c>
      <c r="W23" s="70" t="s">
        <v>6602</v>
      </c>
      <c r="X23" s="64" t="s">
        <v>6602</v>
      </c>
      <c r="Y23" s="64" t="s">
        <v>6596</v>
      </c>
      <c r="Z23" s="66" t="s">
        <v>6597</v>
      </c>
      <c r="AA23" s="71"/>
    </row>
    <row r="24" ht="15.75" customHeight="1">
      <c r="A24" s="56" t="s">
        <v>6621</v>
      </c>
      <c r="B24" s="56" t="s">
        <v>932</v>
      </c>
      <c r="C24" s="57">
        <v>11389.0</v>
      </c>
      <c r="D24" s="127" t="s">
        <v>6594</v>
      </c>
      <c r="E24" s="59">
        <v>26165.0</v>
      </c>
      <c r="F24" s="80">
        <v>44613.0</v>
      </c>
      <c r="G24" s="61">
        <v>0.46875</v>
      </c>
      <c r="H24" s="83" t="s">
        <v>6558</v>
      </c>
      <c r="I24" s="64" t="s">
        <v>6521</v>
      </c>
      <c r="J24" s="65" t="s">
        <v>6427</v>
      </c>
      <c r="K24" s="66"/>
      <c r="L24" s="66" t="s">
        <v>6559</v>
      </c>
      <c r="M24" s="66" t="s">
        <v>6559</v>
      </c>
      <c r="N24" s="66"/>
      <c r="O24" s="127" t="s">
        <v>6594</v>
      </c>
      <c r="P24" s="59" t="e">
        <v>#VALUE!</v>
      </c>
      <c r="Q24" s="67" t="e">
        <v>#VALUE!</v>
      </c>
      <c r="R24" s="68" t="e">
        <v>#VALUE!</v>
      </c>
      <c r="S24" s="62" t="e">
        <v>#VALUE!</v>
      </c>
      <c r="T24" s="62" t="e">
        <v>#VALUE!</v>
      </c>
      <c r="U24" s="63">
        <v>0.0</v>
      </c>
      <c r="V24" s="69" t="s">
        <v>6519</v>
      </c>
      <c r="W24" s="70" t="s">
        <v>6595</v>
      </c>
      <c r="X24" s="64" t="s">
        <v>6595</v>
      </c>
      <c r="Y24" s="64" t="s">
        <v>6596</v>
      </c>
      <c r="Z24" s="66" t="s">
        <v>6597</v>
      </c>
      <c r="AA24" s="71"/>
    </row>
    <row r="25" ht="15.75" customHeight="1">
      <c r="A25" s="56" t="s">
        <v>6622</v>
      </c>
      <c r="B25" s="56" t="s">
        <v>4454</v>
      </c>
      <c r="C25" s="57">
        <v>16135.0</v>
      </c>
      <c r="D25" s="127" t="s">
        <v>6594</v>
      </c>
      <c r="E25" s="59">
        <v>26455.0</v>
      </c>
      <c r="F25" s="80">
        <v>44613.0</v>
      </c>
      <c r="G25" s="61">
        <v>0.4791666666666667</v>
      </c>
      <c r="H25" s="83" t="s">
        <v>6561</v>
      </c>
      <c r="I25" s="64" t="s">
        <v>6527</v>
      </c>
      <c r="J25" s="65" t="s">
        <v>6379</v>
      </c>
      <c r="K25" s="66"/>
      <c r="L25" s="66" t="s">
        <v>6559</v>
      </c>
      <c r="M25" s="66"/>
      <c r="N25" s="66"/>
      <c r="O25" s="127" t="s">
        <v>6594</v>
      </c>
      <c r="P25" s="59" t="e">
        <v>#VALUE!</v>
      </c>
      <c r="Q25" s="67" t="e">
        <v>#VALUE!</v>
      </c>
      <c r="R25" s="68" t="e">
        <v>#VALUE!</v>
      </c>
      <c r="S25" s="62" t="e">
        <v>#VALUE!</v>
      </c>
      <c r="T25" s="62" t="e">
        <v>#VALUE!</v>
      </c>
      <c r="U25" s="63">
        <v>0.0</v>
      </c>
      <c r="V25" s="69" t="s">
        <v>6523</v>
      </c>
      <c r="W25" s="70" t="s">
        <v>6602</v>
      </c>
      <c r="X25" s="64" t="s">
        <v>6602</v>
      </c>
      <c r="Y25" s="64" t="s">
        <v>6596</v>
      </c>
      <c r="Z25" s="66" t="s">
        <v>6597</v>
      </c>
      <c r="AA25" s="71"/>
    </row>
    <row r="26" ht="15.75" customHeight="1">
      <c r="A26" s="56" t="s">
        <v>6623</v>
      </c>
      <c r="B26" s="56" t="s">
        <v>118</v>
      </c>
      <c r="C26" s="57">
        <v>9265.0</v>
      </c>
      <c r="D26" s="127" t="s">
        <v>6594</v>
      </c>
      <c r="E26" s="59">
        <v>22971.0</v>
      </c>
      <c r="F26" s="80">
        <v>44613.0</v>
      </c>
      <c r="G26" s="61">
        <v>0.5416666666666666</v>
      </c>
      <c r="H26" s="83" t="s">
        <v>6558</v>
      </c>
      <c r="I26" s="64" t="s">
        <v>6521</v>
      </c>
      <c r="J26" s="65" t="s">
        <v>6476</v>
      </c>
      <c r="K26" s="66"/>
      <c r="L26" s="66" t="s">
        <v>6559</v>
      </c>
      <c r="M26" s="66"/>
      <c r="N26" s="66"/>
      <c r="O26" s="127" t="s">
        <v>6594</v>
      </c>
      <c r="P26" s="59" t="e">
        <v>#VALUE!</v>
      </c>
      <c r="Q26" s="67" t="e">
        <v>#VALUE!</v>
      </c>
      <c r="R26" s="68" t="e">
        <v>#VALUE!</v>
      </c>
      <c r="S26" s="62" t="e">
        <v>#VALUE!</v>
      </c>
      <c r="T26" s="62" t="e">
        <v>#VALUE!</v>
      </c>
      <c r="U26" s="63">
        <v>0.0</v>
      </c>
      <c r="V26" s="69" t="s">
        <v>6523</v>
      </c>
      <c r="W26" s="70" t="s">
        <v>6602</v>
      </c>
      <c r="X26" s="64" t="s">
        <v>6602</v>
      </c>
      <c r="Y26" s="64" t="s">
        <v>6596</v>
      </c>
      <c r="Z26" s="66" t="s">
        <v>6597</v>
      </c>
      <c r="AA26" s="71"/>
    </row>
    <row r="27" ht="15.75" customHeight="1">
      <c r="A27" s="56" t="s">
        <v>6624</v>
      </c>
      <c r="B27" s="56" t="s">
        <v>2579</v>
      </c>
      <c r="C27" s="57">
        <v>13885.0</v>
      </c>
      <c r="D27" s="127" t="s">
        <v>6594</v>
      </c>
      <c r="E27" s="59">
        <v>22542.0</v>
      </c>
      <c r="F27" s="80">
        <v>44613.0</v>
      </c>
      <c r="G27" s="61">
        <v>0.5416666666666666</v>
      </c>
      <c r="H27" s="83" t="s">
        <v>6558</v>
      </c>
      <c r="I27" s="64" t="s">
        <v>6521</v>
      </c>
      <c r="J27" s="65" t="s">
        <v>6379</v>
      </c>
      <c r="K27" s="66"/>
      <c r="L27" s="66" t="s">
        <v>6559</v>
      </c>
      <c r="M27" s="66" t="s">
        <v>6559</v>
      </c>
      <c r="N27" s="66"/>
      <c r="O27" s="127" t="s">
        <v>6594</v>
      </c>
      <c r="P27" s="59" t="e">
        <v>#VALUE!</v>
      </c>
      <c r="Q27" s="67" t="e">
        <v>#VALUE!</v>
      </c>
      <c r="R27" s="68" t="e">
        <v>#VALUE!</v>
      </c>
      <c r="S27" s="62" t="e">
        <v>#VALUE!</v>
      </c>
      <c r="T27" s="62" t="e">
        <v>#VALUE!</v>
      </c>
      <c r="U27" s="63">
        <v>0.0</v>
      </c>
      <c r="V27" s="69" t="s">
        <v>6519</v>
      </c>
      <c r="W27" s="70" t="s">
        <v>6595</v>
      </c>
      <c r="X27" s="64" t="s">
        <v>6595</v>
      </c>
      <c r="Y27" s="64" t="s">
        <v>6596</v>
      </c>
      <c r="Z27" s="66" t="s">
        <v>6597</v>
      </c>
      <c r="AA27" s="71"/>
    </row>
    <row r="28" ht="15.75" customHeight="1">
      <c r="A28" s="56" t="s">
        <v>6625</v>
      </c>
      <c r="B28" s="56" t="s">
        <v>2857</v>
      </c>
      <c r="C28" s="57">
        <v>14256.0</v>
      </c>
      <c r="D28" s="127" t="s">
        <v>6594</v>
      </c>
      <c r="E28" s="59">
        <v>9908.0</v>
      </c>
      <c r="F28" s="80">
        <v>44613.0</v>
      </c>
      <c r="G28" s="61">
        <v>0.5416666666666666</v>
      </c>
      <c r="H28" s="83" t="s">
        <v>6561</v>
      </c>
      <c r="I28" s="64" t="s">
        <v>6527</v>
      </c>
      <c r="J28" s="65" t="s">
        <v>6427</v>
      </c>
      <c r="K28" s="66" t="s">
        <v>6559</v>
      </c>
      <c r="L28" s="66"/>
      <c r="M28" s="66"/>
      <c r="N28" s="66"/>
      <c r="O28" s="127" t="s">
        <v>6594</v>
      </c>
      <c r="P28" s="59" t="e">
        <v>#VALUE!</v>
      </c>
      <c r="Q28" s="67" t="e">
        <v>#VALUE!</v>
      </c>
      <c r="R28" s="68" t="e">
        <v>#VALUE!</v>
      </c>
      <c r="S28" s="62" t="e">
        <v>#VALUE!</v>
      </c>
      <c r="T28" s="62" t="e">
        <v>#VALUE!</v>
      </c>
      <c r="U28" s="63">
        <v>0.0</v>
      </c>
      <c r="V28" s="69" t="s">
        <v>6525</v>
      </c>
      <c r="W28" s="70" t="s">
        <v>6599</v>
      </c>
      <c r="X28" s="64" t="s">
        <v>6599</v>
      </c>
      <c r="Y28" s="64" t="s">
        <v>6596</v>
      </c>
      <c r="Z28" s="66" t="s">
        <v>6597</v>
      </c>
      <c r="AA28" s="71"/>
    </row>
    <row r="29" ht="15.75" customHeight="1">
      <c r="A29" s="56" t="s">
        <v>6626</v>
      </c>
      <c r="B29" s="56" t="s">
        <v>6190</v>
      </c>
      <c r="C29" s="57">
        <v>18159.0</v>
      </c>
      <c r="D29" s="127" t="s">
        <v>6594</v>
      </c>
      <c r="E29" s="59">
        <v>32054.0</v>
      </c>
      <c r="F29" s="80">
        <v>44613.0</v>
      </c>
      <c r="G29" s="61">
        <v>0.5416666666666666</v>
      </c>
      <c r="H29" s="83" t="s">
        <v>6561</v>
      </c>
      <c r="I29" s="64" t="s">
        <v>6527</v>
      </c>
      <c r="J29" s="65" t="s">
        <v>6379</v>
      </c>
      <c r="K29" s="66" t="s">
        <v>6559</v>
      </c>
      <c r="L29" s="66"/>
      <c r="M29" s="66"/>
      <c r="N29" s="66"/>
      <c r="O29" s="127" t="s">
        <v>6594</v>
      </c>
      <c r="P29" s="59" t="e">
        <v>#VALUE!</v>
      </c>
      <c r="Q29" s="67" t="e">
        <v>#VALUE!</v>
      </c>
      <c r="R29" s="68" t="e">
        <v>#VALUE!</v>
      </c>
      <c r="S29" s="62" t="e">
        <v>#VALUE!</v>
      </c>
      <c r="T29" s="62" t="e">
        <v>#VALUE!</v>
      </c>
      <c r="U29" s="63">
        <v>0.0</v>
      </c>
      <c r="V29" s="69" t="s">
        <v>6525</v>
      </c>
      <c r="W29" s="70" t="s">
        <v>6599</v>
      </c>
      <c r="X29" s="64" t="s">
        <v>6599</v>
      </c>
      <c r="Y29" s="64" t="s">
        <v>6596</v>
      </c>
      <c r="Z29" s="66" t="s">
        <v>6597</v>
      </c>
      <c r="AA29" s="71"/>
    </row>
    <row r="30" ht="15.75" customHeight="1">
      <c r="A30" s="56" t="s">
        <v>6627</v>
      </c>
      <c r="B30" s="56" t="s">
        <v>5775</v>
      </c>
      <c r="C30" s="57">
        <v>17637.0</v>
      </c>
      <c r="D30" s="127" t="s">
        <v>6594</v>
      </c>
      <c r="E30" s="59">
        <v>21661.0</v>
      </c>
      <c r="F30" s="80">
        <v>44613.0</v>
      </c>
      <c r="G30" s="61">
        <v>0.5625</v>
      </c>
      <c r="H30" s="83" t="s">
        <v>6560</v>
      </c>
      <c r="I30" s="64" t="s">
        <v>6524</v>
      </c>
      <c r="J30" s="65" t="s">
        <v>6408</v>
      </c>
      <c r="K30" s="66"/>
      <c r="L30" s="66" t="s">
        <v>6559</v>
      </c>
      <c r="M30" s="66" t="s">
        <v>6559</v>
      </c>
      <c r="N30" s="66"/>
      <c r="O30" s="127" t="s">
        <v>6594</v>
      </c>
      <c r="P30" s="59" t="e">
        <v>#VALUE!</v>
      </c>
      <c r="Q30" s="67" t="e">
        <v>#VALUE!</v>
      </c>
      <c r="R30" s="68" t="e">
        <v>#VALUE!</v>
      </c>
      <c r="S30" s="62" t="e">
        <v>#VALUE!</v>
      </c>
      <c r="T30" s="62" t="e">
        <v>#VALUE!</v>
      </c>
      <c r="U30" s="63">
        <v>0.0</v>
      </c>
      <c r="V30" s="69" t="s">
        <v>6519</v>
      </c>
      <c r="W30" s="70" t="s">
        <v>6595</v>
      </c>
      <c r="X30" s="64" t="s">
        <v>6595</v>
      </c>
      <c r="Y30" s="64" t="s">
        <v>6596</v>
      </c>
      <c r="Z30" s="66" t="s">
        <v>6597</v>
      </c>
      <c r="AA30" s="71"/>
    </row>
    <row r="31" ht="15.75" customHeight="1">
      <c r="A31" s="56" t="s">
        <v>6628</v>
      </c>
      <c r="B31" s="56" t="s">
        <v>1533</v>
      </c>
      <c r="C31" s="57">
        <v>12556.0</v>
      </c>
      <c r="D31" s="127" t="s">
        <v>6594</v>
      </c>
      <c r="E31" s="59">
        <v>17986.0</v>
      </c>
      <c r="F31" s="80">
        <v>44613.0</v>
      </c>
      <c r="G31" s="61">
        <v>0.5729166666666666</v>
      </c>
      <c r="H31" s="83" t="s">
        <v>6558</v>
      </c>
      <c r="I31" s="64" t="s">
        <v>6521</v>
      </c>
      <c r="J31" s="65" t="s">
        <v>6385</v>
      </c>
      <c r="K31" s="66"/>
      <c r="L31" s="66" t="s">
        <v>6559</v>
      </c>
      <c r="M31" s="66"/>
      <c r="N31" s="66"/>
      <c r="O31" s="127" t="s">
        <v>6594</v>
      </c>
      <c r="P31" s="59" t="e">
        <v>#VALUE!</v>
      </c>
      <c r="Q31" s="67" t="e">
        <v>#VALUE!</v>
      </c>
      <c r="R31" s="68" t="e">
        <v>#VALUE!</v>
      </c>
      <c r="S31" s="62" t="e">
        <v>#VALUE!</v>
      </c>
      <c r="T31" s="62" t="e">
        <v>#VALUE!</v>
      </c>
      <c r="U31" s="63">
        <v>0.0</v>
      </c>
      <c r="V31" s="69" t="s">
        <v>6523</v>
      </c>
      <c r="W31" s="70" t="s">
        <v>6602</v>
      </c>
      <c r="X31" s="64" t="s">
        <v>6602</v>
      </c>
      <c r="Y31" s="64" t="s">
        <v>6596</v>
      </c>
      <c r="Z31" s="66" t="s">
        <v>6597</v>
      </c>
      <c r="AA31" s="71"/>
    </row>
    <row r="32" ht="15.75" customHeight="1">
      <c r="A32" s="56" t="s">
        <v>6629</v>
      </c>
      <c r="B32" s="56" t="s">
        <v>3391</v>
      </c>
      <c r="C32" s="57">
        <v>14900.0</v>
      </c>
      <c r="D32" s="127" t="s">
        <v>6594</v>
      </c>
      <c r="E32" s="59">
        <v>23223.0</v>
      </c>
      <c r="F32" s="80">
        <v>44613.0</v>
      </c>
      <c r="G32" s="61">
        <v>0.5729166666666666</v>
      </c>
      <c r="H32" s="83" t="s">
        <v>6561</v>
      </c>
      <c r="I32" s="64" t="s">
        <v>6527</v>
      </c>
      <c r="J32" s="65" t="s">
        <v>6406</v>
      </c>
      <c r="K32" s="66"/>
      <c r="L32" s="66" t="s">
        <v>6559</v>
      </c>
      <c r="M32" s="66" t="s">
        <v>6559</v>
      </c>
      <c r="N32" s="66"/>
      <c r="O32" s="127" t="s">
        <v>6594</v>
      </c>
      <c r="P32" s="59" t="e">
        <v>#VALUE!</v>
      </c>
      <c r="Q32" s="67" t="e">
        <v>#VALUE!</v>
      </c>
      <c r="R32" s="68" t="e">
        <v>#VALUE!</v>
      </c>
      <c r="S32" s="62" t="e">
        <v>#VALUE!</v>
      </c>
      <c r="T32" s="62" t="e">
        <v>#VALUE!</v>
      </c>
      <c r="U32" s="63">
        <v>0.0</v>
      </c>
      <c r="V32" s="69" t="s">
        <v>6519</v>
      </c>
      <c r="W32" s="70" t="s">
        <v>6595</v>
      </c>
      <c r="X32" s="64" t="s">
        <v>6595</v>
      </c>
      <c r="Y32" s="64" t="s">
        <v>6596</v>
      </c>
      <c r="Z32" s="66" t="s">
        <v>6597</v>
      </c>
      <c r="AA32" s="71"/>
    </row>
    <row r="33" ht="15.75" customHeight="1">
      <c r="A33" s="56" t="s">
        <v>6630</v>
      </c>
      <c r="B33" s="56" t="s">
        <v>591</v>
      </c>
      <c r="C33" s="57">
        <v>10623.0</v>
      </c>
      <c r="D33" s="127" t="s">
        <v>6594</v>
      </c>
      <c r="E33" s="59">
        <v>21882.0</v>
      </c>
      <c r="F33" s="80">
        <v>44613.0</v>
      </c>
      <c r="G33" s="61">
        <v>0.5833333333333334</v>
      </c>
      <c r="H33" s="83" t="s">
        <v>6560</v>
      </c>
      <c r="I33" s="64" t="s">
        <v>6524</v>
      </c>
      <c r="J33" s="65" t="s">
        <v>6420</v>
      </c>
      <c r="K33" s="66"/>
      <c r="L33" s="66" t="s">
        <v>6559</v>
      </c>
      <c r="M33" s="66" t="s">
        <v>6559</v>
      </c>
      <c r="N33" s="66"/>
      <c r="O33" s="127" t="s">
        <v>6594</v>
      </c>
      <c r="P33" s="59" t="e">
        <v>#VALUE!</v>
      </c>
      <c r="Q33" s="67" t="e">
        <v>#VALUE!</v>
      </c>
      <c r="R33" s="68" t="e">
        <v>#VALUE!</v>
      </c>
      <c r="S33" s="62" t="e">
        <v>#VALUE!</v>
      </c>
      <c r="T33" s="62" t="e">
        <v>#VALUE!</v>
      </c>
      <c r="U33" s="63">
        <v>0.0</v>
      </c>
      <c r="V33" s="69" t="s">
        <v>6519</v>
      </c>
      <c r="W33" s="70" t="s">
        <v>6595</v>
      </c>
      <c r="X33" s="64" t="s">
        <v>6595</v>
      </c>
      <c r="Y33" s="64" t="s">
        <v>6596</v>
      </c>
      <c r="Z33" s="66" t="s">
        <v>6597</v>
      </c>
      <c r="AA33" s="71"/>
    </row>
    <row r="34" ht="15.75" customHeight="1">
      <c r="A34" s="56" t="s">
        <v>6631</v>
      </c>
      <c r="B34" s="56" t="s">
        <v>387</v>
      </c>
      <c r="C34" s="57">
        <v>10047.0</v>
      </c>
      <c r="D34" s="127" t="s">
        <v>6594</v>
      </c>
      <c r="E34" s="59">
        <v>24501.0</v>
      </c>
      <c r="F34" s="80">
        <v>44613.0</v>
      </c>
      <c r="G34" s="61">
        <v>0.59375</v>
      </c>
      <c r="H34" s="83" t="s">
        <v>6560</v>
      </c>
      <c r="I34" s="64" t="s">
        <v>6524</v>
      </c>
      <c r="J34" s="65" t="s">
        <v>6427</v>
      </c>
      <c r="K34" s="66"/>
      <c r="L34" s="66" t="s">
        <v>6559</v>
      </c>
      <c r="M34" s="66" t="s">
        <v>6559</v>
      </c>
      <c r="N34" s="66"/>
      <c r="O34" s="127" t="s">
        <v>6594</v>
      </c>
      <c r="P34" s="59" t="e">
        <v>#VALUE!</v>
      </c>
      <c r="Q34" s="67" t="e">
        <v>#VALUE!</v>
      </c>
      <c r="R34" s="68" t="e">
        <v>#VALUE!</v>
      </c>
      <c r="S34" s="62" t="e">
        <v>#VALUE!</v>
      </c>
      <c r="T34" s="62" t="e">
        <v>#VALUE!</v>
      </c>
      <c r="U34" s="63">
        <v>0.0</v>
      </c>
      <c r="V34" s="69" t="s">
        <v>6519</v>
      </c>
      <c r="W34" s="70" t="s">
        <v>6595</v>
      </c>
      <c r="X34" s="64" t="s">
        <v>6595</v>
      </c>
      <c r="Y34" s="64" t="s">
        <v>6596</v>
      </c>
      <c r="Z34" s="66" t="s">
        <v>6597</v>
      </c>
      <c r="AA34" s="71"/>
    </row>
    <row r="35" ht="15.75" customHeight="1">
      <c r="A35" s="56" t="s">
        <v>6632</v>
      </c>
      <c r="B35" s="56" t="s">
        <v>2804</v>
      </c>
      <c r="C35" s="57">
        <v>14185.0</v>
      </c>
      <c r="D35" s="127" t="s">
        <v>6594</v>
      </c>
      <c r="E35" s="59">
        <v>9736.0</v>
      </c>
      <c r="F35" s="80">
        <v>44613.0</v>
      </c>
      <c r="G35" s="61">
        <v>0.59375</v>
      </c>
      <c r="H35" s="83" t="s">
        <v>6562</v>
      </c>
      <c r="I35" s="64" t="s">
        <v>6529</v>
      </c>
      <c r="J35" s="65" t="s">
        <v>6427</v>
      </c>
      <c r="K35" s="66"/>
      <c r="L35" s="66" t="s">
        <v>6559</v>
      </c>
      <c r="M35" s="66"/>
      <c r="N35" s="66"/>
      <c r="O35" s="127" t="s">
        <v>6594</v>
      </c>
      <c r="P35" s="59" t="e">
        <v>#VALUE!</v>
      </c>
      <c r="Q35" s="67" t="e">
        <v>#VALUE!</v>
      </c>
      <c r="R35" s="68" t="e">
        <v>#VALUE!</v>
      </c>
      <c r="S35" s="62" t="e">
        <v>#VALUE!</v>
      </c>
      <c r="T35" s="62" t="e">
        <v>#VALUE!</v>
      </c>
      <c r="U35" s="63">
        <v>0.0</v>
      </c>
      <c r="V35" s="69" t="s">
        <v>6523</v>
      </c>
      <c r="W35" s="70" t="s">
        <v>6602</v>
      </c>
      <c r="X35" s="64" t="s">
        <v>6602</v>
      </c>
      <c r="Y35" s="64" t="s">
        <v>6596</v>
      </c>
      <c r="Z35" s="66" t="s">
        <v>6597</v>
      </c>
      <c r="AA35" s="71"/>
    </row>
    <row r="36" ht="15.75" customHeight="1">
      <c r="A36" s="56" t="s">
        <v>6633</v>
      </c>
      <c r="B36" s="56" t="s">
        <v>6174</v>
      </c>
      <c r="C36" s="57">
        <v>18127.0</v>
      </c>
      <c r="D36" s="127" t="s">
        <v>6594</v>
      </c>
      <c r="E36" s="59">
        <v>31549.0</v>
      </c>
      <c r="F36" s="80">
        <v>44613.0</v>
      </c>
      <c r="G36" s="61">
        <v>0.59375</v>
      </c>
      <c r="H36" s="83" t="s">
        <v>6561</v>
      </c>
      <c r="I36" s="64" t="s">
        <v>6527</v>
      </c>
      <c r="J36" s="65" t="s">
        <v>6444</v>
      </c>
      <c r="K36" s="66" t="s">
        <v>6559</v>
      </c>
      <c r="L36" s="66"/>
      <c r="M36" s="66"/>
      <c r="N36" s="66"/>
      <c r="O36" s="127" t="s">
        <v>6594</v>
      </c>
      <c r="P36" s="59" t="e">
        <v>#VALUE!</v>
      </c>
      <c r="Q36" s="67" t="e">
        <v>#VALUE!</v>
      </c>
      <c r="R36" s="68" t="e">
        <v>#VALUE!</v>
      </c>
      <c r="S36" s="62" t="e">
        <v>#VALUE!</v>
      </c>
      <c r="T36" s="62" t="e">
        <v>#VALUE!</v>
      </c>
      <c r="U36" s="63">
        <v>0.0</v>
      </c>
      <c r="V36" s="69" t="s">
        <v>6525</v>
      </c>
      <c r="W36" s="70" t="s">
        <v>6599</v>
      </c>
      <c r="X36" s="64" t="s">
        <v>6599</v>
      </c>
      <c r="Y36" s="64" t="s">
        <v>6596</v>
      </c>
      <c r="Z36" s="66" t="s">
        <v>6597</v>
      </c>
      <c r="AA36" s="71"/>
    </row>
    <row r="37" ht="15.75" customHeight="1">
      <c r="A37" s="56" t="s">
        <v>6634</v>
      </c>
      <c r="B37" s="56" t="s">
        <v>6175</v>
      </c>
      <c r="C37" s="57">
        <v>18178.0</v>
      </c>
      <c r="D37" s="127" t="s">
        <v>6594</v>
      </c>
      <c r="E37" s="59">
        <v>30404.0</v>
      </c>
      <c r="F37" s="80">
        <v>44613.0</v>
      </c>
      <c r="G37" s="61">
        <v>0.59375</v>
      </c>
      <c r="H37" s="83" t="s">
        <v>6561</v>
      </c>
      <c r="I37" s="64" t="s">
        <v>6527</v>
      </c>
      <c r="J37" s="65" t="s">
        <v>6407</v>
      </c>
      <c r="K37" s="66" t="s">
        <v>6559</v>
      </c>
      <c r="L37" s="66"/>
      <c r="M37" s="66"/>
      <c r="N37" s="66"/>
      <c r="O37" s="127" t="s">
        <v>6594</v>
      </c>
      <c r="P37" s="59" t="e">
        <v>#VALUE!</v>
      </c>
      <c r="Q37" s="67" t="e">
        <v>#VALUE!</v>
      </c>
      <c r="R37" s="68" t="e">
        <v>#VALUE!</v>
      </c>
      <c r="S37" s="62" t="e">
        <v>#VALUE!</v>
      </c>
      <c r="T37" s="62" t="e">
        <v>#VALUE!</v>
      </c>
      <c r="U37" s="63">
        <v>0.0</v>
      </c>
      <c r="V37" s="69" t="s">
        <v>6525</v>
      </c>
      <c r="W37" s="70" t="s">
        <v>6599</v>
      </c>
      <c r="X37" s="64" t="s">
        <v>6599</v>
      </c>
      <c r="Y37" s="64" t="s">
        <v>6596</v>
      </c>
      <c r="Z37" s="66" t="s">
        <v>6597</v>
      </c>
      <c r="AA37" s="71"/>
    </row>
    <row r="38" ht="15.75" customHeight="1">
      <c r="A38" s="56" t="s">
        <v>6635</v>
      </c>
      <c r="B38" s="56" t="s">
        <v>142</v>
      </c>
      <c r="C38" s="57">
        <v>9361.0</v>
      </c>
      <c r="D38" s="127" t="s">
        <v>6594</v>
      </c>
      <c r="E38" s="59">
        <v>28389.0</v>
      </c>
      <c r="F38" s="80">
        <v>44613.0</v>
      </c>
      <c r="G38" s="61">
        <v>0.6041666666666666</v>
      </c>
      <c r="H38" s="83" t="s">
        <v>6558</v>
      </c>
      <c r="I38" s="64" t="s">
        <v>6521</v>
      </c>
      <c r="J38" s="65" t="s">
        <v>6381</v>
      </c>
      <c r="K38" s="66"/>
      <c r="L38" s="66" t="s">
        <v>6559</v>
      </c>
      <c r="M38" s="66" t="s">
        <v>6559</v>
      </c>
      <c r="N38" s="66"/>
      <c r="O38" s="127" t="s">
        <v>6594</v>
      </c>
      <c r="P38" s="59" t="e">
        <v>#VALUE!</v>
      </c>
      <c r="Q38" s="67" t="e">
        <v>#VALUE!</v>
      </c>
      <c r="R38" s="68" t="e">
        <v>#VALUE!</v>
      </c>
      <c r="S38" s="62" t="e">
        <v>#VALUE!</v>
      </c>
      <c r="T38" s="62" t="e">
        <v>#VALUE!</v>
      </c>
      <c r="U38" s="63">
        <v>0.0</v>
      </c>
      <c r="V38" s="69" t="s">
        <v>6519</v>
      </c>
      <c r="W38" s="70" t="s">
        <v>6595</v>
      </c>
      <c r="X38" s="64" t="s">
        <v>6595</v>
      </c>
      <c r="Y38" s="64" t="s">
        <v>6596</v>
      </c>
      <c r="Z38" s="66" t="s">
        <v>6597</v>
      </c>
      <c r="AA38" s="71"/>
    </row>
    <row r="39" ht="15.75" customHeight="1">
      <c r="A39" s="56" t="s">
        <v>6636</v>
      </c>
      <c r="B39" s="56" t="s">
        <v>4258</v>
      </c>
      <c r="C39" s="57">
        <v>15910.0</v>
      </c>
      <c r="D39" s="127" t="s">
        <v>6594</v>
      </c>
      <c r="E39" s="59">
        <v>23715.0</v>
      </c>
      <c r="F39" s="80">
        <v>44613.0</v>
      </c>
      <c r="G39" s="61">
        <v>0.625</v>
      </c>
      <c r="H39" s="83" t="s">
        <v>6558</v>
      </c>
      <c r="I39" s="64" t="s">
        <v>6521</v>
      </c>
      <c r="J39" s="65" t="s">
        <v>6489</v>
      </c>
      <c r="K39" s="66"/>
      <c r="L39" s="66" t="s">
        <v>6559</v>
      </c>
      <c r="M39" s="66"/>
      <c r="N39" s="66"/>
      <c r="O39" s="127" t="s">
        <v>6594</v>
      </c>
      <c r="P39" s="59" t="e">
        <v>#VALUE!</v>
      </c>
      <c r="Q39" s="67" t="e">
        <v>#VALUE!</v>
      </c>
      <c r="R39" s="68" t="e">
        <v>#VALUE!</v>
      </c>
      <c r="S39" s="62" t="e">
        <v>#VALUE!</v>
      </c>
      <c r="T39" s="62" t="e">
        <v>#VALUE!</v>
      </c>
      <c r="U39" s="63">
        <v>0.0</v>
      </c>
      <c r="V39" s="69" t="s">
        <v>6523</v>
      </c>
      <c r="W39" s="70" t="s">
        <v>6602</v>
      </c>
      <c r="X39" s="64" t="s">
        <v>6602</v>
      </c>
      <c r="Y39" s="64" t="s">
        <v>6596</v>
      </c>
      <c r="Z39" s="66" t="s">
        <v>6597</v>
      </c>
      <c r="AA39" s="71"/>
    </row>
    <row r="40" ht="15.75" customHeight="1">
      <c r="A40" s="56" t="s">
        <v>6637</v>
      </c>
      <c r="B40" s="56" t="s">
        <v>99</v>
      </c>
      <c r="C40" s="57">
        <v>9242.0</v>
      </c>
      <c r="D40" s="127" t="s">
        <v>6594</v>
      </c>
      <c r="E40" s="59">
        <v>20485.0</v>
      </c>
      <c r="F40" s="80">
        <v>44613.0</v>
      </c>
      <c r="G40" s="61">
        <v>0.6458333333333334</v>
      </c>
      <c r="H40" s="83" t="s">
        <v>6561</v>
      </c>
      <c r="I40" s="64" t="s">
        <v>6527</v>
      </c>
      <c r="J40" s="65" t="s">
        <v>6464</v>
      </c>
      <c r="K40" s="66"/>
      <c r="L40" s="66" t="s">
        <v>6559</v>
      </c>
      <c r="M40" s="66"/>
      <c r="N40" s="66"/>
      <c r="O40" s="127" t="s">
        <v>6594</v>
      </c>
      <c r="P40" s="59" t="e">
        <v>#VALUE!</v>
      </c>
      <c r="Q40" s="67" t="e">
        <v>#VALUE!</v>
      </c>
      <c r="R40" s="68" t="e">
        <v>#VALUE!</v>
      </c>
      <c r="S40" s="62" t="e">
        <v>#VALUE!</v>
      </c>
      <c r="T40" s="62" t="e">
        <v>#VALUE!</v>
      </c>
      <c r="U40" s="63">
        <v>0.0</v>
      </c>
      <c r="V40" s="69" t="s">
        <v>6523</v>
      </c>
      <c r="W40" s="70" t="s">
        <v>6602</v>
      </c>
      <c r="X40" s="64" t="s">
        <v>6602</v>
      </c>
      <c r="Y40" s="64" t="s">
        <v>6596</v>
      </c>
      <c r="Z40" s="66" t="s">
        <v>6597</v>
      </c>
      <c r="AA40" s="71"/>
    </row>
    <row r="41" ht="15.75" customHeight="1">
      <c r="A41" s="56" t="s">
        <v>6638</v>
      </c>
      <c r="B41" s="56" t="s">
        <v>1060</v>
      </c>
      <c r="C41" s="57">
        <v>11690.0</v>
      </c>
      <c r="D41" s="127" t="s">
        <v>6594</v>
      </c>
      <c r="E41" s="59">
        <v>16779.0</v>
      </c>
      <c r="F41" s="80">
        <v>44613.0</v>
      </c>
      <c r="G41" s="61">
        <v>0.6458333333333334</v>
      </c>
      <c r="H41" s="83" t="s">
        <v>6562</v>
      </c>
      <c r="I41" s="64" t="s">
        <v>6529</v>
      </c>
      <c r="J41" s="65" t="s">
        <v>6427</v>
      </c>
      <c r="K41" s="66"/>
      <c r="L41" s="66" t="s">
        <v>6559</v>
      </c>
      <c r="M41" s="66"/>
      <c r="N41" s="66"/>
      <c r="O41" s="127" t="s">
        <v>6594</v>
      </c>
      <c r="P41" s="59" t="e">
        <v>#VALUE!</v>
      </c>
      <c r="Q41" s="67" t="e">
        <v>#VALUE!</v>
      </c>
      <c r="R41" s="68" t="e">
        <v>#VALUE!</v>
      </c>
      <c r="S41" s="62" t="e">
        <v>#VALUE!</v>
      </c>
      <c r="T41" s="62" t="e">
        <v>#VALUE!</v>
      </c>
      <c r="U41" s="63">
        <v>0.0</v>
      </c>
      <c r="V41" s="69" t="s">
        <v>6523</v>
      </c>
      <c r="W41" s="70" t="s">
        <v>6602</v>
      </c>
      <c r="X41" s="64" t="s">
        <v>6602</v>
      </c>
      <c r="Y41" s="64" t="s">
        <v>6596</v>
      </c>
      <c r="Z41" s="66" t="s">
        <v>6597</v>
      </c>
      <c r="AA41" s="71"/>
    </row>
    <row r="42" ht="15.75" customHeight="1">
      <c r="A42" s="56" t="s">
        <v>6639</v>
      </c>
      <c r="B42" s="56" t="s">
        <v>2803</v>
      </c>
      <c r="C42" s="57">
        <v>14184.0</v>
      </c>
      <c r="D42" s="127" t="s">
        <v>6594</v>
      </c>
      <c r="E42" s="59">
        <v>21084.0</v>
      </c>
      <c r="F42" s="80">
        <v>44613.0</v>
      </c>
      <c r="G42" s="61">
        <v>0.6458333333333334</v>
      </c>
      <c r="H42" s="83" t="s">
        <v>6560</v>
      </c>
      <c r="I42" s="64" t="s">
        <v>6524</v>
      </c>
      <c r="J42" s="65" t="s">
        <v>6476</v>
      </c>
      <c r="K42" s="66"/>
      <c r="L42" s="66" t="s">
        <v>6559</v>
      </c>
      <c r="M42" s="66" t="s">
        <v>6559</v>
      </c>
      <c r="N42" s="66"/>
      <c r="O42" s="127" t="s">
        <v>6594</v>
      </c>
      <c r="P42" s="59" t="e">
        <v>#VALUE!</v>
      </c>
      <c r="Q42" s="67" t="e">
        <v>#VALUE!</v>
      </c>
      <c r="R42" s="68" t="e">
        <v>#VALUE!</v>
      </c>
      <c r="S42" s="62" t="e">
        <v>#VALUE!</v>
      </c>
      <c r="T42" s="62" t="e">
        <v>#VALUE!</v>
      </c>
      <c r="U42" s="63">
        <v>0.0</v>
      </c>
      <c r="V42" s="69" t="s">
        <v>6519</v>
      </c>
      <c r="W42" s="70" t="s">
        <v>6595</v>
      </c>
      <c r="X42" s="64" t="s">
        <v>6595</v>
      </c>
      <c r="Y42" s="64" t="s">
        <v>6596</v>
      </c>
      <c r="Z42" s="66" t="s">
        <v>6597</v>
      </c>
      <c r="AA42" s="71"/>
    </row>
    <row r="43" ht="15.75" customHeight="1">
      <c r="A43" s="56" t="s">
        <v>6640</v>
      </c>
      <c r="B43" s="56" t="s">
        <v>916</v>
      </c>
      <c r="C43" s="77">
        <v>11357.0</v>
      </c>
      <c r="D43" s="127" t="s">
        <v>6594</v>
      </c>
      <c r="E43" s="59">
        <v>14592.0</v>
      </c>
      <c r="F43" s="60">
        <v>44614.0</v>
      </c>
      <c r="G43" s="61">
        <v>0.3333333333333333</v>
      </c>
      <c r="H43" s="83" t="s">
        <v>6558</v>
      </c>
      <c r="I43" s="64" t="s">
        <v>6521</v>
      </c>
      <c r="J43" s="65" t="s">
        <v>6427</v>
      </c>
      <c r="K43" s="66"/>
      <c r="L43" s="66" t="s">
        <v>6559</v>
      </c>
      <c r="M43" s="66" t="s">
        <v>6559</v>
      </c>
      <c r="N43" s="66"/>
      <c r="O43" s="127" t="s">
        <v>6594</v>
      </c>
      <c r="P43" s="59" t="e">
        <v>#VALUE!</v>
      </c>
      <c r="Q43" s="67" t="e">
        <v>#VALUE!</v>
      </c>
      <c r="R43" s="68" t="e">
        <v>#VALUE!</v>
      </c>
      <c r="S43" s="62" t="e">
        <v>#VALUE!</v>
      </c>
      <c r="T43" s="62" t="e">
        <v>#VALUE!</v>
      </c>
      <c r="U43" s="63">
        <v>0.0</v>
      </c>
      <c r="V43" s="69" t="s">
        <v>6519</v>
      </c>
      <c r="W43" s="70" t="s">
        <v>6595</v>
      </c>
      <c r="X43" s="64" t="s">
        <v>6595</v>
      </c>
      <c r="Y43" s="64" t="s">
        <v>6596</v>
      </c>
      <c r="Z43" s="66" t="s">
        <v>6597</v>
      </c>
      <c r="AA43" s="71"/>
    </row>
    <row r="44" ht="15.75" customHeight="1">
      <c r="A44" s="56" t="s">
        <v>6641</v>
      </c>
      <c r="B44" s="56" t="s">
        <v>3948</v>
      </c>
      <c r="C44" s="57">
        <v>15570.0</v>
      </c>
      <c r="D44" s="127" t="s">
        <v>6594</v>
      </c>
      <c r="E44" s="59">
        <v>19023.0</v>
      </c>
      <c r="F44" s="60">
        <v>44614.0</v>
      </c>
      <c r="G44" s="61">
        <v>0.3333333333333333</v>
      </c>
      <c r="H44" s="83" t="s">
        <v>6562</v>
      </c>
      <c r="I44" s="64" t="s">
        <v>6529</v>
      </c>
      <c r="J44" s="65" t="s">
        <v>6427</v>
      </c>
      <c r="K44" s="66"/>
      <c r="L44" s="66" t="s">
        <v>6559</v>
      </c>
      <c r="M44" s="66"/>
      <c r="N44" s="66"/>
      <c r="O44" s="127" t="s">
        <v>6594</v>
      </c>
      <c r="P44" s="59" t="e">
        <v>#VALUE!</v>
      </c>
      <c r="Q44" s="67" t="e">
        <v>#VALUE!</v>
      </c>
      <c r="R44" s="68" t="e">
        <v>#VALUE!</v>
      </c>
      <c r="S44" s="62" t="e">
        <v>#VALUE!</v>
      </c>
      <c r="T44" s="62" t="e">
        <v>#VALUE!</v>
      </c>
      <c r="U44" s="63">
        <v>0.0</v>
      </c>
      <c r="V44" s="69" t="s">
        <v>6523</v>
      </c>
      <c r="W44" s="70" t="s">
        <v>6602</v>
      </c>
      <c r="X44" s="64" t="s">
        <v>6602</v>
      </c>
      <c r="Y44" s="64" t="s">
        <v>6596</v>
      </c>
      <c r="Z44" s="66" t="s">
        <v>6597</v>
      </c>
      <c r="AA44" s="71"/>
    </row>
    <row r="45" ht="15.75" customHeight="1">
      <c r="A45" s="56" t="s">
        <v>6642</v>
      </c>
      <c r="B45" s="56" t="s">
        <v>6213</v>
      </c>
      <c r="C45" s="57">
        <v>18167.0</v>
      </c>
      <c r="D45" s="127" t="s">
        <v>6594</v>
      </c>
      <c r="E45" s="59">
        <v>24539.0</v>
      </c>
      <c r="F45" s="60">
        <v>44614.0</v>
      </c>
      <c r="G45" s="61">
        <v>0.34375</v>
      </c>
      <c r="H45" s="83" t="s">
        <v>6561</v>
      </c>
      <c r="I45" s="64" t="s">
        <v>6527</v>
      </c>
      <c r="J45" s="65" t="s">
        <v>6407</v>
      </c>
      <c r="K45" s="66" t="s">
        <v>6559</v>
      </c>
      <c r="L45" s="66"/>
      <c r="M45" s="66"/>
      <c r="N45" s="66"/>
      <c r="O45" s="127" t="s">
        <v>6594</v>
      </c>
      <c r="P45" s="59" t="e">
        <v>#VALUE!</v>
      </c>
      <c r="Q45" s="67" t="e">
        <v>#VALUE!</v>
      </c>
      <c r="R45" s="68" t="e">
        <v>#VALUE!</v>
      </c>
      <c r="S45" s="62" t="e">
        <v>#VALUE!</v>
      </c>
      <c r="T45" s="62" t="e">
        <v>#VALUE!</v>
      </c>
      <c r="U45" s="63">
        <v>0.0</v>
      </c>
      <c r="V45" s="69" t="s">
        <v>6525</v>
      </c>
      <c r="W45" s="70" t="s">
        <v>6599</v>
      </c>
      <c r="X45" s="64" t="s">
        <v>6599</v>
      </c>
      <c r="Y45" s="64" t="s">
        <v>6596</v>
      </c>
      <c r="Z45" s="66" t="s">
        <v>6597</v>
      </c>
      <c r="AA45" s="71"/>
    </row>
    <row r="46" ht="15.75" customHeight="1">
      <c r="A46" s="56" t="s">
        <v>6643</v>
      </c>
      <c r="B46" s="56" t="s">
        <v>2538</v>
      </c>
      <c r="C46" s="57">
        <v>13830.0</v>
      </c>
      <c r="D46" s="127" t="s">
        <v>6594</v>
      </c>
      <c r="E46" s="59">
        <v>29294.0</v>
      </c>
      <c r="F46" s="60">
        <v>44614.0</v>
      </c>
      <c r="G46" s="61">
        <v>0.3541666666666667</v>
      </c>
      <c r="H46" s="83" t="s">
        <v>6558</v>
      </c>
      <c r="I46" s="64" t="s">
        <v>6521</v>
      </c>
      <c r="J46" s="65" t="s">
        <v>6427</v>
      </c>
      <c r="K46" s="66"/>
      <c r="L46" s="66" t="s">
        <v>6559</v>
      </c>
      <c r="M46" s="66" t="s">
        <v>6559</v>
      </c>
      <c r="N46" s="66"/>
      <c r="O46" s="127" t="s">
        <v>6594</v>
      </c>
      <c r="P46" s="59" t="e">
        <v>#VALUE!</v>
      </c>
      <c r="Q46" s="67" t="e">
        <v>#VALUE!</v>
      </c>
      <c r="R46" s="68" t="e">
        <v>#VALUE!</v>
      </c>
      <c r="S46" s="62" t="e">
        <v>#VALUE!</v>
      </c>
      <c r="T46" s="62" t="e">
        <v>#VALUE!</v>
      </c>
      <c r="U46" s="63">
        <v>0.0</v>
      </c>
      <c r="V46" s="69" t="s">
        <v>6519</v>
      </c>
      <c r="W46" s="70" t="s">
        <v>6595</v>
      </c>
      <c r="X46" s="64" t="s">
        <v>6595</v>
      </c>
      <c r="Y46" s="64" t="s">
        <v>6596</v>
      </c>
      <c r="Z46" s="66" t="s">
        <v>6597</v>
      </c>
      <c r="AA46" s="71"/>
    </row>
    <row r="47" ht="15.75" customHeight="1">
      <c r="A47" s="56" t="s">
        <v>6644</v>
      </c>
      <c r="B47" s="56" t="s">
        <v>3985</v>
      </c>
      <c r="C47" s="57">
        <v>15611.0</v>
      </c>
      <c r="D47" s="127" t="s">
        <v>6594</v>
      </c>
      <c r="E47" s="59">
        <v>21765.0</v>
      </c>
      <c r="F47" s="60">
        <v>44614.0</v>
      </c>
      <c r="G47" s="61">
        <v>0.3541666666666667</v>
      </c>
      <c r="H47" s="83" t="s">
        <v>6560</v>
      </c>
      <c r="I47" s="64" t="s">
        <v>6524</v>
      </c>
      <c r="J47" s="65" t="s">
        <v>6477</v>
      </c>
      <c r="K47" s="66"/>
      <c r="L47" s="66" t="s">
        <v>6559</v>
      </c>
      <c r="M47" s="66"/>
      <c r="N47" s="66"/>
      <c r="O47" s="127" t="s">
        <v>6594</v>
      </c>
      <c r="P47" s="59" t="e">
        <v>#VALUE!</v>
      </c>
      <c r="Q47" s="67" t="e">
        <v>#VALUE!</v>
      </c>
      <c r="R47" s="68" t="e">
        <v>#VALUE!</v>
      </c>
      <c r="S47" s="62" t="e">
        <v>#VALUE!</v>
      </c>
      <c r="T47" s="62" t="e">
        <v>#VALUE!</v>
      </c>
      <c r="U47" s="63">
        <v>0.0</v>
      </c>
      <c r="V47" s="69" t="s">
        <v>6523</v>
      </c>
      <c r="W47" s="70" t="s">
        <v>6602</v>
      </c>
      <c r="X47" s="64" t="s">
        <v>6602</v>
      </c>
      <c r="Y47" s="64" t="s">
        <v>6596</v>
      </c>
      <c r="Z47" s="66" t="s">
        <v>6597</v>
      </c>
      <c r="AA47" s="71"/>
    </row>
    <row r="48" ht="15.75" customHeight="1">
      <c r="A48" s="56" t="s">
        <v>6645</v>
      </c>
      <c r="B48" s="56" t="s">
        <v>5830</v>
      </c>
      <c r="C48" s="57">
        <v>11207.0</v>
      </c>
      <c r="D48" s="127" t="s">
        <v>6594</v>
      </c>
      <c r="E48" s="59">
        <v>9739.0</v>
      </c>
      <c r="F48" s="60">
        <v>44614.0</v>
      </c>
      <c r="G48" s="61">
        <v>0.3854166666666667</v>
      </c>
      <c r="H48" s="83" t="s">
        <v>6560</v>
      </c>
      <c r="I48" s="64" t="s">
        <v>6524</v>
      </c>
      <c r="J48" s="65" t="s">
        <v>6427</v>
      </c>
      <c r="K48" s="66"/>
      <c r="L48" s="66" t="s">
        <v>6559</v>
      </c>
      <c r="M48" s="66"/>
      <c r="N48" s="66"/>
      <c r="O48" s="127" t="s">
        <v>6594</v>
      </c>
      <c r="P48" s="59" t="e">
        <v>#VALUE!</v>
      </c>
      <c r="Q48" s="67" t="e">
        <v>#VALUE!</v>
      </c>
      <c r="R48" s="68" t="e">
        <v>#VALUE!</v>
      </c>
      <c r="S48" s="62" t="e">
        <v>#VALUE!</v>
      </c>
      <c r="T48" s="62" t="e">
        <v>#VALUE!</v>
      </c>
      <c r="U48" s="63">
        <v>0.0</v>
      </c>
      <c r="V48" s="69" t="s">
        <v>6523</v>
      </c>
      <c r="W48" s="70" t="s">
        <v>6602</v>
      </c>
      <c r="X48" s="64" t="s">
        <v>6602</v>
      </c>
      <c r="Y48" s="64" t="s">
        <v>6596</v>
      </c>
      <c r="Z48" s="66" t="s">
        <v>6597</v>
      </c>
      <c r="AA48" s="71"/>
    </row>
    <row r="49" ht="15.75" customHeight="1">
      <c r="A49" s="56" t="s">
        <v>6646</v>
      </c>
      <c r="B49" s="56" t="s">
        <v>2958</v>
      </c>
      <c r="C49" s="57">
        <v>14373.0</v>
      </c>
      <c r="D49" s="127" t="s">
        <v>6594</v>
      </c>
      <c r="E49" s="59">
        <v>28183.0</v>
      </c>
      <c r="F49" s="60">
        <v>44614.0</v>
      </c>
      <c r="G49" s="61">
        <v>0.3958333333333333</v>
      </c>
      <c r="H49" s="83" t="s">
        <v>6560</v>
      </c>
      <c r="I49" s="64" t="s">
        <v>6524</v>
      </c>
      <c r="J49" s="65" t="s">
        <v>6407</v>
      </c>
      <c r="K49" s="66"/>
      <c r="L49" s="66" t="s">
        <v>6559</v>
      </c>
      <c r="M49" s="66" t="s">
        <v>6559</v>
      </c>
      <c r="N49" s="66"/>
      <c r="O49" s="127" t="s">
        <v>6594</v>
      </c>
      <c r="P49" s="59" t="e">
        <v>#VALUE!</v>
      </c>
      <c r="Q49" s="67" t="e">
        <v>#VALUE!</v>
      </c>
      <c r="R49" s="68" t="e">
        <v>#VALUE!</v>
      </c>
      <c r="S49" s="62" t="e">
        <v>#VALUE!</v>
      </c>
      <c r="T49" s="62" t="e">
        <v>#VALUE!</v>
      </c>
      <c r="U49" s="63">
        <v>0.0</v>
      </c>
      <c r="V49" s="69" t="s">
        <v>6519</v>
      </c>
      <c r="W49" s="70" t="s">
        <v>6595</v>
      </c>
      <c r="X49" s="64" t="s">
        <v>6595</v>
      </c>
      <c r="Y49" s="64" t="s">
        <v>6596</v>
      </c>
      <c r="Z49" s="66" t="s">
        <v>6597</v>
      </c>
      <c r="AA49" s="71"/>
    </row>
    <row r="50" ht="15.75" customHeight="1">
      <c r="A50" s="56" t="s">
        <v>6647</v>
      </c>
      <c r="B50" s="76" t="s">
        <v>4541</v>
      </c>
      <c r="C50" s="77">
        <v>16245.0</v>
      </c>
      <c r="D50" s="127" t="s">
        <v>6594</v>
      </c>
      <c r="E50" s="79">
        <v>22836.0</v>
      </c>
      <c r="F50" s="60">
        <v>44614.0</v>
      </c>
      <c r="G50" s="81">
        <v>0.3958333333333333</v>
      </c>
      <c r="H50" s="83" t="s">
        <v>6558</v>
      </c>
      <c r="I50" s="84" t="s">
        <v>6521</v>
      </c>
      <c r="J50" s="85" t="s">
        <v>6374</v>
      </c>
      <c r="K50" s="86"/>
      <c r="L50" s="86" t="s">
        <v>6559</v>
      </c>
      <c r="M50" s="86" t="s">
        <v>6559</v>
      </c>
      <c r="N50" s="86"/>
      <c r="O50" s="121" t="s">
        <v>6594</v>
      </c>
      <c r="P50" s="59" t="e">
        <v>#VALUE!</v>
      </c>
      <c r="Q50" s="67" t="e">
        <v>#VALUE!</v>
      </c>
      <c r="R50" s="68" t="e">
        <v>#VALUE!</v>
      </c>
      <c r="S50" s="62" t="e">
        <v>#VALUE!</v>
      </c>
      <c r="T50" s="62" t="e">
        <v>#VALUE!</v>
      </c>
      <c r="U50" s="63">
        <v>0.0</v>
      </c>
      <c r="V50" s="88" t="s">
        <v>6519</v>
      </c>
      <c r="W50" s="70" t="s">
        <v>6595</v>
      </c>
      <c r="X50" s="64" t="s">
        <v>6595</v>
      </c>
      <c r="Y50" s="64" t="s">
        <v>6596</v>
      </c>
      <c r="Z50" s="66" t="s">
        <v>6597</v>
      </c>
      <c r="AA50" s="71"/>
    </row>
    <row r="51" ht="15.75" customHeight="1">
      <c r="A51" s="56" t="s">
        <v>6648</v>
      </c>
      <c r="B51" s="56" t="s">
        <v>6203</v>
      </c>
      <c r="C51" s="57">
        <v>18160.0</v>
      </c>
      <c r="D51" s="127" t="s">
        <v>6594</v>
      </c>
      <c r="E51" s="59">
        <v>24722.0</v>
      </c>
      <c r="F51" s="60">
        <v>44614.0</v>
      </c>
      <c r="G51" s="61">
        <v>0.3958333333333333</v>
      </c>
      <c r="H51" s="83" t="s">
        <v>6561</v>
      </c>
      <c r="I51" s="89" t="s">
        <v>6527</v>
      </c>
      <c r="J51" s="65" t="s">
        <v>6420</v>
      </c>
      <c r="K51" s="66" t="s">
        <v>6559</v>
      </c>
      <c r="L51" s="66"/>
      <c r="M51" s="66"/>
      <c r="N51" s="66"/>
      <c r="O51" s="127" t="s">
        <v>6594</v>
      </c>
      <c r="P51" s="59" t="e">
        <v>#VALUE!</v>
      </c>
      <c r="Q51" s="67" t="e">
        <v>#VALUE!</v>
      </c>
      <c r="R51" s="68" t="e">
        <v>#VALUE!</v>
      </c>
      <c r="S51" s="62" t="e">
        <v>#VALUE!</v>
      </c>
      <c r="T51" s="62" t="e">
        <v>#VALUE!</v>
      </c>
      <c r="U51" s="63">
        <v>0.0</v>
      </c>
      <c r="V51" s="69" t="s">
        <v>6525</v>
      </c>
      <c r="W51" s="70" t="s">
        <v>6599</v>
      </c>
      <c r="X51" s="64" t="s">
        <v>6599</v>
      </c>
      <c r="Y51" s="64" t="s">
        <v>6596</v>
      </c>
      <c r="Z51" s="66" t="s">
        <v>6597</v>
      </c>
      <c r="AA51" s="71"/>
    </row>
    <row r="52" ht="15.75" customHeight="1">
      <c r="A52" s="56" t="s">
        <v>6649</v>
      </c>
      <c r="B52" s="56" t="s">
        <v>6201</v>
      </c>
      <c r="C52" s="57">
        <v>18185.0</v>
      </c>
      <c r="D52" s="127" t="s">
        <v>6594</v>
      </c>
      <c r="E52" s="59">
        <v>29783.0</v>
      </c>
      <c r="F52" s="60">
        <v>44614.0</v>
      </c>
      <c r="G52" s="61">
        <v>0.3958333333333333</v>
      </c>
      <c r="H52" s="83" t="s">
        <v>6561</v>
      </c>
      <c r="I52" s="89" t="s">
        <v>6527</v>
      </c>
      <c r="J52" s="65" t="s">
        <v>6416</v>
      </c>
      <c r="K52" s="66" t="s">
        <v>6559</v>
      </c>
      <c r="L52" s="66"/>
      <c r="M52" s="66"/>
      <c r="N52" s="66"/>
      <c r="O52" s="127" t="s">
        <v>6594</v>
      </c>
      <c r="P52" s="59" t="e">
        <v>#VALUE!</v>
      </c>
      <c r="Q52" s="67" t="e">
        <v>#VALUE!</v>
      </c>
      <c r="R52" s="68" t="e">
        <v>#VALUE!</v>
      </c>
      <c r="S52" s="62" t="e">
        <v>#VALUE!</v>
      </c>
      <c r="T52" s="62" t="e">
        <v>#VALUE!</v>
      </c>
      <c r="U52" s="63">
        <v>0.0</v>
      </c>
      <c r="V52" s="69" t="s">
        <v>6525</v>
      </c>
      <c r="W52" s="70" t="s">
        <v>6599</v>
      </c>
      <c r="X52" s="64" t="s">
        <v>6599</v>
      </c>
      <c r="Y52" s="64" t="s">
        <v>6596</v>
      </c>
      <c r="Z52" s="66" t="s">
        <v>6597</v>
      </c>
      <c r="AA52" s="71"/>
    </row>
    <row r="53" ht="15.75" customHeight="1">
      <c r="A53" s="56" t="s">
        <v>6650</v>
      </c>
      <c r="B53" s="56" t="s">
        <v>183</v>
      </c>
      <c r="C53" s="57">
        <v>9492.0</v>
      </c>
      <c r="D53" s="127" t="s">
        <v>6594</v>
      </c>
      <c r="E53" s="59">
        <v>16812.0</v>
      </c>
      <c r="F53" s="60">
        <v>44614.0</v>
      </c>
      <c r="G53" s="61">
        <v>0.40625</v>
      </c>
      <c r="H53" s="83" t="s">
        <v>6558</v>
      </c>
      <c r="I53" s="89" t="s">
        <v>6521</v>
      </c>
      <c r="J53" s="65" t="s">
        <v>6489</v>
      </c>
      <c r="K53" s="66"/>
      <c r="L53" s="66" t="s">
        <v>6559</v>
      </c>
      <c r="M53" s="66"/>
      <c r="N53" s="66"/>
      <c r="O53" s="127" t="s">
        <v>6594</v>
      </c>
      <c r="P53" s="59" t="e">
        <v>#VALUE!</v>
      </c>
      <c r="Q53" s="67" t="e">
        <v>#VALUE!</v>
      </c>
      <c r="R53" s="68" t="e">
        <v>#VALUE!</v>
      </c>
      <c r="S53" s="62" t="e">
        <v>#VALUE!</v>
      </c>
      <c r="T53" s="62" t="e">
        <v>#VALUE!</v>
      </c>
      <c r="U53" s="63">
        <v>0.0</v>
      </c>
      <c r="V53" s="69" t="s">
        <v>6523</v>
      </c>
      <c r="W53" s="70" t="s">
        <v>6602</v>
      </c>
      <c r="X53" s="64" t="s">
        <v>6602</v>
      </c>
      <c r="Y53" s="64" t="s">
        <v>6596</v>
      </c>
      <c r="Z53" s="66" t="s">
        <v>6597</v>
      </c>
      <c r="AA53" s="71"/>
    </row>
    <row r="54" ht="15.75" customHeight="1">
      <c r="A54" s="56" t="s">
        <v>6651</v>
      </c>
      <c r="B54" s="56" t="s">
        <v>2415</v>
      </c>
      <c r="C54" s="57">
        <v>13673.0</v>
      </c>
      <c r="D54" s="127" t="s">
        <v>6594</v>
      </c>
      <c r="E54" s="59">
        <v>25366.0</v>
      </c>
      <c r="F54" s="60">
        <v>44614.0</v>
      </c>
      <c r="G54" s="61">
        <v>0.4166666666666667</v>
      </c>
      <c r="H54" s="83" t="s">
        <v>6558</v>
      </c>
      <c r="I54" s="89" t="s">
        <v>6521</v>
      </c>
      <c r="J54" s="65" t="s">
        <v>6420</v>
      </c>
      <c r="K54" s="66"/>
      <c r="L54" s="66" t="s">
        <v>6559</v>
      </c>
      <c r="M54" s="66"/>
      <c r="N54" s="66"/>
      <c r="O54" s="127" t="s">
        <v>6594</v>
      </c>
      <c r="P54" s="59" t="e">
        <v>#VALUE!</v>
      </c>
      <c r="Q54" s="67" t="e">
        <v>#VALUE!</v>
      </c>
      <c r="R54" s="68" t="e">
        <v>#VALUE!</v>
      </c>
      <c r="S54" s="62" t="e">
        <v>#VALUE!</v>
      </c>
      <c r="T54" s="62" t="e">
        <v>#VALUE!</v>
      </c>
      <c r="U54" s="63">
        <v>0.0</v>
      </c>
      <c r="V54" s="69" t="s">
        <v>6523</v>
      </c>
      <c r="W54" s="70" t="s">
        <v>6602</v>
      </c>
      <c r="X54" s="64" t="s">
        <v>6602</v>
      </c>
      <c r="Y54" s="64" t="s">
        <v>6596</v>
      </c>
      <c r="Z54" s="66" t="s">
        <v>6597</v>
      </c>
      <c r="AA54" s="71"/>
    </row>
    <row r="55" ht="15.75" customHeight="1">
      <c r="A55" s="56" t="s">
        <v>6652</v>
      </c>
      <c r="B55" s="56" t="s">
        <v>6197</v>
      </c>
      <c r="C55" s="57">
        <v>18173.0</v>
      </c>
      <c r="D55" s="127" t="s">
        <v>6594</v>
      </c>
      <c r="E55" s="59">
        <v>15794.0</v>
      </c>
      <c r="F55" s="60">
        <v>44614.0</v>
      </c>
      <c r="G55" s="61">
        <v>0.4166666666666667</v>
      </c>
      <c r="H55" s="83" t="s">
        <v>6561</v>
      </c>
      <c r="I55" s="89" t="s">
        <v>6527</v>
      </c>
      <c r="J55" s="65" t="s">
        <v>6381</v>
      </c>
      <c r="K55" s="66" t="s">
        <v>6559</v>
      </c>
      <c r="L55" s="66"/>
      <c r="M55" s="66"/>
      <c r="N55" s="66"/>
      <c r="O55" s="127" t="s">
        <v>6594</v>
      </c>
      <c r="P55" s="59" t="e">
        <v>#VALUE!</v>
      </c>
      <c r="Q55" s="67" t="e">
        <v>#VALUE!</v>
      </c>
      <c r="R55" s="68" t="e">
        <v>#VALUE!</v>
      </c>
      <c r="S55" s="62" t="e">
        <v>#VALUE!</v>
      </c>
      <c r="T55" s="62" t="e">
        <v>#VALUE!</v>
      </c>
      <c r="U55" s="63">
        <v>0.0</v>
      </c>
      <c r="V55" s="69" t="s">
        <v>6525</v>
      </c>
      <c r="W55" s="70" t="s">
        <v>6599</v>
      </c>
      <c r="X55" s="64" t="s">
        <v>6599</v>
      </c>
      <c r="Y55" s="64" t="s">
        <v>6596</v>
      </c>
      <c r="Z55" s="66" t="s">
        <v>6597</v>
      </c>
      <c r="AA55" s="71"/>
    </row>
    <row r="56" ht="15.75" customHeight="1">
      <c r="A56" s="56" t="s">
        <v>6653</v>
      </c>
      <c r="B56" s="56" t="s">
        <v>2858</v>
      </c>
      <c r="C56" s="57">
        <v>14257.0</v>
      </c>
      <c r="D56" s="127" t="s">
        <v>6594</v>
      </c>
      <c r="E56" s="59">
        <v>15843.0</v>
      </c>
      <c r="F56" s="60">
        <v>44614.0</v>
      </c>
      <c r="G56" s="61">
        <v>0.4479166666666667</v>
      </c>
      <c r="H56" s="83" t="s">
        <v>6561</v>
      </c>
      <c r="I56" s="89" t="s">
        <v>6527</v>
      </c>
      <c r="J56" s="65" t="s">
        <v>6489</v>
      </c>
      <c r="K56" s="66"/>
      <c r="L56" s="66" t="s">
        <v>6559</v>
      </c>
      <c r="M56" s="66" t="s">
        <v>6559</v>
      </c>
      <c r="N56" s="66"/>
      <c r="O56" s="127" t="s">
        <v>6594</v>
      </c>
      <c r="P56" s="59" t="e">
        <v>#VALUE!</v>
      </c>
      <c r="Q56" s="67" t="e">
        <v>#VALUE!</v>
      </c>
      <c r="R56" s="68" t="e">
        <v>#VALUE!</v>
      </c>
      <c r="S56" s="62" t="e">
        <v>#VALUE!</v>
      </c>
      <c r="T56" s="62" t="e">
        <v>#VALUE!</v>
      </c>
      <c r="U56" s="63">
        <v>0.0</v>
      </c>
      <c r="V56" s="69" t="s">
        <v>6519</v>
      </c>
      <c r="W56" s="70" t="s">
        <v>6595</v>
      </c>
      <c r="X56" s="64" t="s">
        <v>6595</v>
      </c>
      <c r="Y56" s="64" t="s">
        <v>6596</v>
      </c>
      <c r="Z56" s="66" t="s">
        <v>6597</v>
      </c>
      <c r="AA56" s="71"/>
    </row>
    <row r="57" ht="15.75" customHeight="1">
      <c r="A57" s="56" t="s">
        <v>6654</v>
      </c>
      <c r="B57" s="56" t="s">
        <v>6202</v>
      </c>
      <c r="C57" s="57">
        <v>18179.0</v>
      </c>
      <c r="D57" s="127" t="s">
        <v>6594</v>
      </c>
      <c r="E57" s="59">
        <v>20924.0</v>
      </c>
      <c r="F57" s="60">
        <v>44614.0</v>
      </c>
      <c r="G57" s="61">
        <v>0.4479166666666667</v>
      </c>
      <c r="H57" s="83" t="s">
        <v>6561</v>
      </c>
      <c r="I57" s="89" t="s">
        <v>6527</v>
      </c>
      <c r="J57" s="65" t="s">
        <v>6379</v>
      </c>
      <c r="K57" s="66" t="s">
        <v>6559</v>
      </c>
      <c r="L57" s="66"/>
      <c r="M57" s="66"/>
      <c r="N57" s="66"/>
      <c r="O57" s="127" t="s">
        <v>6594</v>
      </c>
      <c r="P57" s="59" t="e">
        <v>#VALUE!</v>
      </c>
      <c r="Q57" s="67" t="e">
        <v>#VALUE!</v>
      </c>
      <c r="R57" s="68" t="e">
        <v>#VALUE!</v>
      </c>
      <c r="S57" s="62" t="e">
        <v>#VALUE!</v>
      </c>
      <c r="T57" s="62" t="e">
        <v>#VALUE!</v>
      </c>
      <c r="U57" s="63">
        <v>0.0</v>
      </c>
      <c r="V57" s="69" t="s">
        <v>6525</v>
      </c>
      <c r="W57" s="70" t="s">
        <v>6599</v>
      </c>
      <c r="X57" s="64" t="s">
        <v>6599</v>
      </c>
      <c r="Y57" s="64" t="s">
        <v>6596</v>
      </c>
      <c r="Z57" s="66" t="s">
        <v>6597</v>
      </c>
      <c r="AA57" s="71"/>
    </row>
    <row r="58" ht="15.75" customHeight="1">
      <c r="A58" s="56" t="s">
        <v>6655</v>
      </c>
      <c r="B58" s="56" t="s">
        <v>5840</v>
      </c>
      <c r="C58" s="57">
        <v>17683.0</v>
      </c>
      <c r="D58" s="127" t="s">
        <v>6594</v>
      </c>
      <c r="E58" s="59">
        <v>36630.0</v>
      </c>
      <c r="F58" s="60">
        <v>44614.0</v>
      </c>
      <c r="G58" s="61">
        <v>0.4791666666666667</v>
      </c>
      <c r="H58" s="83" t="s">
        <v>6561</v>
      </c>
      <c r="I58" s="89" t="s">
        <v>6527</v>
      </c>
      <c r="J58" s="65" t="s">
        <v>6407</v>
      </c>
      <c r="K58" s="66"/>
      <c r="L58" s="66" t="s">
        <v>6559</v>
      </c>
      <c r="M58" s="66" t="s">
        <v>6559</v>
      </c>
      <c r="N58" s="66"/>
      <c r="O58" s="127" t="s">
        <v>6594</v>
      </c>
      <c r="P58" s="59" t="e">
        <v>#VALUE!</v>
      </c>
      <c r="Q58" s="67" t="e">
        <v>#VALUE!</v>
      </c>
      <c r="R58" s="68" t="e">
        <v>#VALUE!</v>
      </c>
      <c r="S58" s="62" t="e">
        <v>#VALUE!</v>
      </c>
      <c r="T58" s="62" t="e">
        <v>#VALUE!</v>
      </c>
      <c r="U58" s="63">
        <v>0.0</v>
      </c>
      <c r="V58" s="69" t="s">
        <v>6519</v>
      </c>
      <c r="W58" s="70" t="s">
        <v>6595</v>
      </c>
      <c r="X58" s="64" t="s">
        <v>6595</v>
      </c>
      <c r="Y58" s="64" t="s">
        <v>6596</v>
      </c>
      <c r="Z58" s="66" t="s">
        <v>6597</v>
      </c>
      <c r="AA58" s="71"/>
    </row>
    <row r="59" ht="15.75" customHeight="1">
      <c r="A59" s="56" t="s">
        <v>6656</v>
      </c>
      <c r="B59" s="56" t="s">
        <v>651</v>
      </c>
      <c r="C59" s="57">
        <v>10718.0</v>
      </c>
      <c r="D59" s="127" t="s">
        <v>6594</v>
      </c>
      <c r="E59" s="59">
        <v>25173.0</v>
      </c>
      <c r="F59" s="60">
        <v>44614.0</v>
      </c>
      <c r="G59" s="61">
        <v>0.5625</v>
      </c>
      <c r="H59" s="83" t="s">
        <v>6560</v>
      </c>
      <c r="I59" s="89" t="s">
        <v>6524</v>
      </c>
      <c r="J59" s="65" t="s">
        <v>6381</v>
      </c>
      <c r="K59" s="66"/>
      <c r="L59" s="66" t="s">
        <v>6559</v>
      </c>
      <c r="M59" s="66"/>
      <c r="N59" s="66"/>
      <c r="O59" s="127" t="s">
        <v>6594</v>
      </c>
      <c r="P59" s="59" t="e">
        <v>#VALUE!</v>
      </c>
      <c r="Q59" s="67" t="e">
        <v>#VALUE!</v>
      </c>
      <c r="R59" s="68" t="e">
        <v>#VALUE!</v>
      </c>
      <c r="S59" s="62" t="e">
        <v>#VALUE!</v>
      </c>
      <c r="T59" s="62" t="e">
        <v>#VALUE!</v>
      </c>
      <c r="U59" s="63">
        <v>0.0</v>
      </c>
      <c r="V59" s="69" t="s">
        <v>6523</v>
      </c>
      <c r="W59" s="70" t="s">
        <v>6602</v>
      </c>
      <c r="X59" s="64" t="s">
        <v>6602</v>
      </c>
      <c r="Y59" s="64" t="s">
        <v>6596</v>
      </c>
      <c r="Z59" s="66" t="s">
        <v>6597</v>
      </c>
      <c r="AA59" s="71"/>
    </row>
    <row r="60" ht="15.75" customHeight="1">
      <c r="A60" s="56" t="s">
        <v>6657</v>
      </c>
      <c r="B60" s="56" t="s">
        <v>5109</v>
      </c>
      <c r="C60" s="57">
        <v>16983.0</v>
      </c>
      <c r="D60" s="127" t="s">
        <v>6594</v>
      </c>
      <c r="E60" s="59">
        <v>33550.0</v>
      </c>
      <c r="F60" s="60">
        <v>44614.0</v>
      </c>
      <c r="G60" s="61">
        <v>0.5625</v>
      </c>
      <c r="H60" s="83" t="s">
        <v>6560</v>
      </c>
      <c r="I60" s="89" t="s">
        <v>6524</v>
      </c>
      <c r="J60" s="65" t="s">
        <v>6444</v>
      </c>
      <c r="K60" s="66"/>
      <c r="L60" s="66" t="s">
        <v>6559</v>
      </c>
      <c r="M60" s="66" t="s">
        <v>6559</v>
      </c>
      <c r="N60" s="66"/>
      <c r="O60" s="127" t="s">
        <v>6594</v>
      </c>
      <c r="P60" s="59" t="e">
        <v>#VALUE!</v>
      </c>
      <c r="Q60" s="67" t="e">
        <v>#VALUE!</v>
      </c>
      <c r="R60" s="68" t="e">
        <v>#VALUE!</v>
      </c>
      <c r="S60" s="62" t="e">
        <v>#VALUE!</v>
      </c>
      <c r="T60" s="62" t="e">
        <v>#VALUE!</v>
      </c>
      <c r="U60" s="63">
        <v>0.0</v>
      </c>
      <c r="V60" s="69" t="s">
        <v>6519</v>
      </c>
      <c r="W60" s="70" t="s">
        <v>6595</v>
      </c>
      <c r="X60" s="64" t="s">
        <v>6595</v>
      </c>
      <c r="Y60" s="64" t="s">
        <v>6596</v>
      </c>
      <c r="Z60" s="66" t="s">
        <v>6597</v>
      </c>
      <c r="AA60" s="71"/>
    </row>
    <row r="61" ht="15.75" customHeight="1">
      <c r="A61" s="56" t="s">
        <v>6658</v>
      </c>
      <c r="B61" s="56" t="s">
        <v>6221</v>
      </c>
      <c r="C61" s="57">
        <v>18149.0</v>
      </c>
      <c r="D61" s="127" t="s">
        <v>6594</v>
      </c>
      <c r="E61" s="59">
        <v>34389.0</v>
      </c>
      <c r="F61" s="60">
        <v>44614.0</v>
      </c>
      <c r="G61" s="61">
        <v>0.5625</v>
      </c>
      <c r="H61" s="83" t="s">
        <v>6561</v>
      </c>
      <c r="I61" s="89" t="s">
        <v>6527</v>
      </c>
      <c r="J61" s="65" t="s">
        <v>6451</v>
      </c>
      <c r="K61" s="66" t="s">
        <v>6559</v>
      </c>
      <c r="L61" s="66"/>
      <c r="M61" s="66"/>
      <c r="N61" s="66"/>
      <c r="O61" s="127" t="s">
        <v>6594</v>
      </c>
      <c r="P61" s="59" t="e">
        <v>#VALUE!</v>
      </c>
      <c r="Q61" s="67" t="e">
        <v>#VALUE!</v>
      </c>
      <c r="R61" s="68" t="e">
        <v>#VALUE!</v>
      </c>
      <c r="S61" s="62" t="e">
        <v>#VALUE!</v>
      </c>
      <c r="T61" s="62" t="e">
        <v>#VALUE!</v>
      </c>
      <c r="U61" s="63">
        <v>0.0</v>
      </c>
      <c r="V61" s="69" t="s">
        <v>6525</v>
      </c>
      <c r="W61" s="70" t="s">
        <v>6599</v>
      </c>
      <c r="X61" s="64" t="s">
        <v>6599</v>
      </c>
      <c r="Y61" s="64" t="s">
        <v>6596</v>
      </c>
      <c r="Z61" s="66" t="s">
        <v>6597</v>
      </c>
      <c r="AA61" s="71"/>
    </row>
    <row r="62" ht="15.75" customHeight="1">
      <c r="A62" s="56" t="s">
        <v>6659</v>
      </c>
      <c r="B62" s="56" t="s">
        <v>6222</v>
      </c>
      <c r="C62" s="57">
        <v>18154.0</v>
      </c>
      <c r="D62" s="127" t="s">
        <v>6594</v>
      </c>
      <c r="E62" s="59">
        <v>16024.0</v>
      </c>
      <c r="F62" s="60">
        <v>44614.0</v>
      </c>
      <c r="G62" s="61">
        <v>0.5625</v>
      </c>
      <c r="H62" s="83" t="s">
        <v>6561</v>
      </c>
      <c r="I62" s="89" t="s">
        <v>6527</v>
      </c>
      <c r="J62" s="65" t="s">
        <v>6476</v>
      </c>
      <c r="K62" s="66" t="s">
        <v>6559</v>
      </c>
      <c r="L62" s="66"/>
      <c r="M62" s="66"/>
      <c r="N62" s="66"/>
      <c r="O62" s="127" t="s">
        <v>6594</v>
      </c>
      <c r="P62" s="59" t="e">
        <v>#VALUE!</v>
      </c>
      <c r="Q62" s="67" t="e">
        <v>#VALUE!</v>
      </c>
      <c r="R62" s="68" t="e">
        <v>#VALUE!</v>
      </c>
      <c r="S62" s="62" t="e">
        <v>#VALUE!</v>
      </c>
      <c r="T62" s="62" t="e">
        <v>#VALUE!</v>
      </c>
      <c r="U62" s="63">
        <v>0.0</v>
      </c>
      <c r="V62" s="69" t="s">
        <v>6525</v>
      </c>
      <c r="W62" s="70" t="s">
        <v>6599</v>
      </c>
      <c r="X62" s="64" t="s">
        <v>6599</v>
      </c>
      <c r="Y62" s="64" t="s">
        <v>6596</v>
      </c>
      <c r="Z62" s="66" t="s">
        <v>6597</v>
      </c>
      <c r="AA62" s="71"/>
    </row>
    <row r="63" ht="15.75" customHeight="1">
      <c r="A63" s="56" t="s">
        <v>6660</v>
      </c>
      <c r="B63" s="56" t="s">
        <v>4595</v>
      </c>
      <c r="C63" s="57">
        <v>16320.0</v>
      </c>
      <c r="D63" s="127" t="s">
        <v>6594</v>
      </c>
      <c r="E63" s="59">
        <v>12609.0</v>
      </c>
      <c r="F63" s="60">
        <v>44614.0</v>
      </c>
      <c r="G63" s="61">
        <v>0.5729166666666666</v>
      </c>
      <c r="H63" s="83" t="s">
        <v>6560</v>
      </c>
      <c r="I63" s="89" t="s">
        <v>6524</v>
      </c>
      <c r="J63" s="65" t="s">
        <v>6457</v>
      </c>
      <c r="K63" s="66"/>
      <c r="L63" s="66" t="s">
        <v>6559</v>
      </c>
      <c r="M63" s="66" t="s">
        <v>6559</v>
      </c>
      <c r="N63" s="66"/>
      <c r="O63" s="127" t="s">
        <v>6594</v>
      </c>
      <c r="P63" s="59" t="e">
        <v>#VALUE!</v>
      </c>
      <c r="Q63" s="67" t="e">
        <v>#VALUE!</v>
      </c>
      <c r="R63" s="68" t="e">
        <v>#VALUE!</v>
      </c>
      <c r="S63" s="62" t="e">
        <v>#VALUE!</v>
      </c>
      <c r="T63" s="62" t="e">
        <v>#VALUE!</v>
      </c>
      <c r="U63" s="63">
        <v>0.0</v>
      </c>
      <c r="V63" s="69" t="s">
        <v>6519</v>
      </c>
      <c r="W63" s="70" t="s">
        <v>6595</v>
      </c>
      <c r="X63" s="64" t="s">
        <v>6595</v>
      </c>
      <c r="Y63" s="64" t="s">
        <v>6596</v>
      </c>
      <c r="Z63" s="66" t="s">
        <v>6597</v>
      </c>
      <c r="AA63" s="71"/>
    </row>
    <row r="64" ht="15.75" customHeight="1">
      <c r="A64" s="56" t="s">
        <v>6661</v>
      </c>
      <c r="B64" s="56" t="s">
        <v>5464</v>
      </c>
      <c r="C64" s="57">
        <v>17432.0</v>
      </c>
      <c r="D64" s="127" t="s">
        <v>6594</v>
      </c>
      <c r="E64" s="59">
        <v>28960.0</v>
      </c>
      <c r="F64" s="60">
        <v>44614.0</v>
      </c>
      <c r="G64" s="61">
        <v>0.5833333333333334</v>
      </c>
      <c r="H64" s="83" t="s">
        <v>6560</v>
      </c>
      <c r="I64" s="89" t="s">
        <v>6524</v>
      </c>
      <c r="J64" s="65" t="s">
        <v>6436</v>
      </c>
      <c r="K64" s="66"/>
      <c r="L64" s="66" t="s">
        <v>6559</v>
      </c>
      <c r="M64" s="66"/>
      <c r="N64" s="66"/>
      <c r="O64" s="127" t="s">
        <v>6594</v>
      </c>
      <c r="P64" s="59" t="e">
        <v>#VALUE!</v>
      </c>
      <c r="Q64" s="67" t="e">
        <v>#VALUE!</v>
      </c>
      <c r="R64" s="68" t="e">
        <v>#VALUE!</v>
      </c>
      <c r="S64" s="62" t="e">
        <v>#VALUE!</v>
      </c>
      <c r="T64" s="62" t="e">
        <v>#VALUE!</v>
      </c>
      <c r="U64" s="63">
        <v>0.0</v>
      </c>
      <c r="V64" s="69" t="s">
        <v>6523</v>
      </c>
      <c r="W64" s="70" t="s">
        <v>6602</v>
      </c>
      <c r="X64" s="64" t="s">
        <v>6602</v>
      </c>
      <c r="Y64" s="64" t="s">
        <v>6596</v>
      </c>
      <c r="Z64" s="66" t="s">
        <v>6597</v>
      </c>
      <c r="AA64" s="71"/>
    </row>
    <row r="65" ht="15.75" customHeight="1">
      <c r="A65" s="56" t="s">
        <v>6662</v>
      </c>
      <c r="B65" s="56" t="s">
        <v>5020</v>
      </c>
      <c r="C65" s="57">
        <v>16873.0</v>
      </c>
      <c r="D65" s="127" t="s">
        <v>6594</v>
      </c>
      <c r="E65" s="59">
        <v>25643.0</v>
      </c>
      <c r="F65" s="60">
        <v>44614.0</v>
      </c>
      <c r="G65" s="61">
        <v>0.59375</v>
      </c>
      <c r="H65" s="83" t="s">
        <v>6561</v>
      </c>
      <c r="I65" s="89" t="s">
        <v>6527</v>
      </c>
      <c r="J65" s="65" t="s">
        <v>6381</v>
      </c>
      <c r="K65" s="66" t="s">
        <v>6559</v>
      </c>
      <c r="L65" s="66"/>
      <c r="M65" s="66"/>
      <c r="N65" s="66"/>
      <c r="O65" s="127" t="s">
        <v>6594</v>
      </c>
      <c r="P65" s="59" t="e">
        <v>#VALUE!</v>
      </c>
      <c r="Q65" s="67" t="e">
        <v>#VALUE!</v>
      </c>
      <c r="R65" s="68" t="e">
        <v>#VALUE!</v>
      </c>
      <c r="S65" s="62" t="e">
        <v>#VALUE!</v>
      </c>
      <c r="T65" s="62" t="e">
        <v>#VALUE!</v>
      </c>
      <c r="U65" s="63">
        <v>0.0</v>
      </c>
      <c r="V65" s="69" t="s">
        <v>6525</v>
      </c>
      <c r="W65" s="70" t="s">
        <v>6599</v>
      </c>
      <c r="X65" s="64" t="s">
        <v>6599</v>
      </c>
      <c r="Y65" s="64" t="s">
        <v>6596</v>
      </c>
      <c r="Z65" s="66" t="s">
        <v>6597</v>
      </c>
      <c r="AA65" s="71"/>
    </row>
    <row r="66" ht="15.75" customHeight="1">
      <c r="A66" s="56" t="s">
        <v>6663</v>
      </c>
      <c r="B66" s="56" t="s">
        <v>6205</v>
      </c>
      <c r="C66" s="57">
        <v>18142.0</v>
      </c>
      <c r="D66" s="127" t="s">
        <v>6594</v>
      </c>
      <c r="E66" s="59">
        <v>23091.0</v>
      </c>
      <c r="F66" s="60">
        <v>44614.0</v>
      </c>
      <c r="G66" s="61">
        <v>0.59375</v>
      </c>
      <c r="H66" s="83" t="s">
        <v>6561</v>
      </c>
      <c r="I66" s="89" t="s">
        <v>6527</v>
      </c>
      <c r="J66" s="65" t="s">
        <v>6381</v>
      </c>
      <c r="K66" s="66" t="s">
        <v>6559</v>
      </c>
      <c r="L66" s="66"/>
      <c r="M66" s="66"/>
      <c r="N66" s="66"/>
      <c r="O66" s="127" t="s">
        <v>6594</v>
      </c>
      <c r="P66" s="59" t="e">
        <v>#VALUE!</v>
      </c>
      <c r="Q66" s="67" t="e">
        <v>#VALUE!</v>
      </c>
      <c r="R66" s="68" t="e">
        <v>#VALUE!</v>
      </c>
      <c r="S66" s="62" t="e">
        <v>#VALUE!</v>
      </c>
      <c r="T66" s="62" t="e">
        <v>#VALUE!</v>
      </c>
      <c r="U66" s="63">
        <v>0.0</v>
      </c>
      <c r="V66" s="69" t="s">
        <v>6525</v>
      </c>
      <c r="W66" s="70" t="s">
        <v>6599</v>
      </c>
      <c r="X66" s="64" t="s">
        <v>6599</v>
      </c>
      <c r="Y66" s="64" t="s">
        <v>6596</v>
      </c>
      <c r="Z66" s="66" t="s">
        <v>6597</v>
      </c>
      <c r="AA66" s="71"/>
    </row>
    <row r="67" ht="15.75" customHeight="1">
      <c r="A67" s="56" t="s">
        <v>6664</v>
      </c>
      <c r="B67" s="56" t="s">
        <v>6199</v>
      </c>
      <c r="C67" s="57">
        <v>17804.0</v>
      </c>
      <c r="D67" s="127" t="s">
        <v>6594</v>
      </c>
      <c r="E67" s="59">
        <v>26496.0</v>
      </c>
      <c r="F67" s="60">
        <v>44614.0</v>
      </c>
      <c r="G67" s="61">
        <v>0.6145833333333334</v>
      </c>
      <c r="H67" s="83" t="s">
        <v>6561</v>
      </c>
      <c r="I67" s="89" t="s">
        <v>6527</v>
      </c>
      <c r="J67" s="65" t="s">
        <v>6407</v>
      </c>
      <c r="K67" s="66" t="s">
        <v>6559</v>
      </c>
      <c r="L67" s="66"/>
      <c r="M67" s="66"/>
      <c r="N67" s="66"/>
      <c r="O67" s="127" t="s">
        <v>6594</v>
      </c>
      <c r="P67" s="59" t="e">
        <v>#VALUE!</v>
      </c>
      <c r="Q67" s="67" t="e">
        <v>#VALUE!</v>
      </c>
      <c r="R67" s="68" t="e">
        <v>#VALUE!</v>
      </c>
      <c r="S67" s="62" t="e">
        <v>#VALUE!</v>
      </c>
      <c r="T67" s="62" t="e">
        <v>#VALUE!</v>
      </c>
      <c r="U67" s="63">
        <v>0.0</v>
      </c>
      <c r="V67" s="69" t="s">
        <v>6525</v>
      </c>
      <c r="W67" s="70" t="s">
        <v>6599</v>
      </c>
      <c r="X67" s="64" t="s">
        <v>6599</v>
      </c>
      <c r="Y67" s="64" t="s">
        <v>6596</v>
      </c>
      <c r="Z67" s="66" t="s">
        <v>6597</v>
      </c>
      <c r="AA67" s="71"/>
    </row>
    <row r="68" ht="15.75" customHeight="1">
      <c r="A68" s="56" t="s">
        <v>6665</v>
      </c>
      <c r="B68" s="56" t="s">
        <v>5994</v>
      </c>
      <c r="C68" s="57">
        <v>17945.0</v>
      </c>
      <c r="D68" s="127" t="s">
        <v>6594</v>
      </c>
      <c r="E68" s="59">
        <v>33072.0</v>
      </c>
      <c r="F68" s="60">
        <v>44614.0</v>
      </c>
      <c r="G68" s="61">
        <v>0.6145833333333334</v>
      </c>
      <c r="H68" s="83" t="s">
        <v>6561</v>
      </c>
      <c r="I68" s="89" t="s">
        <v>6527</v>
      </c>
      <c r="J68" s="65" t="s">
        <v>6407</v>
      </c>
      <c r="K68" s="66" t="s">
        <v>6559</v>
      </c>
      <c r="L68" s="66"/>
      <c r="M68" s="66"/>
      <c r="N68" s="66"/>
      <c r="O68" s="127" t="s">
        <v>6594</v>
      </c>
      <c r="P68" s="59" t="e">
        <v>#VALUE!</v>
      </c>
      <c r="Q68" s="67" t="e">
        <v>#VALUE!</v>
      </c>
      <c r="R68" s="68" t="e">
        <v>#VALUE!</v>
      </c>
      <c r="S68" s="62" t="e">
        <v>#VALUE!</v>
      </c>
      <c r="T68" s="62" t="e">
        <v>#VALUE!</v>
      </c>
      <c r="U68" s="63">
        <v>0.0</v>
      </c>
      <c r="V68" s="69" t="s">
        <v>6525</v>
      </c>
      <c r="W68" s="70" t="s">
        <v>6599</v>
      </c>
      <c r="X68" s="64" t="s">
        <v>6599</v>
      </c>
      <c r="Y68" s="64" t="s">
        <v>6596</v>
      </c>
      <c r="Z68" s="66" t="s">
        <v>6597</v>
      </c>
      <c r="AA68" s="71"/>
    </row>
    <row r="69" ht="15.75" customHeight="1">
      <c r="A69" s="56" t="s">
        <v>6666</v>
      </c>
      <c r="B69" s="56" t="s">
        <v>695</v>
      </c>
      <c r="C69" s="57">
        <v>10817.0</v>
      </c>
      <c r="D69" s="127" t="s">
        <v>6594</v>
      </c>
      <c r="E69" s="59">
        <v>22099.0</v>
      </c>
      <c r="F69" s="60">
        <v>44614.0</v>
      </c>
      <c r="G69" s="61">
        <v>0.6458333333333334</v>
      </c>
      <c r="H69" s="83" t="s">
        <v>6561</v>
      </c>
      <c r="I69" s="89" t="s">
        <v>6527</v>
      </c>
      <c r="J69" s="65" t="s">
        <v>6462</v>
      </c>
      <c r="K69" s="66"/>
      <c r="L69" s="66" t="s">
        <v>6559</v>
      </c>
      <c r="M69" s="66"/>
      <c r="N69" s="66"/>
      <c r="O69" s="127" t="s">
        <v>6594</v>
      </c>
      <c r="P69" s="59" t="e">
        <v>#VALUE!</v>
      </c>
      <c r="Q69" s="67" t="e">
        <v>#VALUE!</v>
      </c>
      <c r="R69" s="68" t="e">
        <v>#VALUE!</v>
      </c>
      <c r="S69" s="62" t="e">
        <v>#VALUE!</v>
      </c>
      <c r="T69" s="62" t="e">
        <v>#VALUE!</v>
      </c>
      <c r="U69" s="63">
        <v>0.0</v>
      </c>
      <c r="V69" s="69" t="s">
        <v>6523</v>
      </c>
      <c r="W69" s="70" t="s">
        <v>6602</v>
      </c>
      <c r="X69" s="64" t="s">
        <v>6602</v>
      </c>
      <c r="Y69" s="64" t="s">
        <v>6596</v>
      </c>
      <c r="Z69" s="66" t="s">
        <v>6597</v>
      </c>
      <c r="AA69" s="71"/>
    </row>
    <row r="70" ht="15.75" customHeight="1">
      <c r="A70" s="56" t="s">
        <v>6667</v>
      </c>
      <c r="B70" s="56" t="s">
        <v>3069</v>
      </c>
      <c r="C70" s="57">
        <v>14520.0</v>
      </c>
      <c r="D70" s="127" t="s">
        <v>6594</v>
      </c>
      <c r="E70" s="59">
        <v>28140.0</v>
      </c>
      <c r="F70" s="60">
        <v>44614.0</v>
      </c>
      <c r="G70" s="61">
        <v>0.6458333333333334</v>
      </c>
      <c r="H70" s="83" t="s">
        <v>6558</v>
      </c>
      <c r="I70" s="89" t="s">
        <v>6521</v>
      </c>
      <c r="J70" s="65" t="s">
        <v>6372</v>
      </c>
      <c r="K70" s="66"/>
      <c r="L70" s="66" t="s">
        <v>6559</v>
      </c>
      <c r="M70" s="66" t="s">
        <v>6559</v>
      </c>
      <c r="N70" s="66"/>
      <c r="O70" s="127" t="s">
        <v>6594</v>
      </c>
      <c r="P70" s="59" t="e">
        <v>#VALUE!</v>
      </c>
      <c r="Q70" s="67" t="e">
        <v>#VALUE!</v>
      </c>
      <c r="R70" s="68" t="e">
        <v>#VALUE!</v>
      </c>
      <c r="S70" s="62" t="e">
        <v>#VALUE!</v>
      </c>
      <c r="T70" s="62" t="e">
        <v>#VALUE!</v>
      </c>
      <c r="U70" s="63">
        <v>0.0</v>
      </c>
      <c r="V70" s="69" t="s">
        <v>6519</v>
      </c>
      <c r="W70" s="70" t="s">
        <v>6595</v>
      </c>
      <c r="X70" s="64" t="s">
        <v>6595</v>
      </c>
      <c r="Y70" s="64" t="s">
        <v>6596</v>
      </c>
      <c r="Z70" s="66" t="s">
        <v>6597</v>
      </c>
      <c r="AA70" s="71"/>
    </row>
    <row r="71" ht="15.75" customHeight="1">
      <c r="A71" s="56" t="s">
        <v>6668</v>
      </c>
      <c r="B71" s="56" t="s">
        <v>3272</v>
      </c>
      <c r="C71" s="77">
        <v>14757.0</v>
      </c>
      <c r="D71" s="127" t="s">
        <v>6594</v>
      </c>
      <c r="E71" s="59">
        <v>14870.0</v>
      </c>
      <c r="F71" s="60">
        <v>44615.0</v>
      </c>
      <c r="G71" s="61">
        <v>0.3541666666666667</v>
      </c>
      <c r="H71" s="83" t="s">
        <v>6558</v>
      </c>
      <c r="I71" s="89" t="s">
        <v>6521</v>
      </c>
      <c r="J71" s="65" t="s">
        <v>6385</v>
      </c>
      <c r="K71" s="66"/>
      <c r="L71" s="66" t="s">
        <v>6559</v>
      </c>
      <c r="M71" s="66"/>
      <c r="N71" s="66"/>
      <c r="O71" s="127" t="s">
        <v>6594</v>
      </c>
      <c r="P71" s="59" t="e">
        <v>#VALUE!</v>
      </c>
      <c r="Q71" s="67" t="e">
        <v>#VALUE!</v>
      </c>
      <c r="R71" s="68" t="e">
        <v>#VALUE!</v>
      </c>
      <c r="S71" s="62" t="e">
        <v>#VALUE!</v>
      </c>
      <c r="T71" s="62" t="e">
        <v>#VALUE!</v>
      </c>
      <c r="U71" s="63">
        <v>0.0</v>
      </c>
      <c r="V71" s="69" t="s">
        <v>6523</v>
      </c>
      <c r="W71" s="70" t="s">
        <v>6602</v>
      </c>
      <c r="X71" s="64" t="s">
        <v>6602</v>
      </c>
      <c r="Y71" s="64" t="s">
        <v>6596</v>
      </c>
      <c r="Z71" s="66" t="s">
        <v>6597</v>
      </c>
      <c r="AA71" s="71"/>
    </row>
    <row r="72" ht="15.75" customHeight="1">
      <c r="A72" s="56" t="s">
        <v>6669</v>
      </c>
      <c r="B72" s="56" t="s">
        <v>1419</v>
      </c>
      <c r="C72" s="57">
        <v>12375.0</v>
      </c>
      <c r="D72" s="127" t="s">
        <v>6594</v>
      </c>
      <c r="E72" s="59">
        <v>25838.0</v>
      </c>
      <c r="F72" s="60">
        <v>44615.0</v>
      </c>
      <c r="G72" s="61">
        <v>0.375</v>
      </c>
      <c r="H72" s="83" t="s">
        <v>6558</v>
      </c>
      <c r="I72" s="89" t="s">
        <v>6521</v>
      </c>
      <c r="J72" s="65" t="s">
        <v>6489</v>
      </c>
      <c r="K72" s="66"/>
      <c r="L72" s="66" t="s">
        <v>6559</v>
      </c>
      <c r="M72" s="66" t="s">
        <v>6559</v>
      </c>
      <c r="N72" s="66"/>
      <c r="O72" s="127" t="s">
        <v>6594</v>
      </c>
      <c r="P72" s="59" t="e">
        <v>#VALUE!</v>
      </c>
      <c r="Q72" s="67" t="e">
        <v>#VALUE!</v>
      </c>
      <c r="R72" s="68" t="e">
        <v>#VALUE!</v>
      </c>
      <c r="S72" s="62" t="e">
        <v>#VALUE!</v>
      </c>
      <c r="T72" s="62" t="e">
        <v>#VALUE!</v>
      </c>
      <c r="U72" s="63">
        <v>0.0</v>
      </c>
      <c r="V72" s="69" t="s">
        <v>6519</v>
      </c>
      <c r="W72" s="70" t="s">
        <v>6595</v>
      </c>
      <c r="X72" s="64" t="s">
        <v>6595</v>
      </c>
      <c r="Y72" s="64" t="s">
        <v>6596</v>
      </c>
      <c r="Z72" s="66" t="s">
        <v>6597</v>
      </c>
      <c r="AA72" s="71"/>
    </row>
    <row r="73" ht="15.75" customHeight="1">
      <c r="A73" s="56" t="s">
        <v>6670</v>
      </c>
      <c r="B73" s="56" t="s">
        <v>3459</v>
      </c>
      <c r="C73" s="57">
        <v>14985.0</v>
      </c>
      <c r="D73" s="127" t="s">
        <v>6594</v>
      </c>
      <c r="E73" s="59">
        <v>25658.0</v>
      </c>
      <c r="F73" s="60">
        <v>44615.0</v>
      </c>
      <c r="G73" s="61">
        <v>0.375</v>
      </c>
      <c r="H73" s="83" t="s">
        <v>6560</v>
      </c>
      <c r="I73" s="89" t="s">
        <v>6524</v>
      </c>
      <c r="J73" s="65" t="s">
        <v>6379</v>
      </c>
      <c r="K73" s="66"/>
      <c r="L73" s="66" t="s">
        <v>6559</v>
      </c>
      <c r="M73" s="66"/>
      <c r="N73" s="66"/>
      <c r="O73" s="127" t="s">
        <v>6594</v>
      </c>
      <c r="P73" s="59" t="e">
        <v>#VALUE!</v>
      </c>
      <c r="Q73" s="67" t="e">
        <v>#VALUE!</v>
      </c>
      <c r="R73" s="68" t="e">
        <v>#VALUE!</v>
      </c>
      <c r="S73" s="62" t="e">
        <v>#VALUE!</v>
      </c>
      <c r="T73" s="62" t="e">
        <v>#VALUE!</v>
      </c>
      <c r="U73" s="63">
        <v>0.0</v>
      </c>
      <c r="V73" s="69" t="s">
        <v>6523</v>
      </c>
      <c r="W73" s="70" t="s">
        <v>6602</v>
      </c>
      <c r="X73" s="64" t="s">
        <v>6602</v>
      </c>
      <c r="Y73" s="64" t="s">
        <v>6596</v>
      </c>
      <c r="Z73" s="66" t="s">
        <v>6597</v>
      </c>
      <c r="AA73" s="71"/>
    </row>
    <row r="74" ht="15.75" customHeight="1">
      <c r="A74" s="56" t="s">
        <v>6671</v>
      </c>
      <c r="B74" s="56" t="s">
        <v>4575</v>
      </c>
      <c r="C74" s="57">
        <v>16294.0</v>
      </c>
      <c r="D74" s="127" t="s">
        <v>6594</v>
      </c>
      <c r="E74" s="59">
        <v>24388.0</v>
      </c>
      <c r="F74" s="60">
        <v>44615.0</v>
      </c>
      <c r="G74" s="61">
        <v>0.375</v>
      </c>
      <c r="H74" s="83" t="s">
        <v>6558</v>
      </c>
      <c r="I74" s="89" t="s">
        <v>6521</v>
      </c>
      <c r="J74" s="65" t="s">
        <v>6451</v>
      </c>
      <c r="K74" s="66"/>
      <c r="L74" s="66" t="s">
        <v>6559</v>
      </c>
      <c r="M74" s="66" t="s">
        <v>6559</v>
      </c>
      <c r="N74" s="66"/>
      <c r="O74" s="127" t="s">
        <v>6594</v>
      </c>
      <c r="P74" s="59" t="e">
        <v>#VALUE!</v>
      </c>
      <c r="Q74" s="67" t="e">
        <v>#VALUE!</v>
      </c>
      <c r="R74" s="68" t="e">
        <v>#VALUE!</v>
      </c>
      <c r="S74" s="62" t="e">
        <v>#VALUE!</v>
      </c>
      <c r="T74" s="62" t="e">
        <v>#VALUE!</v>
      </c>
      <c r="U74" s="63">
        <v>0.0</v>
      </c>
      <c r="V74" s="69" t="s">
        <v>6519</v>
      </c>
      <c r="W74" s="70" t="s">
        <v>6595</v>
      </c>
      <c r="X74" s="64" t="s">
        <v>6595</v>
      </c>
      <c r="Y74" s="64" t="s">
        <v>6596</v>
      </c>
      <c r="Z74" s="66" t="s">
        <v>6597</v>
      </c>
      <c r="AA74" s="71"/>
    </row>
    <row r="75" ht="15.75" customHeight="1">
      <c r="A75" s="56" t="s">
        <v>6672</v>
      </c>
      <c r="B75" s="56" t="s">
        <v>3656</v>
      </c>
      <c r="C75" s="57">
        <v>15223.0</v>
      </c>
      <c r="D75" s="127" t="s">
        <v>6594</v>
      </c>
      <c r="E75" s="59">
        <v>13792.0</v>
      </c>
      <c r="F75" s="60">
        <v>44615.0</v>
      </c>
      <c r="G75" s="61">
        <v>0.3854166666666667</v>
      </c>
      <c r="H75" s="83" t="s">
        <v>6560</v>
      </c>
      <c r="I75" s="89" t="s">
        <v>6524</v>
      </c>
      <c r="J75" s="65" t="s">
        <v>6384</v>
      </c>
      <c r="K75" s="66"/>
      <c r="L75" s="66" t="s">
        <v>6559</v>
      </c>
      <c r="M75" s="66"/>
      <c r="N75" s="66"/>
      <c r="O75" s="127" t="s">
        <v>6594</v>
      </c>
      <c r="P75" s="59" t="e">
        <v>#VALUE!</v>
      </c>
      <c r="Q75" s="67" t="e">
        <v>#VALUE!</v>
      </c>
      <c r="R75" s="68" t="e">
        <v>#VALUE!</v>
      </c>
      <c r="S75" s="62" t="e">
        <v>#VALUE!</v>
      </c>
      <c r="T75" s="62" t="e">
        <v>#VALUE!</v>
      </c>
      <c r="U75" s="63">
        <v>0.0</v>
      </c>
      <c r="V75" s="69" t="s">
        <v>6523</v>
      </c>
      <c r="W75" s="70" t="s">
        <v>6602</v>
      </c>
      <c r="X75" s="64" t="s">
        <v>6602</v>
      </c>
      <c r="Y75" s="64" t="s">
        <v>6596</v>
      </c>
      <c r="Z75" s="66" t="s">
        <v>6597</v>
      </c>
      <c r="AA75" s="71"/>
    </row>
    <row r="76" ht="15.75" customHeight="1">
      <c r="A76" s="56" t="s">
        <v>6673</v>
      </c>
      <c r="B76" s="56" t="s">
        <v>128</v>
      </c>
      <c r="C76" s="57">
        <v>9283.0</v>
      </c>
      <c r="D76" s="127" t="s">
        <v>6594</v>
      </c>
      <c r="E76" s="59">
        <v>20483.0</v>
      </c>
      <c r="F76" s="60">
        <v>44615.0</v>
      </c>
      <c r="G76" s="61">
        <v>0.40625</v>
      </c>
      <c r="H76" s="83" t="s">
        <v>6561</v>
      </c>
      <c r="I76" s="89" t="s">
        <v>6527</v>
      </c>
      <c r="J76" s="65" t="s">
        <v>6427</v>
      </c>
      <c r="K76" s="66"/>
      <c r="L76" s="66" t="s">
        <v>6559</v>
      </c>
      <c r="M76" s="66"/>
      <c r="N76" s="66"/>
      <c r="O76" s="127" t="s">
        <v>6594</v>
      </c>
      <c r="P76" s="59" t="e">
        <v>#VALUE!</v>
      </c>
      <c r="Q76" s="67" t="e">
        <v>#VALUE!</v>
      </c>
      <c r="R76" s="68" t="e">
        <v>#VALUE!</v>
      </c>
      <c r="S76" s="62" t="e">
        <v>#VALUE!</v>
      </c>
      <c r="T76" s="62" t="e">
        <v>#VALUE!</v>
      </c>
      <c r="U76" s="63">
        <v>0.0</v>
      </c>
      <c r="V76" s="69" t="s">
        <v>6523</v>
      </c>
      <c r="W76" s="70" t="s">
        <v>6602</v>
      </c>
      <c r="X76" s="64" t="s">
        <v>6602</v>
      </c>
      <c r="Y76" s="64" t="s">
        <v>6596</v>
      </c>
      <c r="Z76" s="66" t="s">
        <v>6597</v>
      </c>
      <c r="AA76" s="71"/>
    </row>
    <row r="77" ht="15.75" customHeight="1">
      <c r="A77" s="56" t="s">
        <v>6674</v>
      </c>
      <c r="B77" s="56" t="s">
        <v>1078</v>
      </c>
      <c r="C77" s="57">
        <v>11728.0</v>
      </c>
      <c r="D77" s="127" t="s">
        <v>6594</v>
      </c>
      <c r="E77" s="59">
        <v>28621.0</v>
      </c>
      <c r="F77" s="60">
        <v>44615.0</v>
      </c>
      <c r="G77" s="61">
        <v>0.40625</v>
      </c>
      <c r="H77" s="83" t="s">
        <v>6561</v>
      </c>
      <c r="I77" s="89" t="s">
        <v>6527</v>
      </c>
      <c r="J77" s="65" t="s">
        <v>6391</v>
      </c>
      <c r="K77" s="66"/>
      <c r="L77" s="66" t="s">
        <v>6559</v>
      </c>
      <c r="M77" s="66"/>
      <c r="N77" s="66"/>
      <c r="O77" s="127" t="s">
        <v>6594</v>
      </c>
      <c r="P77" s="59" t="e">
        <v>#VALUE!</v>
      </c>
      <c r="Q77" s="67" t="e">
        <v>#VALUE!</v>
      </c>
      <c r="R77" s="68" t="e">
        <v>#VALUE!</v>
      </c>
      <c r="S77" s="62" t="e">
        <v>#VALUE!</v>
      </c>
      <c r="T77" s="62" t="e">
        <v>#VALUE!</v>
      </c>
      <c r="U77" s="63">
        <v>0.0</v>
      </c>
      <c r="V77" s="69" t="s">
        <v>6523</v>
      </c>
      <c r="W77" s="70" t="s">
        <v>6602</v>
      </c>
      <c r="X77" s="64" t="s">
        <v>6602</v>
      </c>
      <c r="Y77" s="64" t="s">
        <v>6596</v>
      </c>
      <c r="Z77" s="66" t="s">
        <v>6597</v>
      </c>
      <c r="AA77" s="71"/>
    </row>
    <row r="78" ht="15.75" customHeight="1">
      <c r="A78" s="56" t="s">
        <v>6675</v>
      </c>
      <c r="B78" s="56" t="s">
        <v>6225</v>
      </c>
      <c r="C78" s="57">
        <v>18174.0</v>
      </c>
      <c r="D78" s="127" t="s">
        <v>6594</v>
      </c>
      <c r="E78" s="59">
        <v>18472.0</v>
      </c>
      <c r="F78" s="60">
        <v>44615.0</v>
      </c>
      <c r="G78" s="61">
        <v>0.4166666666666667</v>
      </c>
      <c r="H78" s="83" t="s">
        <v>6562</v>
      </c>
      <c r="I78" s="89" t="s">
        <v>6529</v>
      </c>
      <c r="J78" s="65" t="s">
        <v>6427</v>
      </c>
      <c r="K78" s="66" t="s">
        <v>6559</v>
      </c>
      <c r="L78" s="66"/>
      <c r="M78" s="66"/>
      <c r="N78" s="66"/>
      <c r="O78" s="127" t="s">
        <v>6594</v>
      </c>
      <c r="P78" s="59" t="e">
        <v>#VALUE!</v>
      </c>
      <c r="Q78" s="67" t="e">
        <v>#VALUE!</v>
      </c>
      <c r="R78" s="68" t="e">
        <v>#VALUE!</v>
      </c>
      <c r="S78" s="62" t="e">
        <v>#VALUE!</v>
      </c>
      <c r="T78" s="62" t="e">
        <v>#VALUE!</v>
      </c>
      <c r="U78" s="63">
        <v>0.0</v>
      </c>
      <c r="V78" s="69" t="s">
        <v>6525</v>
      </c>
      <c r="W78" s="70" t="s">
        <v>6599</v>
      </c>
      <c r="X78" s="64" t="s">
        <v>6599</v>
      </c>
      <c r="Y78" s="64" t="s">
        <v>6596</v>
      </c>
      <c r="Z78" s="66" t="s">
        <v>6597</v>
      </c>
      <c r="AA78" s="71"/>
    </row>
    <row r="79" ht="15.75" customHeight="1">
      <c r="A79" s="56" t="s">
        <v>6676</v>
      </c>
      <c r="B79" s="56" t="s">
        <v>6002</v>
      </c>
      <c r="C79" s="57">
        <v>17854.0</v>
      </c>
      <c r="D79" s="127" t="s">
        <v>6594</v>
      </c>
      <c r="E79" s="59">
        <v>22029.0</v>
      </c>
      <c r="F79" s="60">
        <v>44615.0</v>
      </c>
      <c r="G79" s="61">
        <v>0.4479166666666667</v>
      </c>
      <c r="H79" s="83" t="s">
        <v>6558</v>
      </c>
      <c r="I79" s="89" t="s">
        <v>6521</v>
      </c>
      <c r="J79" s="65" t="s">
        <v>6381</v>
      </c>
      <c r="K79" s="66"/>
      <c r="L79" s="66" t="s">
        <v>6559</v>
      </c>
      <c r="M79" s="66" t="s">
        <v>6559</v>
      </c>
      <c r="N79" s="66"/>
      <c r="O79" s="127" t="s">
        <v>6594</v>
      </c>
      <c r="P79" s="59" t="e">
        <v>#VALUE!</v>
      </c>
      <c r="Q79" s="67" t="e">
        <v>#VALUE!</v>
      </c>
      <c r="R79" s="68" t="e">
        <v>#VALUE!</v>
      </c>
      <c r="S79" s="62" t="e">
        <v>#VALUE!</v>
      </c>
      <c r="T79" s="62" t="e">
        <v>#VALUE!</v>
      </c>
      <c r="U79" s="63">
        <v>0.0</v>
      </c>
      <c r="V79" s="69" t="s">
        <v>6519</v>
      </c>
      <c r="W79" s="70" t="s">
        <v>6595</v>
      </c>
      <c r="X79" s="64" t="s">
        <v>6595</v>
      </c>
      <c r="Y79" s="64" t="s">
        <v>6596</v>
      </c>
      <c r="Z79" s="66" t="s">
        <v>6597</v>
      </c>
      <c r="AA79" s="71"/>
    </row>
    <row r="80" ht="15.75" customHeight="1">
      <c r="A80" s="56" t="s">
        <v>6677</v>
      </c>
      <c r="B80" s="56" t="s">
        <v>5740</v>
      </c>
      <c r="C80" s="57">
        <v>17512.0</v>
      </c>
      <c r="D80" s="127" t="s">
        <v>6594</v>
      </c>
      <c r="E80" s="59">
        <v>16813.0</v>
      </c>
      <c r="F80" s="60">
        <v>44615.0</v>
      </c>
      <c r="G80" s="61">
        <v>0.46875</v>
      </c>
      <c r="H80" s="83" t="s">
        <v>6561</v>
      </c>
      <c r="I80" s="89" t="s">
        <v>6527</v>
      </c>
      <c r="J80" s="65" t="s">
        <v>6489</v>
      </c>
      <c r="K80" s="66"/>
      <c r="L80" s="66" t="s">
        <v>6559</v>
      </c>
      <c r="M80" s="66"/>
      <c r="N80" s="66"/>
      <c r="O80" s="127" t="s">
        <v>6594</v>
      </c>
      <c r="P80" s="59" t="e">
        <v>#VALUE!</v>
      </c>
      <c r="Q80" s="67" t="e">
        <v>#VALUE!</v>
      </c>
      <c r="R80" s="68" t="e">
        <v>#VALUE!</v>
      </c>
      <c r="S80" s="62" t="e">
        <v>#VALUE!</v>
      </c>
      <c r="T80" s="62" t="e">
        <v>#VALUE!</v>
      </c>
      <c r="U80" s="63">
        <v>0.0</v>
      </c>
      <c r="V80" s="69" t="s">
        <v>6523</v>
      </c>
      <c r="W80" s="70" t="s">
        <v>6602</v>
      </c>
      <c r="X80" s="64" t="s">
        <v>6602</v>
      </c>
      <c r="Y80" s="64" t="s">
        <v>6596</v>
      </c>
      <c r="Z80" s="66" t="s">
        <v>6597</v>
      </c>
      <c r="AA80" s="71"/>
    </row>
    <row r="81" ht="15.75" customHeight="1">
      <c r="A81" s="56" t="s">
        <v>6678</v>
      </c>
      <c r="B81" s="56" t="s">
        <v>2217</v>
      </c>
      <c r="C81" s="57">
        <v>13429.0</v>
      </c>
      <c r="D81" s="127" t="s">
        <v>6594</v>
      </c>
      <c r="E81" s="59">
        <v>18323.0</v>
      </c>
      <c r="F81" s="60">
        <v>44615.0</v>
      </c>
      <c r="G81" s="61">
        <v>0.5416666666666666</v>
      </c>
      <c r="H81" s="83" t="s">
        <v>6562</v>
      </c>
      <c r="I81" s="89" t="s">
        <v>6529</v>
      </c>
      <c r="J81" s="65" t="s">
        <v>6427</v>
      </c>
      <c r="K81" s="66"/>
      <c r="L81" s="66" t="s">
        <v>6559</v>
      </c>
      <c r="M81" s="66"/>
      <c r="N81" s="66"/>
      <c r="O81" s="127" t="s">
        <v>6594</v>
      </c>
      <c r="P81" s="59" t="e">
        <v>#VALUE!</v>
      </c>
      <c r="Q81" s="67" t="e">
        <v>#VALUE!</v>
      </c>
      <c r="R81" s="68" t="e">
        <v>#VALUE!</v>
      </c>
      <c r="S81" s="62" t="e">
        <v>#VALUE!</v>
      </c>
      <c r="T81" s="62" t="e">
        <v>#VALUE!</v>
      </c>
      <c r="U81" s="63">
        <v>0.0</v>
      </c>
      <c r="V81" s="69" t="s">
        <v>6523</v>
      </c>
      <c r="W81" s="70" t="s">
        <v>6602</v>
      </c>
      <c r="X81" s="64" t="s">
        <v>6602</v>
      </c>
      <c r="Y81" s="64" t="s">
        <v>6596</v>
      </c>
      <c r="Z81" s="66" t="s">
        <v>6597</v>
      </c>
      <c r="AA81" s="71"/>
    </row>
    <row r="82" ht="15.75" customHeight="1">
      <c r="A82" s="56" t="s">
        <v>6679</v>
      </c>
      <c r="B82" s="56" t="s">
        <v>4028</v>
      </c>
      <c r="C82" s="57">
        <v>15659.0</v>
      </c>
      <c r="D82" s="127" t="s">
        <v>6594</v>
      </c>
      <c r="E82" s="59">
        <v>32631.0</v>
      </c>
      <c r="F82" s="60">
        <v>44615.0</v>
      </c>
      <c r="G82" s="61">
        <v>0.5416666666666666</v>
      </c>
      <c r="H82" s="83" t="s">
        <v>6558</v>
      </c>
      <c r="I82" s="89" t="s">
        <v>6521</v>
      </c>
      <c r="J82" s="65" t="s">
        <v>6416</v>
      </c>
      <c r="K82" s="66"/>
      <c r="L82" s="66" t="s">
        <v>6559</v>
      </c>
      <c r="M82" s="66"/>
      <c r="N82" s="66"/>
      <c r="O82" s="127" t="s">
        <v>6594</v>
      </c>
      <c r="P82" s="59" t="e">
        <v>#VALUE!</v>
      </c>
      <c r="Q82" s="67" t="e">
        <v>#VALUE!</v>
      </c>
      <c r="R82" s="68" t="e">
        <v>#VALUE!</v>
      </c>
      <c r="S82" s="62" t="e">
        <v>#VALUE!</v>
      </c>
      <c r="T82" s="62" t="e">
        <v>#VALUE!</v>
      </c>
      <c r="U82" s="63">
        <v>0.0</v>
      </c>
      <c r="V82" s="69" t="s">
        <v>6523</v>
      </c>
      <c r="W82" s="70" t="s">
        <v>6602</v>
      </c>
      <c r="X82" s="64" t="s">
        <v>6602</v>
      </c>
      <c r="Y82" s="64" t="s">
        <v>6596</v>
      </c>
      <c r="Z82" s="66" t="s">
        <v>6597</v>
      </c>
      <c r="AA82" s="71"/>
    </row>
    <row r="83" ht="15.75" customHeight="1">
      <c r="A83" s="56" t="s">
        <v>6680</v>
      </c>
      <c r="B83" s="56" t="s">
        <v>4558</v>
      </c>
      <c r="C83" s="57">
        <v>16262.0</v>
      </c>
      <c r="D83" s="127" t="s">
        <v>6594</v>
      </c>
      <c r="E83" s="59">
        <v>23868.0</v>
      </c>
      <c r="F83" s="60">
        <v>44615.0</v>
      </c>
      <c r="G83" s="61">
        <v>0.5416666666666666</v>
      </c>
      <c r="H83" s="83" t="s">
        <v>6560</v>
      </c>
      <c r="I83" s="89" t="s">
        <v>6524</v>
      </c>
      <c r="J83" s="65" t="s">
        <v>6489</v>
      </c>
      <c r="K83" s="66"/>
      <c r="L83" s="66" t="s">
        <v>6559</v>
      </c>
      <c r="M83" s="66" t="s">
        <v>6559</v>
      </c>
      <c r="N83" s="66"/>
      <c r="O83" s="127" t="s">
        <v>6594</v>
      </c>
      <c r="P83" s="59" t="e">
        <v>#VALUE!</v>
      </c>
      <c r="Q83" s="67" t="e">
        <v>#VALUE!</v>
      </c>
      <c r="R83" s="68" t="e">
        <v>#VALUE!</v>
      </c>
      <c r="S83" s="62" t="e">
        <v>#VALUE!</v>
      </c>
      <c r="T83" s="62" t="e">
        <v>#VALUE!</v>
      </c>
      <c r="U83" s="63">
        <v>0.0</v>
      </c>
      <c r="V83" s="69" t="s">
        <v>6519</v>
      </c>
      <c r="W83" s="70" t="s">
        <v>6595</v>
      </c>
      <c r="X83" s="64" t="s">
        <v>6595</v>
      </c>
      <c r="Y83" s="64" t="s">
        <v>6596</v>
      </c>
      <c r="Z83" s="66" t="s">
        <v>6597</v>
      </c>
      <c r="AA83" s="71"/>
    </row>
    <row r="84" ht="15.75" customHeight="1">
      <c r="A84" s="56" t="s">
        <v>6681</v>
      </c>
      <c r="B84" s="56" t="s">
        <v>786</v>
      </c>
      <c r="C84" s="57">
        <v>11059.0</v>
      </c>
      <c r="D84" s="127" t="s">
        <v>6594</v>
      </c>
      <c r="E84" s="59">
        <v>17955.0</v>
      </c>
      <c r="F84" s="60">
        <v>44615.0</v>
      </c>
      <c r="G84" s="61">
        <v>0.5520833333333334</v>
      </c>
      <c r="H84" s="83" t="s">
        <v>6560</v>
      </c>
      <c r="I84" s="89" t="s">
        <v>6524</v>
      </c>
      <c r="J84" s="65" t="s">
        <v>6489</v>
      </c>
      <c r="K84" s="66"/>
      <c r="L84" s="66" t="s">
        <v>6559</v>
      </c>
      <c r="M84" s="66"/>
      <c r="N84" s="66"/>
      <c r="O84" s="127" t="s">
        <v>6594</v>
      </c>
      <c r="P84" s="59" t="e">
        <v>#VALUE!</v>
      </c>
      <c r="Q84" s="67" t="e">
        <v>#VALUE!</v>
      </c>
      <c r="R84" s="68" t="e">
        <v>#VALUE!</v>
      </c>
      <c r="S84" s="62" t="e">
        <v>#VALUE!</v>
      </c>
      <c r="T84" s="62" t="e">
        <v>#VALUE!</v>
      </c>
      <c r="U84" s="63">
        <v>0.0</v>
      </c>
      <c r="V84" s="69" t="s">
        <v>6523</v>
      </c>
      <c r="W84" s="70" t="s">
        <v>6602</v>
      </c>
      <c r="X84" s="64" t="s">
        <v>6602</v>
      </c>
      <c r="Y84" s="64" t="s">
        <v>6596</v>
      </c>
      <c r="Z84" s="66" t="s">
        <v>6597</v>
      </c>
      <c r="AA84" s="71"/>
    </row>
    <row r="85" ht="15.75" customHeight="1">
      <c r="A85" s="56" t="s">
        <v>6682</v>
      </c>
      <c r="B85" s="56" t="s">
        <v>5889</v>
      </c>
      <c r="C85" s="57">
        <v>17789.0</v>
      </c>
      <c r="D85" s="127" t="s">
        <v>6594</v>
      </c>
      <c r="E85" s="59">
        <v>22877.0</v>
      </c>
      <c r="F85" s="60">
        <v>44615.0</v>
      </c>
      <c r="G85" s="61">
        <v>0.5520833333333334</v>
      </c>
      <c r="H85" s="83" t="s">
        <v>6561</v>
      </c>
      <c r="I85" s="89" t="s">
        <v>6527</v>
      </c>
      <c r="J85" s="65" t="s">
        <v>6384</v>
      </c>
      <c r="K85" s="66" t="s">
        <v>6559</v>
      </c>
      <c r="L85" s="66"/>
      <c r="M85" s="66"/>
      <c r="N85" s="66"/>
      <c r="O85" s="127" t="s">
        <v>6594</v>
      </c>
      <c r="P85" s="59" t="e">
        <v>#VALUE!</v>
      </c>
      <c r="Q85" s="67" t="e">
        <v>#VALUE!</v>
      </c>
      <c r="R85" s="68" t="e">
        <v>#VALUE!</v>
      </c>
      <c r="S85" s="62" t="e">
        <v>#VALUE!</v>
      </c>
      <c r="T85" s="62" t="e">
        <v>#VALUE!</v>
      </c>
      <c r="U85" s="63">
        <v>0.0</v>
      </c>
      <c r="V85" s="69" t="s">
        <v>6525</v>
      </c>
      <c r="W85" s="70" t="s">
        <v>6599</v>
      </c>
      <c r="X85" s="64" t="s">
        <v>6599</v>
      </c>
      <c r="Y85" s="64" t="s">
        <v>6596</v>
      </c>
      <c r="Z85" s="66" t="s">
        <v>6597</v>
      </c>
      <c r="AA85" s="71"/>
    </row>
    <row r="86" ht="15.75" customHeight="1">
      <c r="A86" s="56" t="s">
        <v>6683</v>
      </c>
      <c r="B86" s="56" t="s">
        <v>794</v>
      </c>
      <c r="C86" s="57">
        <v>11072.0</v>
      </c>
      <c r="D86" s="127" t="s">
        <v>6594</v>
      </c>
      <c r="E86" s="59">
        <v>27956.0</v>
      </c>
      <c r="F86" s="60">
        <v>44615.0</v>
      </c>
      <c r="G86" s="61">
        <v>0.5729166666666666</v>
      </c>
      <c r="H86" s="83" t="s">
        <v>6561</v>
      </c>
      <c r="I86" s="89" t="s">
        <v>6527</v>
      </c>
      <c r="J86" s="65" t="s">
        <v>6391</v>
      </c>
      <c r="K86" s="66"/>
      <c r="L86" s="66" t="s">
        <v>6559</v>
      </c>
      <c r="M86" s="66" t="s">
        <v>6559</v>
      </c>
      <c r="N86" s="66"/>
      <c r="O86" s="127" t="s">
        <v>6594</v>
      </c>
      <c r="P86" s="59" t="e">
        <v>#VALUE!</v>
      </c>
      <c r="Q86" s="67" t="e">
        <v>#VALUE!</v>
      </c>
      <c r="R86" s="68" t="e">
        <v>#VALUE!</v>
      </c>
      <c r="S86" s="62" t="e">
        <v>#VALUE!</v>
      </c>
      <c r="T86" s="62" t="e">
        <v>#VALUE!</v>
      </c>
      <c r="U86" s="63">
        <v>0.0</v>
      </c>
      <c r="V86" s="69" t="s">
        <v>6519</v>
      </c>
      <c r="W86" s="70" t="s">
        <v>6595</v>
      </c>
      <c r="X86" s="64" t="s">
        <v>6595</v>
      </c>
      <c r="Y86" s="64" t="s">
        <v>6596</v>
      </c>
      <c r="Z86" s="66" t="s">
        <v>6597</v>
      </c>
      <c r="AA86" s="71"/>
    </row>
    <row r="87" ht="15.75" customHeight="1">
      <c r="A87" s="56" t="s">
        <v>6684</v>
      </c>
      <c r="B87" s="56" t="s">
        <v>562</v>
      </c>
      <c r="C87" s="57">
        <v>18176.0</v>
      </c>
      <c r="D87" s="127" t="s">
        <v>6594</v>
      </c>
      <c r="E87" s="59">
        <v>23907.0</v>
      </c>
      <c r="F87" s="60">
        <v>44615.0</v>
      </c>
      <c r="G87" s="61">
        <v>0.5729166666666666</v>
      </c>
      <c r="H87" s="83" t="s">
        <v>6561</v>
      </c>
      <c r="I87" s="89" t="s">
        <v>6527</v>
      </c>
      <c r="J87" s="65" t="s">
        <v>6420</v>
      </c>
      <c r="K87" s="66" t="s">
        <v>6559</v>
      </c>
      <c r="L87" s="66"/>
      <c r="M87" s="66"/>
      <c r="N87" s="66"/>
      <c r="O87" s="127" t="s">
        <v>6594</v>
      </c>
      <c r="P87" s="59" t="e">
        <v>#VALUE!</v>
      </c>
      <c r="Q87" s="67" t="e">
        <v>#VALUE!</v>
      </c>
      <c r="R87" s="68" t="e">
        <v>#VALUE!</v>
      </c>
      <c r="S87" s="62" t="e">
        <v>#VALUE!</v>
      </c>
      <c r="T87" s="62" t="e">
        <v>#VALUE!</v>
      </c>
      <c r="U87" s="63">
        <v>0.0</v>
      </c>
      <c r="V87" s="69" t="s">
        <v>6525</v>
      </c>
      <c r="W87" s="70" t="s">
        <v>6599</v>
      </c>
      <c r="X87" s="64" t="s">
        <v>6599</v>
      </c>
      <c r="Y87" s="64" t="s">
        <v>6596</v>
      </c>
      <c r="Z87" s="66" t="s">
        <v>6597</v>
      </c>
      <c r="AA87" s="71"/>
    </row>
    <row r="88" ht="15.75" customHeight="1">
      <c r="A88" s="56" t="s">
        <v>6685</v>
      </c>
      <c r="B88" s="56" t="s">
        <v>6229</v>
      </c>
      <c r="C88" s="57">
        <v>18207.0</v>
      </c>
      <c r="D88" s="127" t="s">
        <v>6594</v>
      </c>
      <c r="E88" s="59">
        <v>37315.0</v>
      </c>
      <c r="F88" s="60">
        <v>44615.0</v>
      </c>
      <c r="G88" s="61">
        <v>0.5729166666666666</v>
      </c>
      <c r="H88" s="83" t="s">
        <v>6561</v>
      </c>
      <c r="I88" s="89" t="s">
        <v>6527</v>
      </c>
      <c r="J88" s="65" t="s">
        <v>6444</v>
      </c>
      <c r="K88" s="66" t="s">
        <v>6559</v>
      </c>
      <c r="L88" s="66"/>
      <c r="M88" s="66"/>
      <c r="N88" s="66"/>
      <c r="O88" s="127" t="s">
        <v>6594</v>
      </c>
      <c r="P88" s="59" t="e">
        <v>#VALUE!</v>
      </c>
      <c r="Q88" s="67" t="e">
        <v>#VALUE!</v>
      </c>
      <c r="R88" s="68" t="e">
        <v>#VALUE!</v>
      </c>
      <c r="S88" s="62" t="e">
        <v>#VALUE!</v>
      </c>
      <c r="T88" s="62" t="e">
        <v>#VALUE!</v>
      </c>
      <c r="U88" s="63">
        <v>0.0</v>
      </c>
      <c r="V88" s="69" t="s">
        <v>6525</v>
      </c>
      <c r="W88" s="70" t="s">
        <v>6599</v>
      </c>
      <c r="X88" s="64" t="s">
        <v>6599</v>
      </c>
      <c r="Y88" s="64" t="s">
        <v>6596</v>
      </c>
      <c r="Z88" s="66" t="s">
        <v>6597</v>
      </c>
      <c r="AA88" s="71"/>
    </row>
    <row r="89" ht="15.75" customHeight="1">
      <c r="A89" s="56" t="s">
        <v>6686</v>
      </c>
      <c r="B89" s="56" t="s">
        <v>556</v>
      </c>
      <c r="C89" s="57">
        <v>10466.0</v>
      </c>
      <c r="D89" s="127" t="s">
        <v>6594</v>
      </c>
      <c r="E89" s="59">
        <v>20330.0</v>
      </c>
      <c r="F89" s="60">
        <v>44615.0</v>
      </c>
      <c r="G89" s="61">
        <v>0.59375</v>
      </c>
      <c r="H89" s="83" t="s">
        <v>6560</v>
      </c>
      <c r="I89" s="89" t="s">
        <v>6524</v>
      </c>
      <c r="J89" s="65" t="s">
        <v>6489</v>
      </c>
      <c r="K89" s="66"/>
      <c r="L89" s="66" t="s">
        <v>6559</v>
      </c>
      <c r="M89" s="66" t="s">
        <v>6559</v>
      </c>
      <c r="N89" s="66"/>
      <c r="O89" s="127" t="s">
        <v>6594</v>
      </c>
      <c r="P89" s="59" t="e">
        <v>#VALUE!</v>
      </c>
      <c r="Q89" s="67" t="e">
        <v>#VALUE!</v>
      </c>
      <c r="R89" s="68" t="e">
        <v>#VALUE!</v>
      </c>
      <c r="S89" s="62" t="e">
        <v>#VALUE!</v>
      </c>
      <c r="T89" s="62" t="e">
        <v>#VALUE!</v>
      </c>
      <c r="U89" s="63">
        <v>0.0</v>
      </c>
      <c r="V89" s="69" t="s">
        <v>6519</v>
      </c>
      <c r="W89" s="70" t="s">
        <v>6595</v>
      </c>
      <c r="X89" s="64" t="s">
        <v>6595</v>
      </c>
      <c r="Y89" s="64" t="s">
        <v>6596</v>
      </c>
      <c r="Z89" s="66" t="s">
        <v>6597</v>
      </c>
      <c r="AA89" s="71"/>
    </row>
    <row r="90" ht="15.75" customHeight="1">
      <c r="A90" s="56" t="s">
        <v>6687</v>
      </c>
      <c r="B90" s="56" t="s">
        <v>4658</v>
      </c>
      <c r="C90" s="57">
        <v>16392.0</v>
      </c>
      <c r="D90" s="127" t="s">
        <v>6594</v>
      </c>
      <c r="E90" s="59">
        <v>29159.0</v>
      </c>
      <c r="F90" s="60">
        <v>44615.0</v>
      </c>
      <c r="G90" s="61">
        <v>0.59375</v>
      </c>
      <c r="H90" s="83" t="s">
        <v>6558</v>
      </c>
      <c r="I90" s="89" t="s">
        <v>6521</v>
      </c>
      <c r="J90" s="65" t="s">
        <v>6444</v>
      </c>
      <c r="K90" s="66"/>
      <c r="L90" s="66" t="s">
        <v>6559</v>
      </c>
      <c r="M90" s="66" t="s">
        <v>6559</v>
      </c>
      <c r="N90" s="66"/>
      <c r="O90" s="127" t="s">
        <v>6594</v>
      </c>
      <c r="P90" s="59" t="e">
        <v>#VALUE!</v>
      </c>
      <c r="Q90" s="67" t="e">
        <v>#VALUE!</v>
      </c>
      <c r="R90" s="68" t="e">
        <v>#VALUE!</v>
      </c>
      <c r="S90" s="62" t="e">
        <v>#VALUE!</v>
      </c>
      <c r="T90" s="62" t="e">
        <v>#VALUE!</v>
      </c>
      <c r="U90" s="63">
        <v>0.0</v>
      </c>
      <c r="V90" s="69" t="s">
        <v>6519</v>
      </c>
      <c r="W90" s="70" t="s">
        <v>6595</v>
      </c>
      <c r="X90" s="64" t="s">
        <v>6595</v>
      </c>
      <c r="Y90" s="64" t="s">
        <v>6596</v>
      </c>
      <c r="Z90" s="66" t="s">
        <v>6597</v>
      </c>
      <c r="AA90" s="71"/>
    </row>
    <row r="91" ht="15.75" customHeight="1">
      <c r="A91" s="56" t="s">
        <v>6688</v>
      </c>
      <c r="B91" s="56" t="s">
        <v>3652</v>
      </c>
      <c r="C91" s="57">
        <v>15219.0</v>
      </c>
      <c r="D91" s="127" t="s">
        <v>6594</v>
      </c>
      <c r="E91" s="59">
        <v>20125.0</v>
      </c>
      <c r="F91" s="60">
        <v>44615.0</v>
      </c>
      <c r="G91" s="61">
        <v>0.6041666666666666</v>
      </c>
      <c r="H91" s="83" t="s">
        <v>6558</v>
      </c>
      <c r="I91" s="89" t="s">
        <v>6521</v>
      </c>
      <c r="J91" s="65" t="s">
        <v>6489</v>
      </c>
      <c r="K91" s="66"/>
      <c r="L91" s="66" t="s">
        <v>6559</v>
      </c>
      <c r="M91" s="66" t="s">
        <v>6559</v>
      </c>
      <c r="N91" s="66"/>
      <c r="O91" s="127" t="s">
        <v>6594</v>
      </c>
      <c r="P91" s="59" t="e">
        <v>#VALUE!</v>
      </c>
      <c r="Q91" s="67" t="e">
        <v>#VALUE!</v>
      </c>
      <c r="R91" s="68" t="e">
        <v>#VALUE!</v>
      </c>
      <c r="S91" s="62" t="e">
        <v>#VALUE!</v>
      </c>
      <c r="T91" s="62" t="e">
        <v>#VALUE!</v>
      </c>
      <c r="U91" s="63">
        <v>0.0</v>
      </c>
      <c r="V91" s="69" t="s">
        <v>6519</v>
      </c>
      <c r="W91" s="70" t="s">
        <v>6595</v>
      </c>
      <c r="X91" s="64" t="s">
        <v>6595</v>
      </c>
      <c r="Y91" s="64" t="s">
        <v>6596</v>
      </c>
      <c r="Z91" s="66" t="s">
        <v>6597</v>
      </c>
      <c r="AA91" s="71"/>
    </row>
    <row r="92" ht="15.75" customHeight="1">
      <c r="A92" s="56" t="s">
        <v>6689</v>
      </c>
      <c r="B92" s="56" t="s">
        <v>3740</v>
      </c>
      <c r="C92" s="57">
        <v>15328.0</v>
      </c>
      <c r="D92" s="127" t="s">
        <v>6594</v>
      </c>
      <c r="E92" s="59">
        <v>26212.0</v>
      </c>
      <c r="F92" s="60">
        <v>44615.0</v>
      </c>
      <c r="G92" s="61">
        <v>0.6041666666666666</v>
      </c>
      <c r="H92" s="83" t="s">
        <v>6560</v>
      </c>
      <c r="I92" s="89" t="s">
        <v>6524</v>
      </c>
      <c r="J92" s="65" t="s">
        <v>6381</v>
      </c>
      <c r="K92" s="66"/>
      <c r="L92" s="66" t="s">
        <v>6559</v>
      </c>
      <c r="M92" s="66"/>
      <c r="N92" s="66"/>
      <c r="O92" s="127" t="s">
        <v>6594</v>
      </c>
      <c r="P92" s="59" t="e">
        <v>#VALUE!</v>
      </c>
      <c r="Q92" s="67" t="e">
        <v>#VALUE!</v>
      </c>
      <c r="R92" s="68" t="e">
        <v>#VALUE!</v>
      </c>
      <c r="S92" s="62" t="e">
        <v>#VALUE!</v>
      </c>
      <c r="T92" s="62" t="e">
        <v>#VALUE!</v>
      </c>
      <c r="U92" s="63">
        <v>0.0</v>
      </c>
      <c r="V92" s="69" t="s">
        <v>6523</v>
      </c>
      <c r="W92" s="70" t="s">
        <v>6602</v>
      </c>
      <c r="X92" s="64" t="s">
        <v>6602</v>
      </c>
      <c r="Y92" s="64" t="s">
        <v>6596</v>
      </c>
      <c r="Z92" s="66" t="s">
        <v>6597</v>
      </c>
      <c r="AA92" s="71"/>
    </row>
    <row r="93" ht="15.75" customHeight="1">
      <c r="A93" s="56" t="s">
        <v>6690</v>
      </c>
      <c r="B93" s="56" t="s">
        <v>4569</v>
      </c>
      <c r="C93" s="57">
        <v>16286.0</v>
      </c>
      <c r="D93" s="127" t="s">
        <v>6594</v>
      </c>
      <c r="E93" s="59">
        <v>16305.0</v>
      </c>
      <c r="F93" s="60">
        <v>44615.0</v>
      </c>
      <c r="G93" s="61">
        <v>0.6041666666666666</v>
      </c>
      <c r="H93" s="83" t="s">
        <v>6560</v>
      </c>
      <c r="I93" s="89" t="s">
        <v>6524</v>
      </c>
      <c r="J93" s="65" t="s">
        <v>6489</v>
      </c>
      <c r="K93" s="66"/>
      <c r="L93" s="66" t="s">
        <v>6559</v>
      </c>
      <c r="M93" s="66"/>
      <c r="N93" s="66"/>
      <c r="O93" s="127" t="s">
        <v>6594</v>
      </c>
      <c r="P93" s="59" t="e">
        <v>#VALUE!</v>
      </c>
      <c r="Q93" s="67" t="e">
        <v>#VALUE!</v>
      </c>
      <c r="R93" s="68" t="e">
        <v>#VALUE!</v>
      </c>
      <c r="S93" s="62" t="e">
        <v>#VALUE!</v>
      </c>
      <c r="T93" s="62" t="e">
        <v>#VALUE!</v>
      </c>
      <c r="U93" s="63">
        <v>0.0</v>
      </c>
      <c r="V93" s="69" t="s">
        <v>6523</v>
      </c>
      <c r="W93" s="70" t="s">
        <v>6602</v>
      </c>
      <c r="X93" s="64" t="s">
        <v>6602</v>
      </c>
      <c r="Y93" s="64" t="s">
        <v>6596</v>
      </c>
      <c r="Z93" s="66" t="s">
        <v>6597</v>
      </c>
      <c r="AA93" s="71"/>
    </row>
    <row r="94" ht="15.75" customHeight="1">
      <c r="A94" s="56" t="s">
        <v>6691</v>
      </c>
      <c r="B94" s="56" t="s">
        <v>6232</v>
      </c>
      <c r="C94" s="57">
        <v>18192.0</v>
      </c>
      <c r="D94" s="127" t="s">
        <v>6594</v>
      </c>
      <c r="E94" s="59">
        <v>22602.0</v>
      </c>
      <c r="F94" s="60">
        <v>44615.0</v>
      </c>
      <c r="G94" s="61">
        <v>0.6041666666666666</v>
      </c>
      <c r="H94" s="83" t="s">
        <v>6561</v>
      </c>
      <c r="I94" s="89" t="s">
        <v>6527</v>
      </c>
      <c r="J94" s="65" t="s">
        <v>6445</v>
      </c>
      <c r="K94" s="66" t="s">
        <v>6559</v>
      </c>
      <c r="L94" s="66"/>
      <c r="M94" s="66"/>
      <c r="N94" s="66"/>
      <c r="O94" s="127" t="s">
        <v>6594</v>
      </c>
      <c r="P94" s="59" t="e">
        <v>#VALUE!</v>
      </c>
      <c r="Q94" s="67" t="e">
        <v>#VALUE!</v>
      </c>
      <c r="R94" s="68" t="e">
        <v>#VALUE!</v>
      </c>
      <c r="S94" s="62" t="e">
        <v>#VALUE!</v>
      </c>
      <c r="T94" s="62" t="e">
        <v>#VALUE!</v>
      </c>
      <c r="U94" s="63">
        <v>0.0</v>
      </c>
      <c r="V94" s="69" t="s">
        <v>6525</v>
      </c>
      <c r="W94" s="70" t="s">
        <v>6599</v>
      </c>
      <c r="X94" s="64" t="s">
        <v>6599</v>
      </c>
      <c r="Y94" s="64" t="s">
        <v>6596</v>
      </c>
      <c r="Z94" s="66" t="s">
        <v>6597</v>
      </c>
      <c r="AA94" s="71"/>
    </row>
    <row r="95" ht="15.75" customHeight="1">
      <c r="A95" s="56" t="s">
        <v>6692</v>
      </c>
      <c r="B95" s="56" t="s">
        <v>47</v>
      </c>
      <c r="C95" s="57">
        <v>9164.0</v>
      </c>
      <c r="D95" s="127" t="s">
        <v>6594</v>
      </c>
      <c r="E95" s="59">
        <v>12175.0</v>
      </c>
      <c r="F95" s="60">
        <v>44615.0</v>
      </c>
      <c r="G95" s="61">
        <v>0.6145833333333334</v>
      </c>
      <c r="H95" s="83" t="s">
        <v>6562</v>
      </c>
      <c r="I95" s="89" t="s">
        <v>6529</v>
      </c>
      <c r="J95" s="65" t="s">
        <v>6427</v>
      </c>
      <c r="K95" s="66"/>
      <c r="L95" s="66" t="s">
        <v>6559</v>
      </c>
      <c r="M95" s="66" t="s">
        <v>6559</v>
      </c>
      <c r="N95" s="66"/>
      <c r="O95" s="127" t="s">
        <v>6594</v>
      </c>
      <c r="P95" s="59" t="e">
        <v>#VALUE!</v>
      </c>
      <c r="Q95" s="67" t="e">
        <v>#VALUE!</v>
      </c>
      <c r="R95" s="68" t="e">
        <v>#VALUE!</v>
      </c>
      <c r="S95" s="62" t="e">
        <v>#VALUE!</v>
      </c>
      <c r="T95" s="62" t="e">
        <v>#VALUE!</v>
      </c>
      <c r="U95" s="63">
        <v>0.0</v>
      </c>
      <c r="V95" s="69" t="s">
        <v>6519</v>
      </c>
      <c r="W95" s="70" t="s">
        <v>6595</v>
      </c>
      <c r="X95" s="64" t="s">
        <v>6595</v>
      </c>
      <c r="Y95" s="64" t="s">
        <v>6596</v>
      </c>
      <c r="Z95" s="66" t="s">
        <v>6597</v>
      </c>
      <c r="AA95" s="71"/>
    </row>
    <row r="96" ht="15.75" customHeight="1">
      <c r="A96" s="56" t="s">
        <v>6693</v>
      </c>
      <c r="B96" s="56" t="s">
        <v>216</v>
      </c>
      <c r="C96" s="57">
        <v>9574.0</v>
      </c>
      <c r="D96" s="127" t="s">
        <v>6594</v>
      </c>
      <c r="E96" s="59">
        <v>22789.0</v>
      </c>
      <c r="F96" s="60">
        <v>44615.0</v>
      </c>
      <c r="G96" s="61">
        <v>0.6145833333333334</v>
      </c>
      <c r="H96" s="83" t="s">
        <v>6558</v>
      </c>
      <c r="I96" s="89" t="s">
        <v>6521</v>
      </c>
      <c r="J96" s="65" t="s">
        <v>6445</v>
      </c>
      <c r="K96" s="66"/>
      <c r="L96" s="66" t="s">
        <v>6559</v>
      </c>
      <c r="M96" s="66"/>
      <c r="N96" s="66"/>
      <c r="O96" s="127" t="s">
        <v>6594</v>
      </c>
      <c r="P96" s="59" t="e">
        <v>#VALUE!</v>
      </c>
      <c r="Q96" s="67" t="e">
        <v>#VALUE!</v>
      </c>
      <c r="R96" s="68" t="e">
        <v>#VALUE!</v>
      </c>
      <c r="S96" s="62" t="e">
        <v>#VALUE!</v>
      </c>
      <c r="T96" s="62" t="e">
        <v>#VALUE!</v>
      </c>
      <c r="U96" s="63">
        <v>0.0</v>
      </c>
      <c r="V96" s="69" t="s">
        <v>6523</v>
      </c>
      <c r="W96" s="70" t="s">
        <v>6602</v>
      </c>
      <c r="X96" s="64" t="s">
        <v>6602</v>
      </c>
      <c r="Y96" s="64" t="s">
        <v>6596</v>
      </c>
      <c r="Z96" s="66" t="s">
        <v>6597</v>
      </c>
      <c r="AA96" s="71"/>
    </row>
    <row r="97" ht="15.75" customHeight="1">
      <c r="A97" s="56" t="s">
        <v>6694</v>
      </c>
      <c r="B97" s="56" t="s">
        <v>6233</v>
      </c>
      <c r="C97" s="57">
        <v>18189.0</v>
      </c>
      <c r="D97" s="127" t="s">
        <v>6594</v>
      </c>
      <c r="E97" s="59">
        <v>29148.0</v>
      </c>
      <c r="F97" s="60">
        <v>44615.0</v>
      </c>
      <c r="G97" s="61">
        <v>0.6145833333333334</v>
      </c>
      <c r="H97" s="83" t="s">
        <v>6562</v>
      </c>
      <c r="I97" s="89" t="s">
        <v>6529</v>
      </c>
      <c r="J97" s="65" t="s">
        <v>6407</v>
      </c>
      <c r="K97" s="66" t="s">
        <v>6559</v>
      </c>
      <c r="L97" s="66"/>
      <c r="M97" s="66"/>
      <c r="N97" s="66"/>
      <c r="O97" s="127" t="s">
        <v>6594</v>
      </c>
      <c r="P97" s="59" t="e">
        <v>#VALUE!</v>
      </c>
      <c r="Q97" s="67" t="e">
        <v>#VALUE!</v>
      </c>
      <c r="R97" s="68" t="e">
        <v>#VALUE!</v>
      </c>
      <c r="S97" s="62" t="e">
        <v>#VALUE!</v>
      </c>
      <c r="T97" s="62" t="e">
        <v>#VALUE!</v>
      </c>
      <c r="U97" s="63">
        <v>0.0</v>
      </c>
      <c r="V97" s="69" t="s">
        <v>6525</v>
      </c>
      <c r="W97" s="70" t="s">
        <v>6599</v>
      </c>
      <c r="X97" s="64" t="s">
        <v>6599</v>
      </c>
      <c r="Y97" s="64" t="s">
        <v>6596</v>
      </c>
      <c r="Z97" s="66" t="s">
        <v>6597</v>
      </c>
      <c r="AA97" s="71"/>
    </row>
    <row r="98" ht="15.75" customHeight="1">
      <c r="A98" s="56" t="s">
        <v>6695</v>
      </c>
      <c r="B98" s="56" t="s">
        <v>379</v>
      </c>
      <c r="C98" s="57">
        <v>10031.0</v>
      </c>
      <c r="D98" s="127" t="s">
        <v>6594</v>
      </c>
      <c r="E98" s="59">
        <v>17004.0</v>
      </c>
      <c r="F98" s="60">
        <v>44615.0</v>
      </c>
      <c r="G98" s="61">
        <v>0.625</v>
      </c>
      <c r="H98" s="83" t="s">
        <v>6562</v>
      </c>
      <c r="I98" s="89" t="s">
        <v>6529</v>
      </c>
      <c r="J98" s="65" t="s">
        <v>6427</v>
      </c>
      <c r="K98" s="66"/>
      <c r="L98" s="66" t="s">
        <v>6559</v>
      </c>
      <c r="M98" s="66"/>
      <c r="N98" s="66"/>
      <c r="O98" s="127" t="s">
        <v>6594</v>
      </c>
      <c r="P98" s="59" t="e">
        <v>#VALUE!</v>
      </c>
      <c r="Q98" s="67" t="e">
        <v>#VALUE!</v>
      </c>
      <c r="R98" s="68" t="e">
        <v>#VALUE!</v>
      </c>
      <c r="S98" s="62" t="e">
        <v>#VALUE!</v>
      </c>
      <c r="T98" s="62" t="e">
        <v>#VALUE!</v>
      </c>
      <c r="U98" s="63">
        <v>0.0</v>
      </c>
      <c r="V98" s="69" t="s">
        <v>6523</v>
      </c>
      <c r="W98" s="70" t="s">
        <v>6602</v>
      </c>
      <c r="X98" s="64" t="s">
        <v>6602</v>
      </c>
      <c r="Y98" s="64" t="s">
        <v>6596</v>
      </c>
      <c r="Z98" s="66" t="s">
        <v>6597</v>
      </c>
      <c r="AA98" s="71"/>
    </row>
    <row r="99" ht="15.75" customHeight="1">
      <c r="A99" s="56" t="s">
        <v>6696</v>
      </c>
      <c r="B99" s="56" t="s">
        <v>548</v>
      </c>
      <c r="C99" s="57">
        <v>10445.0</v>
      </c>
      <c r="D99" s="127" t="s">
        <v>6594</v>
      </c>
      <c r="E99" s="59">
        <v>16254.0</v>
      </c>
      <c r="F99" s="60">
        <v>44615.0</v>
      </c>
      <c r="G99" s="61">
        <v>0.6354166666666666</v>
      </c>
      <c r="H99" s="83" t="s">
        <v>6561</v>
      </c>
      <c r="I99" s="89" t="s">
        <v>6527</v>
      </c>
      <c r="J99" s="65" t="s">
        <v>6427</v>
      </c>
      <c r="K99" s="66"/>
      <c r="L99" s="66" t="s">
        <v>6559</v>
      </c>
      <c r="M99" s="66" t="s">
        <v>6559</v>
      </c>
      <c r="N99" s="66"/>
      <c r="O99" s="127" t="s">
        <v>6594</v>
      </c>
      <c r="P99" s="59" t="e">
        <v>#VALUE!</v>
      </c>
      <c r="Q99" s="67" t="e">
        <v>#VALUE!</v>
      </c>
      <c r="R99" s="68" t="e">
        <v>#VALUE!</v>
      </c>
      <c r="S99" s="62" t="e">
        <v>#VALUE!</v>
      </c>
      <c r="T99" s="62" t="e">
        <v>#VALUE!</v>
      </c>
      <c r="U99" s="63">
        <v>0.0</v>
      </c>
      <c r="V99" s="69" t="s">
        <v>6519</v>
      </c>
      <c r="W99" s="70" t="s">
        <v>6595</v>
      </c>
      <c r="X99" s="64" t="s">
        <v>6595</v>
      </c>
      <c r="Y99" s="64" t="s">
        <v>6596</v>
      </c>
      <c r="Z99" s="66" t="s">
        <v>6597</v>
      </c>
      <c r="AA99" s="71"/>
    </row>
    <row r="100" ht="15.75" customHeight="1">
      <c r="A100" s="56" t="s">
        <v>6697</v>
      </c>
      <c r="B100" s="56" t="s">
        <v>940</v>
      </c>
      <c r="C100" s="57">
        <v>11411.0</v>
      </c>
      <c r="D100" s="127" t="s">
        <v>6594</v>
      </c>
      <c r="E100" s="59">
        <v>26573.0</v>
      </c>
      <c r="F100" s="60">
        <v>44615.0</v>
      </c>
      <c r="G100" s="61">
        <v>0.6354166666666666</v>
      </c>
      <c r="H100" s="83" t="s">
        <v>6561</v>
      </c>
      <c r="I100" s="89" t="s">
        <v>6527</v>
      </c>
      <c r="J100" s="65" t="s">
        <v>6379</v>
      </c>
      <c r="K100" s="66"/>
      <c r="L100" s="66" t="s">
        <v>6559</v>
      </c>
      <c r="M100" s="66" t="s">
        <v>6559</v>
      </c>
      <c r="N100" s="66"/>
      <c r="O100" s="127" t="s">
        <v>6594</v>
      </c>
      <c r="P100" s="59" t="e">
        <v>#VALUE!</v>
      </c>
      <c r="Q100" s="67" t="e">
        <v>#VALUE!</v>
      </c>
      <c r="R100" s="68" t="e">
        <v>#VALUE!</v>
      </c>
      <c r="S100" s="62" t="e">
        <v>#VALUE!</v>
      </c>
      <c r="T100" s="62" t="e">
        <v>#VALUE!</v>
      </c>
      <c r="U100" s="63">
        <v>0.0</v>
      </c>
      <c r="V100" s="69" t="s">
        <v>6519</v>
      </c>
      <c r="W100" s="70" t="s">
        <v>6595</v>
      </c>
      <c r="X100" s="64" t="s">
        <v>6595</v>
      </c>
      <c r="Y100" s="64" t="s">
        <v>6596</v>
      </c>
      <c r="Z100" s="66" t="s">
        <v>6597</v>
      </c>
      <c r="AA100" s="71"/>
    </row>
    <row r="101" ht="15.75" customHeight="1">
      <c r="A101" s="56" t="s">
        <v>6698</v>
      </c>
      <c r="B101" s="56" t="s">
        <v>1082</v>
      </c>
      <c r="C101" s="57">
        <v>11738.0</v>
      </c>
      <c r="D101" s="127" t="s">
        <v>6594</v>
      </c>
      <c r="E101" s="59">
        <v>19881.0</v>
      </c>
      <c r="F101" s="60">
        <v>44615.0</v>
      </c>
      <c r="G101" s="61">
        <v>0.6354166666666666</v>
      </c>
      <c r="H101" s="83" t="s">
        <v>6562</v>
      </c>
      <c r="I101" s="89" t="s">
        <v>6529</v>
      </c>
      <c r="J101" s="65" t="s">
        <v>6427</v>
      </c>
      <c r="K101" s="66"/>
      <c r="L101" s="66" t="s">
        <v>6559</v>
      </c>
      <c r="M101" s="66"/>
      <c r="N101" s="66"/>
      <c r="O101" s="127" t="s">
        <v>6594</v>
      </c>
      <c r="P101" s="59" t="e">
        <v>#VALUE!</v>
      </c>
      <c r="Q101" s="67" t="e">
        <v>#VALUE!</v>
      </c>
      <c r="R101" s="68" t="e">
        <v>#VALUE!</v>
      </c>
      <c r="S101" s="62" t="e">
        <v>#VALUE!</v>
      </c>
      <c r="T101" s="62" t="e">
        <v>#VALUE!</v>
      </c>
      <c r="U101" s="63">
        <v>0.0</v>
      </c>
      <c r="V101" s="69" t="s">
        <v>6523</v>
      </c>
      <c r="W101" s="70" t="s">
        <v>6602</v>
      </c>
      <c r="X101" s="64" t="s">
        <v>6602</v>
      </c>
      <c r="Y101" s="64" t="s">
        <v>6596</v>
      </c>
      <c r="Z101" s="66" t="s">
        <v>6597</v>
      </c>
      <c r="AA101" s="71"/>
    </row>
    <row r="102" ht="15.75" customHeight="1">
      <c r="A102" s="56" t="s">
        <v>6699</v>
      </c>
      <c r="B102" s="56" t="s">
        <v>1460</v>
      </c>
      <c r="C102" s="77">
        <v>12446.0</v>
      </c>
      <c r="D102" s="127" t="s">
        <v>6594</v>
      </c>
      <c r="E102" s="59">
        <v>33168.0</v>
      </c>
      <c r="F102" s="60">
        <v>44615.0</v>
      </c>
      <c r="G102" s="61">
        <v>0.6458333333333334</v>
      </c>
      <c r="H102" s="83" t="s">
        <v>6560</v>
      </c>
      <c r="I102" s="89" t="s">
        <v>6524</v>
      </c>
      <c r="J102" s="65" t="s">
        <v>6490</v>
      </c>
      <c r="K102" s="66"/>
      <c r="L102" s="66" t="s">
        <v>6559</v>
      </c>
      <c r="M102" s="66"/>
      <c r="N102" s="66"/>
      <c r="O102" s="127" t="s">
        <v>6594</v>
      </c>
      <c r="P102" s="59" t="e">
        <v>#VALUE!</v>
      </c>
      <c r="Q102" s="67" t="e">
        <v>#VALUE!</v>
      </c>
      <c r="R102" s="68" t="e">
        <v>#VALUE!</v>
      </c>
      <c r="S102" s="62" t="e">
        <v>#VALUE!</v>
      </c>
      <c r="T102" s="62" t="e">
        <v>#VALUE!</v>
      </c>
      <c r="U102" s="63">
        <v>0.0</v>
      </c>
      <c r="V102" s="69" t="s">
        <v>6523</v>
      </c>
      <c r="W102" s="70" t="s">
        <v>6602</v>
      </c>
      <c r="X102" s="64" t="s">
        <v>6602</v>
      </c>
      <c r="Y102" s="64" t="s">
        <v>6596</v>
      </c>
      <c r="Z102" s="66" t="s">
        <v>6597</v>
      </c>
      <c r="AA102" s="71"/>
    </row>
    <row r="103" ht="15.75" customHeight="1">
      <c r="A103" s="56" t="s">
        <v>6700</v>
      </c>
      <c r="B103" s="56" t="s">
        <v>3504</v>
      </c>
      <c r="C103" s="57">
        <v>15044.0</v>
      </c>
      <c r="D103" s="127" t="s">
        <v>6594</v>
      </c>
      <c r="E103" s="59">
        <v>21018.0</v>
      </c>
      <c r="F103" s="60">
        <v>44615.0</v>
      </c>
      <c r="G103" s="61">
        <v>0.6458333333333334</v>
      </c>
      <c r="H103" s="83" t="s">
        <v>6558</v>
      </c>
      <c r="I103" s="89" t="s">
        <v>6521</v>
      </c>
      <c r="J103" s="65" t="s">
        <v>6410</v>
      </c>
      <c r="K103" s="66"/>
      <c r="L103" s="66" t="s">
        <v>6559</v>
      </c>
      <c r="M103" s="66" t="s">
        <v>6559</v>
      </c>
      <c r="N103" s="66"/>
      <c r="O103" s="127" t="s">
        <v>6594</v>
      </c>
      <c r="P103" s="59" t="e">
        <v>#VALUE!</v>
      </c>
      <c r="Q103" s="67" t="e">
        <v>#VALUE!</v>
      </c>
      <c r="R103" s="68" t="e">
        <v>#VALUE!</v>
      </c>
      <c r="S103" s="62" t="e">
        <v>#VALUE!</v>
      </c>
      <c r="T103" s="62" t="e">
        <v>#VALUE!</v>
      </c>
      <c r="U103" s="63">
        <v>0.0</v>
      </c>
      <c r="V103" s="69" t="s">
        <v>6519</v>
      </c>
      <c r="W103" s="70" t="s">
        <v>6595</v>
      </c>
      <c r="X103" s="64" t="s">
        <v>6595</v>
      </c>
      <c r="Y103" s="64" t="s">
        <v>6596</v>
      </c>
      <c r="Z103" s="66" t="s">
        <v>6597</v>
      </c>
      <c r="AA103" s="71"/>
    </row>
    <row r="104" ht="15.75" customHeight="1">
      <c r="A104" s="56" t="s">
        <v>6701</v>
      </c>
      <c r="B104" s="56" t="s">
        <v>3912</v>
      </c>
      <c r="C104" s="57">
        <v>15530.0</v>
      </c>
      <c r="D104" s="127" t="s">
        <v>6594</v>
      </c>
      <c r="E104" s="59">
        <v>16683.0</v>
      </c>
      <c r="F104" s="60">
        <v>44615.0</v>
      </c>
      <c r="G104" s="61">
        <v>0.6458333333333334</v>
      </c>
      <c r="H104" s="83" t="s">
        <v>6562</v>
      </c>
      <c r="I104" s="89" t="s">
        <v>6529</v>
      </c>
      <c r="J104" s="65" t="s">
        <v>6427</v>
      </c>
      <c r="K104" s="66"/>
      <c r="L104" s="66" t="s">
        <v>6559</v>
      </c>
      <c r="M104" s="66" t="s">
        <v>6559</v>
      </c>
      <c r="N104" s="66"/>
      <c r="O104" s="127" t="s">
        <v>6594</v>
      </c>
      <c r="P104" s="59" t="e">
        <v>#VALUE!</v>
      </c>
      <c r="Q104" s="67" t="e">
        <v>#VALUE!</v>
      </c>
      <c r="R104" s="68" t="e">
        <v>#VALUE!</v>
      </c>
      <c r="S104" s="62" t="e">
        <v>#VALUE!</v>
      </c>
      <c r="T104" s="62" t="e">
        <v>#VALUE!</v>
      </c>
      <c r="U104" s="63">
        <v>0.0</v>
      </c>
      <c r="V104" s="69" t="s">
        <v>6519</v>
      </c>
      <c r="W104" s="70" t="s">
        <v>6595</v>
      </c>
      <c r="X104" s="64" t="s">
        <v>6595</v>
      </c>
      <c r="Y104" s="64" t="s">
        <v>6596</v>
      </c>
      <c r="Z104" s="66" t="s">
        <v>6597</v>
      </c>
      <c r="AA104" s="71"/>
    </row>
    <row r="105" ht="15.75" customHeight="1">
      <c r="A105" s="56" t="s">
        <v>6702</v>
      </c>
      <c r="B105" s="56" t="s">
        <v>868</v>
      </c>
      <c r="C105" s="57">
        <v>11223.0</v>
      </c>
      <c r="D105" s="127" t="s">
        <v>6594</v>
      </c>
      <c r="E105" s="59">
        <v>27156.0</v>
      </c>
      <c r="F105" s="60">
        <v>44616.0</v>
      </c>
      <c r="G105" s="61">
        <v>0.3333333333333333</v>
      </c>
      <c r="H105" s="83" t="s">
        <v>6560</v>
      </c>
      <c r="I105" s="89" t="s">
        <v>6524</v>
      </c>
      <c r="J105" s="65" t="s">
        <v>6381</v>
      </c>
      <c r="K105" s="66"/>
      <c r="L105" s="66" t="s">
        <v>6559</v>
      </c>
      <c r="M105" s="66" t="s">
        <v>6559</v>
      </c>
      <c r="N105" s="66"/>
      <c r="O105" s="127" t="s">
        <v>6594</v>
      </c>
      <c r="P105" s="59" t="e">
        <v>#VALUE!</v>
      </c>
      <c r="Q105" s="67" t="e">
        <v>#VALUE!</v>
      </c>
      <c r="R105" s="68" t="e">
        <v>#VALUE!</v>
      </c>
      <c r="S105" s="62" t="e">
        <v>#VALUE!</v>
      </c>
      <c r="T105" s="62" t="e">
        <v>#VALUE!</v>
      </c>
      <c r="U105" s="63">
        <v>0.0</v>
      </c>
      <c r="V105" s="69" t="s">
        <v>6519</v>
      </c>
      <c r="W105" s="70" t="s">
        <v>6595</v>
      </c>
      <c r="X105" s="64" t="s">
        <v>6595</v>
      </c>
      <c r="Y105" s="64" t="s">
        <v>6596</v>
      </c>
      <c r="Z105" s="66" t="s">
        <v>6597</v>
      </c>
      <c r="AA105" s="71"/>
    </row>
    <row r="106" ht="15.75" customHeight="1">
      <c r="A106" s="56" t="s">
        <v>6703</v>
      </c>
      <c r="B106" s="56" t="s">
        <v>2802</v>
      </c>
      <c r="C106" s="57">
        <v>14183.0</v>
      </c>
      <c r="D106" s="127" t="s">
        <v>6594</v>
      </c>
      <c r="E106" s="59">
        <v>17152.0</v>
      </c>
      <c r="F106" s="60">
        <v>44616.0</v>
      </c>
      <c r="G106" s="61">
        <v>0.3333333333333333</v>
      </c>
      <c r="H106" s="83" t="s">
        <v>6561</v>
      </c>
      <c r="I106" s="89" t="s">
        <v>6527</v>
      </c>
      <c r="J106" s="65" t="s">
        <v>6489</v>
      </c>
      <c r="K106" s="66"/>
      <c r="L106" s="66" t="s">
        <v>6559</v>
      </c>
      <c r="M106" s="66"/>
      <c r="N106" s="66"/>
      <c r="O106" s="127" t="s">
        <v>6594</v>
      </c>
      <c r="P106" s="59" t="e">
        <v>#VALUE!</v>
      </c>
      <c r="Q106" s="67" t="e">
        <v>#VALUE!</v>
      </c>
      <c r="R106" s="68" t="e">
        <v>#VALUE!</v>
      </c>
      <c r="S106" s="62" t="e">
        <v>#VALUE!</v>
      </c>
      <c r="T106" s="62" t="e">
        <v>#VALUE!</v>
      </c>
      <c r="U106" s="63">
        <v>0.0</v>
      </c>
      <c r="V106" s="69" t="s">
        <v>6523</v>
      </c>
      <c r="W106" s="70" t="s">
        <v>6602</v>
      </c>
      <c r="X106" s="64" t="s">
        <v>6602</v>
      </c>
      <c r="Y106" s="64" t="s">
        <v>6596</v>
      </c>
      <c r="Z106" s="66" t="s">
        <v>6597</v>
      </c>
      <c r="AA106" s="71"/>
    </row>
    <row r="107" ht="15.75" customHeight="1">
      <c r="A107" s="56" t="s">
        <v>6704</v>
      </c>
      <c r="B107" s="56" t="s">
        <v>5102</v>
      </c>
      <c r="C107" s="57">
        <v>16974.0</v>
      </c>
      <c r="D107" s="127" t="s">
        <v>6594</v>
      </c>
      <c r="E107" s="59">
        <v>18458.0</v>
      </c>
      <c r="F107" s="60">
        <v>44616.0</v>
      </c>
      <c r="G107" s="61">
        <v>0.3333333333333333</v>
      </c>
      <c r="H107" s="83" t="s">
        <v>6558</v>
      </c>
      <c r="I107" s="89" t="s">
        <v>6521</v>
      </c>
      <c r="J107" s="65" t="s">
        <v>6489</v>
      </c>
      <c r="K107" s="66"/>
      <c r="L107" s="66" t="s">
        <v>6559</v>
      </c>
      <c r="M107" s="66" t="s">
        <v>6559</v>
      </c>
      <c r="N107" s="66"/>
      <c r="O107" s="127" t="s">
        <v>6594</v>
      </c>
      <c r="P107" s="59" t="e">
        <v>#VALUE!</v>
      </c>
      <c r="Q107" s="67" t="e">
        <v>#VALUE!</v>
      </c>
      <c r="R107" s="68" t="e">
        <v>#VALUE!</v>
      </c>
      <c r="S107" s="62" t="e">
        <v>#VALUE!</v>
      </c>
      <c r="T107" s="62" t="e">
        <v>#VALUE!</v>
      </c>
      <c r="U107" s="63">
        <v>0.0</v>
      </c>
      <c r="V107" s="69" t="s">
        <v>6519</v>
      </c>
      <c r="W107" s="70" t="s">
        <v>6595</v>
      </c>
      <c r="X107" s="64" t="s">
        <v>6595</v>
      </c>
      <c r="Y107" s="64" t="s">
        <v>6596</v>
      </c>
      <c r="Z107" s="66" t="s">
        <v>6597</v>
      </c>
      <c r="AA107" s="71"/>
    </row>
    <row r="108" ht="15.75" customHeight="1">
      <c r="A108" s="56" t="s">
        <v>6705</v>
      </c>
      <c r="B108" s="56" t="s">
        <v>4606</v>
      </c>
      <c r="C108" s="57">
        <v>16333.0</v>
      </c>
      <c r="D108" s="127" t="s">
        <v>6594</v>
      </c>
      <c r="E108" s="59">
        <v>31071.0</v>
      </c>
      <c r="F108" s="60">
        <v>44616.0</v>
      </c>
      <c r="G108" s="61">
        <v>0.3541666666666667</v>
      </c>
      <c r="H108" s="83" t="s">
        <v>6558</v>
      </c>
      <c r="I108" s="89" t="s">
        <v>6521</v>
      </c>
      <c r="J108" s="65" t="s">
        <v>6444</v>
      </c>
      <c r="K108" s="66"/>
      <c r="L108" s="66" t="s">
        <v>6559</v>
      </c>
      <c r="M108" s="66"/>
      <c r="N108" s="66"/>
      <c r="O108" s="127" t="s">
        <v>6594</v>
      </c>
      <c r="P108" s="59" t="e">
        <v>#VALUE!</v>
      </c>
      <c r="Q108" s="67" t="e">
        <v>#VALUE!</v>
      </c>
      <c r="R108" s="68" t="e">
        <v>#VALUE!</v>
      </c>
      <c r="S108" s="62" t="e">
        <v>#VALUE!</v>
      </c>
      <c r="T108" s="62" t="e">
        <v>#VALUE!</v>
      </c>
      <c r="U108" s="63">
        <v>0.0</v>
      </c>
      <c r="V108" s="69" t="s">
        <v>6523</v>
      </c>
      <c r="W108" s="70" t="s">
        <v>6602</v>
      </c>
      <c r="X108" s="64" t="s">
        <v>6602</v>
      </c>
      <c r="Y108" s="64" t="s">
        <v>6596</v>
      </c>
      <c r="Z108" s="66" t="s">
        <v>6597</v>
      </c>
      <c r="AA108" s="71"/>
    </row>
    <row r="109" ht="15.75" customHeight="1">
      <c r="A109" s="56" t="s">
        <v>6706</v>
      </c>
      <c r="B109" s="56" t="s">
        <v>1696</v>
      </c>
      <c r="C109" s="57">
        <v>12775.0</v>
      </c>
      <c r="D109" s="127" t="s">
        <v>6594</v>
      </c>
      <c r="E109" s="59">
        <v>21667.0</v>
      </c>
      <c r="F109" s="60">
        <v>44616.0</v>
      </c>
      <c r="G109" s="61">
        <v>0.3645833333333333</v>
      </c>
      <c r="H109" s="83" t="s">
        <v>6561</v>
      </c>
      <c r="I109" s="89" t="s">
        <v>6527</v>
      </c>
      <c r="J109" s="65" t="s">
        <v>6464</v>
      </c>
      <c r="K109" s="66"/>
      <c r="L109" s="66" t="s">
        <v>6559</v>
      </c>
      <c r="M109" s="66"/>
      <c r="N109" s="66"/>
      <c r="O109" s="127" t="s">
        <v>6594</v>
      </c>
      <c r="P109" s="59" t="e">
        <v>#VALUE!</v>
      </c>
      <c r="Q109" s="67" t="e">
        <v>#VALUE!</v>
      </c>
      <c r="R109" s="68" t="e">
        <v>#VALUE!</v>
      </c>
      <c r="S109" s="62" t="e">
        <v>#VALUE!</v>
      </c>
      <c r="T109" s="62" t="e">
        <v>#VALUE!</v>
      </c>
      <c r="U109" s="63">
        <v>0.0</v>
      </c>
      <c r="V109" s="69" t="s">
        <v>6523</v>
      </c>
      <c r="W109" s="70" t="s">
        <v>6602</v>
      </c>
      <c r="X109" s="64" t="s">
        <v>6602</v>
      </c>
      <c r="Y109" s="64" t="s">
        <v>6596</v>
      </c>
      <c r="Z109" s="66" t="s">
        <v>6597</v>
      </c>
      <c r="AA109" s="71"/>
    </row>
    <row r="110" ht="15.75" customHeight="1">
      <c r="A110" s="56" t="s">
        <v>6707</v>
      </c>
      <c r="B110" s="56" t="s">
        <v>2242</v>
      </c>
      <c r="C110" s="57">
        <v>13458.0</v>
      </c>
      <c r="D110" s="127" t="s">
        <v>6594</v>
      </c>
      <c r="E110" s="59">
        <v>21888.0</v>
      </c>
      <c r="F110" s="60">
        <v>44616.0</v>
      </c>
      <c r="G110" s="61">
        <v>0.3958333333333333</v>
      </c>
      <c r="H110" s="83" t="s">
        <v>6558</v>
      </c>
      <c r="I110" s="89" t="s">
        <v>6521</v>
      </c>
      <c r="J110" s="65" t="s">
        <v>6391</v>
      </c>
      <c r="K110" s="66"/>
      <c r="L110" s="66" t="s">
        <v>6559</v>
      </c>
      <c r="M110" s="66"/>
      <c r="N110" s="66"/>
      <c r="O110" s="127" t="s">
        <v>6594</v>
      </c>
      <c r="P110" s="59" t="e">
        <v>#VALUE!</v>
      </c>
      <c r="Q110" s="67" t="e">
        <v>#VALUE!</v>
      </c>
      <c r="R110" s="68" t="e">
        <v>#VALUE!</v>
      </c>
      <c r="S110" s="62" t="e">
        <v>#VALUE!</v>
      </c>
      <c r="T110" s="62" t="e">
        <v>#VALUE!</v>
      </c>
      <c r="U110" s="63">
        <v>0.0</v>
      </c>
      <c r="V110" s="69" t="s">
        <v>6523</v>
      </c>
      <c r="W110" s="70" t="s">
        <v>6602</v>
      </c>
      <c r="X110" s="64" t="s">
        <v>6602</v>
      </c>
      <c r="Y110" s="64" t="s">
        <v>6596</v>
      </c>
      <c r="Z110" s="66" t="s">
        <v>6597</v>
      </c>
      <c r="AA110" s="71"/>
    </row>
    <row r="111" ht="15.75" customHeight="1">
      <c r="A111" s="56" t="s">
        <v>6708</v>
      </c>
      <c r="B111" s="56" t="s">
        <v>3054</v>
      </c>
      <c r="C111" s="57">
        <v>14503.0</v>
      </c>
      <c r="D111" s="127" t="s">
        <v>6594</v>
      </c>
      <c r="E111" s="59">
        <v>22835.0</v>
      </c>
      <c r="F111" s="60">
        <v>44616.0</v>
      </c>
      <c r="G111" s="61">
        <v>0.3958333333333333</v>
      </c>
      <c r="H111" s="83" t="s">
        <v>6560</v>
      </c>
      <c r="I111" s="89" t="s">
        <v>6524</v>
      </c>
      <c r="J111" s="65" t="s">
        <v>6492</v>
      </c>
      <c r="K111" s="66"/>
      <c r="L111" s="66" t="s">
        <v>6559</v>
      </c>
      <c r="M111" s="66"/>
      <c r="N111" s="66"/>
      <c r="O111" s="127" t="s">
        <v>6594</v>
      </c>
      <c r="P111" s="59" t="e">
        <v>#VALUE!</v>
      </c>
      <c r="Q111" s="67" t="e">
        <v>#VALUE!</v>
      </c>
      <c r="R111" s="68" t="e">
        <v>#VALUE!</v>
      </c>
      <c r="S111" s="62" t="e">
        <v>#VALUE!</v>
      </c>
      <c r="T111" s="62" t="e">
        <v>#VALUE!</v>
      </c>
      <c r="U111" s="63">
        <v>0.0</v>
      </c>
      <c r="V111" s="69" t="s">
        <v>6523</v>
      </c>
      <c r="W111" s="70" t="s">
        <v>6602</v>
      </c>
      <c r="X111" s="64" t="s">
        <v>6602</v>
      </c>
      <c r="Y111" s="64" t="s">
        <v>6596</v>
      </c>
      <c r="Z111" s="66" t="s">
        <v>6597</v>
      </c>
      <c r="AA111" s="71"/>
    </row>
    <row r="112" ht="15.75" customHeight="1">
      <c r="A112" s="56" t="s">
        <v>6709</v>
      </c>
      <c r="B112" s="56" t="s">
        <v>3978</v>
      </c>
      <c r="C112" s="57">
        <v>15604.0</v>
      </c>
      <c r="D112" s="127" t="s">
        <v>6594</v>
      </c>
      <c r="E112" s="59">
        <v>20476.0</v>
      </c>
      <c r="F112" s="60">
        <v>44616.0</v>
      </c>
      <c r="G112" s="61">
        <v>0.3958333333333333</v>
      </c>
      <c r="H112" s="83" t="s">
        <v>6560</v>
      </c>
      <c r="I112" s="89" t="s">
        <v>6524</v>
      </c>
      <c r="J112" s="65" t="s">
        <v>6374</v>
      </c>
      <c r="K112" s="66"/>
      <c r="L112" s="66" t="s">
        <v>6559</v>
      </c>
      <c r="M112" s="66" t="s">
        <v>6559</v>
      </c>
      <c r="N112" s="66"/>
      <c r="O112" s="127" t="s">
        <v>6594</v>
      </c>
      <c r="P112" s="59" t="e">
        <v>#VALUE!</v>
      </c>
      <c r="Q112" s="67" t="e">
        <v>#VALUE!</v>
      </c>
      <c r="R112" s="68" t="e">
        <v>#VALUE!</v>
      </c>
      <c r="S112" s="62" t="e">
        <v>#VALUE!</v>
      </c>
      <c r="T112" s="62" t="e">
        <v>#VALUE!</v>
      </c>
      <c r="U112" s="63">
        <v>0.0</v>
      </c>
      <c r="V112" s="69" t="s">
        <v>6519</v>
      </c>
      <c r="W112" s="70" t="s">
        <v>6595</v>
      </c>
      <c r="X112" s="64" t="s">
        <v>6595</v>
      </c>
      <c r="Y112" s="64" t="s">
        <v>6596</v>
      </c>
      <c r="Z112" s="66" t="s">
        <v>6597</v>
      </c>
      <c r="AA112" s="71"/>
    </row>
    <row r="113" ht="15.75" customHeight="1">
      <c r="A113" s="56" t="s">
        <v>6710</v>
      </c>
      <c r="B113" s="56" t="s">
        <v>416</v>
      </c>
      <c r="C113" s="57">
        <v>10115.0</v>
      </c>
      <c r="D113" s="127" t="s">
        <v>6594</v>
      </c>
      <c r="E113" s="59">
        <v>28803.0</v>
      </c>
      <c r="F113" s="60">
        <v>44616.0</v>
      </c>
      <c r="G113" s="61">
        <v>0.40625</v>
      </c>
      <c r="H113" s="83" t="s">
        <v>6558</v>
      </c>
      <c r="I113" s="89" t="s">
        <v>6521</v>
      </c>
      <c r="J113" s="65" t="s">
        <v>6381</v>
      </c>
      <c r="K113" s="66"/>
      <c r="L113" s="66" t="s">
        <v>6559</v>
      </c>
      <c r="M113" s="66" t="s">
        <v>6559</v>
      </c>
      <c r="N113" s="66"/>
      <c r="O113" s="127" t="s">
        <v>6594</v>
      </c>
      <c r="P113" s="59" t="e">
        <v>#VALUE!</v>
      </c>
      <c r="Q113" s="67" t="e">
        <v>#VALUE!</v>
      </c>
      <c r="R113" s="68" t="e">
        <v>#VALUE!</v>
      </c>
      <c r="S113" s="62" t="e">
        <v>#VALUE!</v>
      </c>
      <c r="T113" s="62" t="e">
        <v>#VALUE!</v>
      </c>
      <c r="U113" s="63">
        <v>0.0</v>
      </c>
      <c r="V113" s="69" t="s">
        <v>6519</v>
      </c>
      <c r="W113" s="70" t="s">
        <v>6595</v>
      </c>
      <c r="X113" s="64" t="s">
        <v>6595</v>
      </c>
      <c r="Y113" s="64" t="s">
        <v>6596</v>
      </c>
      <c r="Z113" s="66" t="s">
        <v>6597</v>
      </c>
      <c r="AA113" s="71"/>
    </row>
    <row r="114" ht="15.75" customHeight="1">
      <c r="A114" s="56" t="s">
        <v>6711</v>
      </c>
      <c r="B114" s="56" t="s">
        <v>687</v>
      </c>
      <c r="C114" s="57">
        <v>10796.0</v>
      </c>
      <c r="D114" s="127" t="s">
        <v>6594</v>
      </c>
      <c r="E114" s="59">
        <v>19515.0</v>
      </c>
      <c r="F114" s="60">
        <v>44616.0</v>
      </c>
      <c r="G114" s="61">
        <v>0.4166666666666667</v>
      </c>
      <c r="H114" s="83" t="s">
        <v>6558</v>
      </c>
      <c r="I114" s="89" t="s">
        <v>6521</v>
      </c>
      <c r="J114" s="65" t="s">
        <v>6384</v>
      </c>
      <c r="K114" s="66"/>
      <c r="L114" s="66" t="s">
        <v>6559</v>
      </c>
      <c r="M114" s="66" t="s">
        <v>6559</v>
      </c>
      <c r="N114" s="66"/>
      <c r="O114" s="127" t="s">
        <v>6594</v>
      </c>
      <c r="P114" s="59" t="e">
        <v>#VALUE!</v>
      </c>
      <c r="Q114" s="67" t="e">
        <v>#VALUE!</v>
      </c>
      <c r="R114" s="68" t="e">
        <v>#VALUE!</v>
      </c>
      <c r="S114" s="62" t="e">
        <v>#VALUE!</v>
      </c>
      <c r="T114" s="62" t="e">
        <v>#VALUE!</v>
      </c>
      <c r="U114" s="63">
        <v>0.0</v>
      </c>
      <c r="V114" s="69" t="s">
        <v>6519</v>
      </c>
      <c r="W114" s="70" t="s">
        <v>6595</v>
      </c>
      <c r="X114" s="64" t="s">
        <v>6595</v>
      </c>
      <c r="Y114" s="64" t="s">
        <v>6596</v>
      </c>
      <c r="Z114" s="66" t="s">
        <v>6597</v>
      </c>
      <c r="AA114" s="71"/>
    </row>
    <row r="115" ht="15.75" customHeight="1">
      <c r="A115" s="56" t="s">
        <v>6712</v>
      </c>
      <c r="B115" s="56" t="s">
        <v>1613</v>
      </c>
      <c r="C115" s="57">
        <v>12669.0</v>
      </c>
      <c r="D115" s="127" t="s">
        <v>6594</v>
      </c>
      <c r="E115" s="59">
        <v>24179.0</v>
      </c>
      <c r="F115" s="60">
        <v>44616.0</v>
      </c>
      <c r="G115" s="61">
        <v>0.4166666666666667</v>
      </c>
      <c r="H115" s="83" t="s">
        <v>6560</v>
      </c>
      <c r="I115" s="89" t="s">
        <v>6524</v>
      </c>
      <c r="J115" s="65" t="s">
        <v>6427</v>
      </c>
      <c r="K115" s="66"/>
      <c r="L115" s="66" t="s">
        <v>6559</v>
      </c>
      <c r="M115" s="66"/>
      <c r="N115" s="66"/>
      <c r="O115" s="127" t="s">
        <v>6594</v>
      </c>
      <c r="P115" s="59" t="e">
        <v>#VALUE!</v>
      </c>
      <c r="Q115" s="67" t="e">
        <v>#VALUE!</v>
      </c>
      <c r="R115" s="68" t="e">
        <v>#VALUE!</v>
      </c>
      <c r="S115" s="62" t="e">
        <v>#VALUE!</v>
      </c>
      <c r="T115" s="62" t="e">
        <v>#VALUE!</v>
      </c>
      <c r="U115" s="63">
        <v>0.0</v>
      </c>
      <c r="V115" s="69" t="s">
        <v>6523</v>
      </c>
      <c r="W115" s="70" t="s">
        <v>6602</v>
      </c>
      <c r="X115" s="64" t="s">
        <v>6602</v>
      </c>
      <c r="Y115" s="64" t="s">
        <v>6596</v>
      </c>
      <c r="Z115" s="66" t="s">
        <v>6597</v>
      </c>
      <c r="AA115" s="71"/>
    </row>
    <row r="116" ht="15.75" customHeight="1">
      <c r="A116" s="56" t="s">
        <v>6713</v>
      </c>
      <c r="B116" s="56" t="s">
        <v>5376</v>
      </c>
      <c r="C116" s="57">
        <v>17316.0</v>
      </c>
      <c r="D116" s="127" t="s">
        <v>6594</v>
      </c>
      <c r="E116" s="59">
        <v>21188.0</v>
      </c>
      <c r="F116" s="60">
        <v>44616.0</v>
      </c>
      <c r="G116" s="61">
        <v>0.4166666666666667</v>
      </c>
      <c r="H116" s="83" t="s">
        <v>6558</v>
      </c>
      <c r="I116" s="89" t="s">
        <v>6521</v>
      </c>
      <c r="J116" s="65" t="s">
        <v>6457</v>
      </c>
      <c r="K116" s="66"/>
      <c r="L116" s="66" t="s">
        <v>6559</v>
      </c>
      <c r="M116" s="66"/>
      <c r="N116" s="66"/>
      <c r="O116" s="127" t="s">
        <v>6594</v>
      </c>
      <c r="P116" s="59" t="e">
        <v>#VALUE!</v>
      </c>
      <c r="Q116" s="67" t="e">
        <v>#VALUE!</v>
      </c>
      <c r="R116" s="68" t="e">
        <v>#VALUE!</v>
      </c>
      <c r="S116" s="62" t="e">
        <v>#VALUE!</v>
      </c>
      <c r="T116" s="62" t="e">
        <v>#VALUE!</v>
      </c>
      <c r="U116" s="63">
        <v>0.0</v>
      </c>
      <c r="V116" s="69" t="s">
        <v>6523</v>
      </c>
      <c r="W116" s="70" t="s">
        <v>6602</v>
      </c>
      <c r="X116" s="64" t="s">
        <v>6602</v>
      </c>
      <c r="Y116" s="64" t="s">
        <v>6596</v>
      </c>
      <c r="Z116" s="66" t="s">
        <v>6597</v>
      </c>
      <c r="AA116" s="71"/>
    </row>
    <row r="117" ht="15.75" customHeight="1">
      <c r="A117" s="56" t="s">
        <v>6714</v>
      </c>
      <c r="B117" s="56" t="s">
        <v>6250</v>
      </c>
      <c r="C117" s="57">
        <v>17548.0</v>
      </c>
      <c r="D117" s="127" t="s">
        <v>6594</v>
      </c>
      <c r="E117" s="59">
        <v>20628.0</v>
      </c>
      <c r="F117" s="60">
        <v>44616.0</v>
      </c>
      <c r="G117" s="61">
        <v>0.4479166666666667</v>
      </c>
      <c r="H117" s="83" t="s">
        <v>6562</v>
      </c>
      <c r="I117" s="89" t="s">
        <v>6529</v>
      </c>
      <c r="J117" s="65" t="s">
        <v>6407</v>
      </c>
      <c r="K117" s="66" t="s">
        <v>6559</v>
      </c>
      <c r="L117" s="66"/>
      <c r="M117" s="66"/>
      <c r="N117" s="66"/>
      <c r="O117" s="127" t="s">
        <v>6594</v>
      </c>
      <c r="P117" s="59" t="e">
        <v>#VALUE!</v>
      </c>
      <c r="Q117" s="67" t="e">
        <v>#VALUE!</v>
      </c>
      <c r="R117" s="68" t="e">
        <v>#VALUE!</v>
      </c>
      <c r="S117" s="62" t="e">
        <v>#VALUE!</v>
      </c>
      <c r="T117" s="62" t="e">
        <v>#VALUE!</v>
      </c>
      <c r="U117" s="63">
        <v>0.0</v>
      </c>
      <c r="V117" s="69" t="s">
        <v>6525</v>
      </c>
      <c r="W117" s="70" t="s">
        <v>6599</v>
      </c>
      <c r="X117" s="64" t="s">
        <v>6599</v>
      </c>
      <c r="Y117" s="64" t="s">
        <v>6596</v>
      </c>
      <c r="Z117" s="66" t="s">
        <v>6597</v>
      </c>
      <c r="AA117" s="71"/>
    </row>
    <row r="118" ht="15.75" customHeight="1">
      <c r="A118" s="56" t="s">
        <v>6715</v>
      </c>
      <c r="B118" s="56" t="s">
        <v>6091</v>
      </c>
      <c r="C118" s="57">
        <v>17911.0</v>
      </c>
      <c r="D118" s="127" t="s">
        <v>6594</v>
      </c>
      <c r="E118" s="59">
        <v>24230.0</v>
      </c>
      <c r="F118" s="60">
        <v>44616.0</v>
      </c>
      <c r="G118" s="61">
        <v>0.4479166666666667</v>
      </c>
      <c r="H118" s="83" t="s">
        <v>6561</v>
      </c>
      <c r="I118" s="89" t="s">
        <v>6527</v>
      </c>
      <c r="J118" s="65" t="s">
        <v>6407</v>
      </c>
      <c r="K118" s="66"/>
      <c r="L118" s="66" t="s">
        <v>6559</v>
      </c>
      <c r="M118" s="66" t="s">
        <v>6559</v>
      </c>
      <c r="N118" s="66"/>
      <c r="O118" s="127" t="s">
        <v>6594</v>
      </c>
      <c r="P118" s="59" t="e">
        <v>#VALUE!</v>
      </c>
      <c r="Q118" s="67" t="e">
        <v>#VALUE!</v>
      </c>
      <c r="R118" s="68" t="e">
        <v>#VALUE!</v>
      </c>
      <c r="S118" s="62" t="e">
        <v>#VALUE!</v>
      </c>
      <c r="T118" s="62" t="e">
        <v>#VALUE!</v>
      </c>
      <c r="U118" s="63">
        <v>0.0</v>
      </c>
      <c r="V118" s="69" t="s">
        <v>6519</v>
      </c>
      <c r="W118" s="70" t="s">
        <v>6595</v>
      </c>
      <c r="X118" s="64" t="s">
        <v>6595</v>
      </c>
      <c r="Y118" s="64" t="s">
        <v>6596</v>
      </c>
      <c r="Z118" s="66" t="s">
        <v>6597</v>
      </c>
      <c r="AA118" s="71"/>
    </row>
    <row r="119" ht="15.75" customHeight="1">
      <c r="A119" s="56" t="s">
        <v>6716</v>
      </c>
      <c r="B119" s="56" t="s">
        <v>2358</v>
      </c>
      <c r="C119" s="57">
        <v>13601.0</v>
      </c>
      <c r="D119" s="127" t="s">
        <v>6594</v>
      </c>
      <c r="E119" s="59">
        <v>19131.0</v>
      </c>
      <c r="F119" s="60">
        <v>44616.0</v>
      </c>
      <c r="G119" s="61">
        <v>0.4583333333333333</v>
      </c>
      <c r="H119" s="83" t="s">
        <v>6560</v>
      </c>
      <c r="I119" s="89" t="s">
        <v>6524</v>
      </c>
      <c r="J119" s="65" t="s">
        <v>6476</v>
      </c>
      <c r="K119" s="66"/>
      <c r="L119" s="66" t="s">
        <v>6559</v>
      </c>
      <c r="M119" s="66"/>
      <c r="N119" s="66"/>
      <c r="O119" s="127" t="s">
        <v>6594</v>
      </c>
      <c r="P119" s="59" t="e">
        <v>#VALUE!</v>
      </c>
      <c r="Q119" s="67" t="e">
        <v>#VALUE!</v>
      </c>
      <c r="R119" s="68" t="e">
        <v>#VALUE!</v>
      </c>
      <c r="S119" s="62" t="e">
        <v>#VALUE!</v>
      </c>
      <c r="T119" s="62" t="e">
        <v>#VALUE!</v>
      </c>
      <c r="U119" s="63">
        <v>0.0</v>
      </c>
      <c r="V119" s="69" t="s">
        <v>6523</v>
      </c>
      <c r="W119" s="70" t="s">
        <v>6602</v>
      </c>
      <c r="X119" s="64" t="s">
        <v>6602</v>
      </c>
      <c r="Y119" s="64" t="s">
        <v>6596</v>
      </c>
      <c r="Z119" s="66" t="s">
        <v>6597</v>
      </c>
      <c r="AA119" s="71"/>
    </row>
    <row r="120" ht="15.75" customHeight="1">
      <c r="A120" s="56" t="s">
        <v>6717</v>
      </c>
      <c r="B120" s="56" t="s">
        <v>4714</v>
      </c>
      <c r="C120" s="57">
        <v>16474.0</v>
      </c>
      <c r="D120" s="127" t="s">
        <v>6594</v>
      </c>
      <c r="E120" s="59">
        <v>24316.0</v>
      </c>
      <c r="F120" s="60">
        <v>44616.0</v>
      </c>
      <c r="G120" s="61">
        <v>0.4583333333333333</v>
      </c>
      <c r="H120" s="83" t="s">
        <v>6561</v>
      </c>
      <c r="I120" s="89" t="s">
        <v>6527</v>
      </c>
      <c r="J120" s="65" t="s">
        <v>6407</v>
      </c>
      <c r="K120" s="66"/>
      <c r="L120" s="66" t="s">
        <v>6559</v>
      </c>
      <c r="M120" s="66"/>
      <c r="N120" s="66"/>
      <c r="O120" s="127" t="s">
        <v>6594</v>
      </c>
      <c r="P120" s="59" t="e">
        <v>#VALUE!</v>
      </c>
      <c r="Q120" s="67" t="e">
        <v>#VALUE!</v>
      </c>
      <c r="R120" s="68" t="e">
        <v>#VALUE!</v>
      </c>
      <c r="S120" s="62" t="e">
        <v>#VALUE!</v>
      </c>
      <c r="T120" s="62" t="e">
        <v>#VALUE!</v>
      </c>
      <c r="U120" s="63">
        <v>0.0</v>
      </c>
      <c r="V120" s="69" t="s">
        <v>6523</v>
      </c>
      <c r="W120" s="70" t="s">
        <v>6602</v>
      </c>
      <c r="X120" s="64" t="s">
        <v>6602</v>
      </c>
      <c r="Y120" s="64" t="s">
        <v>6596</v>
      </c>
      <c r="Z120" s="66" t="s">
        <v>6597</v>
      </c>
      <c r="AA120" s="71"/>
    </row>
    <row r="121" ht="15.75" customHeight="1">
      <c r="A121" s="56" t="s">
        <v>6718</v>
      </c>
      <c r="B121" s="56" t="s">
        <v>2516</v>
      </c>
      <c r="C121" s="57">
        <v>13799.0</v>
      </c>
      <c r="D121" s="127" t="s">
        <v>6594</v>
      </c>
      <c r="E121" s="59">
        <v>24564.0</v>
      </c>
      <c r="F121" s="60">
        <v>44616.0</v>
      </c>
      <c r="G121" s="61">
        <v>0.46875</v>
      </c>
      <c r="H121" s="83" t="s">
        <v>6558</v>
      </c>
      <c r="I121" s="89" t="s">
        <v>6521</v>
      </c>
      <c r="J121" s="65" t="s">
        <v>6417</v>
      </c>
      <c r="K121" s="66"/>
      <c r="L121" s="66" t="s">
        <v>6559</v>
      </c>
      <c r="M121" s="66"/>
      <c r="N121" s="66"/>
      <c r="O121" s="127" t="s">
        <v>6594</v>
      </c>
      <c r="P121" s="59" t="e">
        <v>#VALUE!</v>
      </c>
      <c r="Q121" s="67" t="e">
        <v>#VALUE!</v>
      </c>
      <c r="R121" s="68" t="e">
        <v>#VALUE!</v>
      </c>
      <c r="S121" s="62" t="e">
        <v>#VALUE!</v>
      </c>
      <c r="T121" s="62" t="e">
        <v>#VALUE!</v>
      </c>
      <c r="U121" s="63">
        <v>0.0</v>
      </c>
      <c r="V121" s="69" t="s">
        <v>6523</v>
      </c>
      <c r="W121" s="70" t="s">
        <v>6602</v>
      </c>
      <c r="X121" s="64" t="s">
        <v>6602</v>
      </c>
      <c r="Y121" s="64" t="s">
        <v>6596</v>
      </c>
      <c r="Z121" s="66" t="s">
        <v>6597</v>
      </c>
      <c r="AA121" s="71"/>
    </row>
    <row r="122" ht="15.75" customHeight="1">
      <c r="A122" s="56" t="s">
        <v>6719</v>
      </c>
      <c r="B122" s="56" t="s">
        <v>3139</v>
      </c>
      <c r="C122" s="57">
        <v>14602.0</v>
      </c>
      <c r="D122" s="127" t="s">
        <v>6594</v>
      </c>
      <c r="E122" s="59">
        <v>24599.0</v>
      </c>
      <c r="F122" s="60">
        <v>44616.0</v>
      </c>
      <c r="G122" s="61">
        <v>0.4895833333333333</v>
      </c>
      <c r="H122" s="83" t="s">
        <v>6561</v>
      </c>
      <c r="I122" s="89" t="s">
        <v>6527</v>
      </c>
      <c r="J122" s="65" t="s">
        <v>6407</v>
      </c>
      <c r="K122" s="66"/>
      <c r="L122" s="66" t="s">
        <v>6559</v>
      </c>
      <c r="M122" s="66" t="s">
        <v>6559</v>
      </c>
      <c r="N122" s="66"/>
      <c r="O122" s="127" t="s">
        <v>6594</v>
      </c>
      <c r="P122" s="59" t="e">
        <v>#VALUE!</v>
      </c>
      <c r="Q122" s="67" t="e">
        <v>#VALUE!</v>
      </c>
      <c r="R122" s="68" t="e">
        <v>#VALUE!</v>
      </c>
      <c r="S122" s="62" t="e">
        <v>#VALUE!</v>
      </c>
      <c r="T122" s="62" t="e">
        <v>#VALUE!</v>
      </c>
      <c r="U122" s="63">
        <v>0.0</v>
      </c>
      <c r="V122" s="69" t="s">
        <v>6519</v>
      </c>
      <c r="W122" s="70" t="s">
        <v>6595</v>
      </c>
      <c r="X122" s="64" t="s">
        <v>6595</v>
      </c>
      <c r="Y122" s="64" t="s">
        <v>6596</v>
      </c>
      <c r="Z122" s="66" t="s">
        <v>6597</v>
      </c>
      <c r="AA122" s="71"/>
    </row>
    <row r="123" ht="15.75" customHeight="1">
      <c r="A123" s="56" t="s">
        <v>6720</v>
      </c>
      <c r="B123" s="56" t="s">
        <v>1774</v>
      </c>
      <c r="C123" s="57">
        <v>12866.0</v>
      </c>
      <c r="D123" s="127" t="s">
        <v>6594</v>
      </c>
      <c r="E123" s="59">
        <v>29894.0</v>
      </c>
      <c r="F123" s="60">
        <v>44616.0</v>
      </c>
      <c r="G123" s="61">
        <v>0.5416666666666666</v>
      </c>
      <c r="H123" s="83" t="s">
        <v>6560</v>
      </c>
      <c r="I123" s="89" t="s">
        <v>6524</v>
      </c>
      <c r="J123" s="65" t="s">
        <v>6444</v>
      </c>
      <c r="K123" s="66"/>
      <c r="L123" s="66" t="s">
        <v>6559</v>
      </c>
      <c r="M123" s="66"/>
      <c r="N123" s="66"/>
      <c r="O123" s="127" t="s">
        <v>6594</v>
      </c>
      <c r="P123" s="59" t="e">
        <v>#VALUE!</v>
      </c>
      <c r="Q123" s="67" t="e">
        <v>#VALUE!</v>
      </c>
      <c r="R123" s="68" t="e">
        <v>#VALUE!</v>
      </c>
      <c r="S123" s="62" t="e">
        <v>#VALUE!</v>
      </c>
      <c r="T123" s="62" t="e">
        <v>#VALUE!</v>
      </c>
      <c r="U123" s="63">
        <v>0.0</v>
      </c>
      <c r="V123" s="69" t="s">
        <v>6523</v>
      </c>
      <c r="W123" s="70" t="s">
        <v>6602</v>
      </c>
      <c r="X123" s="64" t="s">
        <v>6602</v>
      </c>
      <c r="Y123" s="64" t="s">
        <v>6596</v>
      </c>
      <c r="Z123" s="66" t="s">
        <v>6597</v>
      </c>
      <c r="AA123" s="71"/>
    </row>
    <row r="124" ht="15.75" customHeight="1">
      <c r="A124" s="56" t="s">
        <v>6721</v>
      </c>
      <c r="B124" s="56" t="s">
        <v>328</v>
      </c>
      <c r="C124" s="57">
        <v>9878.0</v>
      </c>
      <c r="D124" s="127" t="s">
        <v>6594</v>
      </c>
      <c r="E124" s="59">
        <v>26966.0</v>
      </c>
      <c r="F124" s="60">
        <v>44616.0</v>
      </c>
      <c r="G124" s="61">
        <v>0.5520833333333334</v>
      </c>
      <c r="H124" s="83" t="s">
        <v>6560</v>
      </c>
      <c r="I124" s="89" t="s">
        <v>6524</v>
      </c>
      <c r="J124" s="65" t="s">
        <v>6416</v>
      </c>
      <c r="K124" s="66"/>
      <c r="L124" s="66" t="s">
        <v>6559</v>
      </c>
      <c r="M124" s="66" t="s">
        <v>6559</v>
      </c>
      <c r="N124" s="66"/>
      <c r="O124" s="127" t="s">
        <v>6594</v>
      </c>
      <c r="P124" s="59" t="e">
        <v>#VALUE!</v>
      </c>
      <c r="Q124" s="67" t="e">
        <v>#VALUE!</v>
      </c>
      <c r="R124" s="68" t="e">
        <v>#VALUE!</v>
      </c>
      <c r="S124" s="62" t="e">
        <v>#VALUE!</v>
      </c>
      <c r="T124" s="62" t="e">
        <v>#VALUE!</v>
      </c>
      <c r="U124" s="63">
        <v>0.0</v>
      </c>
      <c r="V124" s="69" t="s">
        <v>6519</v>
      </c>
      <c r="W124" s="70" t="s">
        <v>6595</v>
      </c>
      <c r="X124" s="64" t="s">
        <v>6595</v>
      </c>
      <c r="Y124" s="64" t="s">
        <v>6596</v>
      </c>
      <c r="Z124" s="66" t="s">
        <v>6597</v>
      </c>
      <c r="AA124" s="71"/>
    </row>
    <row r="125" ht="15.75" customHeight="1">
      <c r="A125" s="56" t="s">
        <v>6722</v>
      </c>
      <c r="B125" s="56" t="s">
        <v>3592</v>
      </c>
      <c r="C125" s="57">
        <v>15145.0</v>
      </c>
      <c r="D125" s="127" t="s">
        <v>6594</v>
      </c>
      <c r="E125" s="59">
        <v>18524.0</v>
      </c>
      <c r="F125" s="60">
        <v>44616.0</v>
      </c>
      <c r="G125" s="61">
        <v>0.5729166666666666</v>
      </c>
      <c r="H125" s="83" t="s">
        <v>6560</v>
      </c>
      <c r="I125" s="89" t="s">
        <v>6524</v>
      </c>
      <c r="J125" s="65" t="s">
        <v>6489</v>
      </c>
      <c r="K125" s="66"/>
      <c r="L125" s="66" t="s">
        <v>6559</v>
      </c>
      <c r="M125" s="66" t="s">
        <v>6559</v>
      </c>
      <c r="N125" s="66"/>
      <c r="O125" s="127" t="s">
        <v>6594</v>
      </c>
      <c r="P125" s="59" t="e">
        <v>#VALUE!</v>
      </c>
      <c r="Q125" s="67" t="e">
        <v>#VALUE!</v>
      </c>
      <c r="R125" s="68" t="e">
        <v>#VALUE!</v>
      </c>
      <c r="S125" s="62" t="e">
        <v>#VALUE!</v>
      </c>
      <c r="T125" s="62" t="e">
        <v>#VALUE!</v>
      </c>
      <c r="U125" s="63">
        <v>0.0</v>
      </c>
      <c r="V125" s="69" t="s">
        <v>6519</v>
      </c>
      <c r="W125" s="70" t="s">
        <v>6595</v>
      </c>
      <c r="X125" s="64" t="s">
        <v>6595</v>
      </c>
      <c r="Y125" s="64" t="s">
        <v>6596</v>
      </c>
      <c r="Z125" s="66" t="s">
        <v>6597</v>
      </c>
      <c r="AA125" s="71"/>
    </row>
    <row r="126" ht="15.75" customHeight="1">
      <c r="A126" s="56" t="s">
        <v>6723</v>
      </c>
      <c r="B126" s="56" t="s">
        <v>526</v>
      </c>
      <c r="C126" s="57">
        <v>10395.0</v>
      </c>
      <c r="D126" s="127" t="s">
        <v>6594</v>
      </c>
      <c r="E126" s="59">
        <v>16600.0</v>
      </c>
      <c r="F126" s="60">
        <v>44616.0</v>
      </c>
      <c r="G126" s="61">
        <v>0.5833333333333334</v>
      </c>
      <c r="H126" s="83" t="s">
        <v>6558</v>
      </c>
      <c r="I126" s="89" t="s">
        <v>6521</v>
      </c>
      <c r="J126" s="65" t="s">
        <v>6477</v>
      </c>
      <c r="K126" s="66"/>
      <c r="L126" s="66" t="s">
        <v>6559</v>
      </c>
      <c r="M126" s="66" t="s">
        <v>6559</v>
      </c>
      <c r="N126" s="66"/>
      <c r="O126" s="127" t="s">
        <v>6594</v>
      </c>
      <c r="P126" s="59" t="e">
        <v>#VALUE!</v>
      </c>
      <c r="Q126" s="67" t="e">
        <v>#VALUE!</v>
      </c>
      <c r="R126" s="68" t="e">
        <v>#VALUE!</v>
      </c>
      <c r="S126" s="62" t="e">
        <v>#VALUE!</v>
      </c>
      <c r="T126" s="62" t="e">
        <v>#VALUE!</v>
      </c>
      <c r="U126" s="63">
        <v>0.0</v>
      </c>
      <c r="V126" s="69" t="s">
        <v>6519</v>
      </c>
      <c r="W126" s="70" t="s">
        <v>6595</v>
      </c>
      <c r="X126" s="64" t="s">
        <v>6595</v>
      </c>
      <c r="Y126" s="64" t="s">
        <v>6596</v>
      </c>
      <c r="Z126" s="66" t="s">
        <v>6597</v>
      </c>
      <c r="AA126" s="71"/>
    </row>
    <row r="127" ht="15.75" customHeight="1">
      <c r="A127" s="56" t="s">
        <v>6724</v>
      </c>
      <c r="B127" s="56" t="s">
        <v>3966</v>
      </c>
      <c r="C127" s="57">
        <v>15591.0</v>
      </c>
      <c r="D127" s="127" t="s">
        <v>6594</v>
      </c>
      <c r="E127" s="59">
        <v>21357.0</v>
      </c>
      <c r="F127" s="60">
        <v>44616.0</v>
      </c>
      <c r="G127" s="61">
        <v>0.59375</v>
      </c>
      <c r="H127" s="83" t="s">
        <v>6562</v>
      </c>
      <c r="I127" s="89" t="s">
        <v>6529</v>
      </c>
      <c r="J127" s="65" t="s">
        <v>6407</v>
      </c>
      <c r="K127" s="66"/>
      <c r="L127" s="66" t="s">
        <v>6559</v>
      </c>
      <c r="M127" s="66" t="s">
        <v>6559</v>
      </c>
      <c r="N127" s="66"/>
      <c r="O127" s="127" t="s">
        <v>6594</v>
      </c>
      <c r="P127" s="59" t="e">
        <v>#VALUE!</v>
      </c>
      <c r="Q127" s="67" t="e">
        <v>#VALUE!</v>
      </c>
      <c r="R127" s="68" t="e">
        <v>#VALUE!</v>
      </c>
      <c r="S127" s="62" t="e">
        <v>#VALUE!</v>
      </c>
      <c r="T127" s="62" t="e">
        <v>#VALUE!</v>
      </c>
      <c r="U127" s="63">
        <v>0.0</v>
      </c>
      <c r="V127" s="69" t="s">
        <v>6519</v>
      </c>
      <c r="W127" s="70" t="s">
        <v>6595</v>
      </c>
      <c r="X127" s="64" t="s">
        <v>6595</v>
      </c>
      <c r="Y127" s="64" t="s">
        <v>6596</v>
      </c>
      <c r="Z127" s="66" t="s">
        <v>6597</v>
      </c>
      <c r="AA127" s="71"/>
    </row>
    <row r="128" ht="15.75" customHeight="1">
      <c r="A128" s="56" t="s">
        <v>6725</v>
      </c>
      <c r="B128" s="56" t="s">
        <v>5295</v>
      </c>
      <c r="C128" s="57">
        <v>17214.0</v>
      </c>
      <c r="D128" s="127" t="s">
        <v>6594</v>
      </c>
      <c r="E128" s="59">
        <v>27931.0</v>
      </c>
      <c r="F128" s="60">
        <v>44616.0</v>
      </c>
      <c r="G128" s="61">
        <v>0.6145833333333334</v>
      </c>
      <c r="H128" s="83" t="s">
        <v>6558</v>
      </c>
      <c r="I128" s="89" t="s">
        <v>6521</v>
      </c>
      <c r="J128" s="65" t="s">
        <v>6389</v>
      </c>
      <c r="K128" s="66"/>
      <c r="L128" s="66" t="s">
        <v>6559</v>
      </c>
      <c r="M128" s="66" t="s">
        <v>6559</v>
      </c>
      <c r="N128" s="66"/>
      <c r="O128" s="127" t="s">
        <v>6594</v>
      </c>
      <c r="P128" s="59" t="e">
        <v>#VALUE!</v>
      </c>
      <c r="Q128" s="67" t="e">
        <v>#VALUE!</v>
      </c>
      <c r="R128" s="68" t="e">
        <v>#VALUE!</v>
      </c>
      <c r="S128" s="62" t="e">
        <v>#VALUE!</v>
      </c>
      <c r="T128" s="62" t="e">
        <v>#VALUE!</v>
      </c>
      <c r="U128" s="63">
        <v>0.0</v>
      </c>
      <c r="V128" s="69" t="s">
        <v>6519</v>
      </c>
      <c r="W128" s="70" t="s">
        <v>6595</v>
      </c>
      <c r="X128" s="64" t="s">
        <v>6595</v>
      </c>
      <c r="Y128" s="64" t="s">
        <v>6596</v>
      </c>
      <c r="Z128" s="66" t="s">
        <v>6597</v>
      </c>
      <c r="AA128" s="71"/>
    </row>
    <row r="129" ht="15.75" customHeight="1">
      <c r="A129" s="56" t="s">
        <v>6726</v>
      </c>
      <c r="B129" s="56" t="s">
        <v>493</v>
      </c>
      <c r="C129" s="57">
        <v>10323.0</v>
      </c>
      <c r="D129" s="127" t="s">
        <v>6594</v>
      </c>
      <c r="E129" s="59">
        <v>25052.0</v>
      </c>
      <c r="F129" s="60">
        <v>44616.0</v>
      </c>
      <c r="G129" s="61">
        <v>0.625</v>
      </c>
      <c r="H129" s="83" t="s">
        <v>6558</v>
      </c>
      <c r="I129" s="89" t="s">
        <v>6521</v>
      </c>
      <c r="J129" s="65" t="s">
        <v>6381</v>
      </c>
      <c r="K129" s="66"/>
      <c r="L129" s="66" t="s">
        <v>6559</v>
      </c>
      <c r="M129" s="66" t="s">
        <v>6559</v>
      </c>
      <c r="N129" s="66"/>
      <c r="O129" s="127" t="s">
        <v>6594</v>
      </c>
      <c r="P129" s="59" t="e">
        <v>#VALUE!</v>
      </c>
      <c r="Q129" s="67" t="e">
        <v>#VALUE!</v>
      </c>
      <c r="R129" s="68" t="e">
        <v>#VALUE!</v>
      </c>
      <c r="S129" s="62" t="e">
        <v>#VALUE!</v>
      </c>
      <c r="T129" s="62" t="e">
        <v>#VALUE!</v>
      </c>
      <c r="U129" s="63">
        <v>0.0</v>
      </c>
      <c r="V129" s="69" t="s">
        <v>6519</v>
      </c>
      <c r="W129" s="70" t="s">
        <v>6595</v>
      </c>
      <c r="X129" s="64" t="s">
        <v>6595</v>
      </c>
      <c r="Y129" s="64" t="s">
        <v>6596</v>
      </c>
      <c r="Z129" s="66" t="s">
        <v>6597</v>
      </c>
      <c r="AA129" s="71"/>
    </row>
    <row r="130" ht="15.75" customHeight="1">
      <c r="A130" s="56" t="s">
        <v>6727</v>
      </c>
      <c r="B130" s="56" t="s">
        <v>1117</v>
      </c>
      <c r="C130" s="57">
        <v>11797.0</v>
      </c>
      <c r="D130" s="127" t="s">
        <v>6594</v>
      </c>
      <c r="E130" s="59">
        <v>22586.0</v>
      </c>
      <c r="F130" s="60">
        <v>44616.0</v>
      </c>
      <c r="G130" s="61">
        <v>0.625</v>
      </c>
      <c r="H130" s="83" t="s">
        <v>6560</v>
      </c>
      <c r="I130" s="89" t="s">
        <v>6524</v>
      </c>
      <c r="J130" s="65" t="s">
        <v>6379</v>
      </c>
      <c r="K130" s="66"/>
      <c r="L130" s="66" t="s">
        <v>6559</v>
      </c>
      <c r="M130" s="66"/>
      <c r="N130" s="66"/>
      <c r="O130" s="127" t="s">
        <v>6594</v>
      </c>
      <c r="P130" s="59" t="e">
        <v>#VALUE!</v>
      </c>
      <c r="Q130" s="67" t="e">
        <v>#VALUE!</v>
      </c>
      <c r="R130" s="68" t="e">
        <v>#VALUE!</v>
      </c>
      <c r="S130" s="62" t="e">
        <v>#VALUE!</v>
      </c>
      <c r="T130" s="62" t="e">
        <v>#VALUE!</v>
      </c>
      <c r="U130" s="63">
        <v>0.0</v>
      </c>
      <c r="V130" s="69" t="s">
        <v>6523</v>
      </c>
      <c r="W130" s="70" t="s">
        <v>6602</v>
      </c>
      <c r="X130" s="64" t="s">
        <v>6602</v>
      </c>
      <c r="Y130" s="64" t="s">
        <v>6596</v>
      </c>
      <c r="Z130" s="66" t="s">
        <v>6597</v>
      </c>
      <c r="AA130" s="71"/>
    </row>
    <row r="131" ht="15.75" customHeight="1">
      <c r="A131" s="56" t="s">
        <v>6728</v>
      </c>
      <c r="B131" s="56" t="s">
        <v>4381</v>
      </c>
      <c r="C131" s="57">
        <v>16053.0</v>
      </c>
      <c r="D131" s="127" t="s">
        <v>6594</v>
      </c>
      <c r="E131" s="59">
        <v>22521.0</v>
      </c>
      <c r="F131" s="60">
        <v>44616.0</v>
      </c>
      <c r="G131" s="61">
        <v>0.625</v>
      </c>
      <c r="H131" s="83" t="s">
        <v>6560</v>
      </c>
      <c r="I131" s="89" t="s">
        <v>6524</v>
      </c>
      <c r="J131" s="65" t="s">
        <v>6426</v>
      </c>
      <c r="K131" s="66"/>
      <c r="L131" s="66" t="s">
        <v>6559</v>
      </c>
      <c r="M131" s="66"/>
      <c r="N131" s="66"/>
      <c r="O131" s="127" t="s">
        <v>6594</v>
      </c>
      <c r="P131" s="59" t="e">
        <v>#VALUE!</v>
      </c>
      <c r="Q131" s="67" t="e">
        <v>#VALUE!</v>
      </c>
      <c r="R131" s="68" t="e">
        <v>#VALUE!</v>
      </c>
      <c r="S131" s="62" t="e">
        <v>#VALUE!</v>
      </c>
      <c r="T131" s="62" t="e">
        <v>#VALUE!</v>
      </c>
      <c r="U131" s="63">
        <v>0.0</v>
      </c>
      <c r="V131" s="69" t="s">
        <v>6523</v>
      </c>
      <c r="W131" s="70" t="s">
        <v>6602</v>
      </c>
      <c r="X131" s="64" t="s">
        <v>6602</v>
      </c>
      <c r="Y131" s="64" t="s">
        <v>6596</v>
      </c>
      <c r="Z131" s="66" t="s">
        <v>6597</v>
      </c>
      <c r="AA131" s="71"/>
    </row>
    <row r="132" ht="15.75" customHeight="1">
      <c r="A132" s="56" t="s">
        <v>6729</v>
      </c>
      <c r="B132" s="56" t="s">
        <v>590</v>
      </c>
      <c r="C132" s="57">
        <v>10583.0</v>
      </c>
      <c r="D132" s="127" t="s">
        <v>6594</v>
      </c>
      <c r="E132" s="59">
        <v>24764.0</v>
      </c>
      <c r="F132" s="60">
        <v>44616.0</v>
      </c>
      <c r="G132" s="61">
        <v>0.6354166666666666</v>
      </c>
      <c r="H132" s="83" t="s">
        <v>6560</v>
      </c>
      <c r="I132" s="89" t="s">
        <v>6524</v>
      </c>
      <c r="J132" s="65" t="s">
        <v>6373</v>
      </c>
      <c r="K132" s="66"/>
      <c r="L132" s="66" t="s">
        <v>6559</v>
      </c>
      <c r="M132" s="66" t="s">
        <v>6559</v>
      </c>
      <c r="N132" s="66"/>
      <c r="O132" s="127" t="s">
        <v>6594</v>
      </c>
      <c r="P132" s="59" t="e">
        <v>#VALUE!</v>
      </c>
      <c r="Q132" s="67" t="e">
        <v>#VALUE!</v>
      </c>
      <c r="R132" s="68" t="e">
        <v>#VALUE!</v>
      </c>
      <c r="S132" s="62" t="e">
        <v>#VALUE!</v>
      </c>
      <c r="T132" s="62" t="e">
        <v>#VALUE!</v>
      </c>
      <c r="U132" s="63">
        <v>0.0</v>
      </c>
      <c r="V132" s="69" t="s">
        <v>6519</v>
      </c>
      <c r="W132" s="70" t="s">
        <v>6595</v>
      </c>
      <c r="X132" s="64" t="s">
        <v>6595</v>
      </c>
      <c r="Y132" s="64" t="s">
        <v>6596</v>
      </c>
      <c r="Z132" s="66" t="s">
        <v>6597</v>
      </c>
      <c r="AA132" s="71"/>
    </row>
    <row r="133" ht="15.75" customHeight="1">
      <c r="A133" s="56" t="s">
        <v>6730</v>
      </c>
      <c r="B133" s="56" t="s">
        <v>4883</v>
      </c>
      <c r="C133" s="57">
        <v>16695.0</v>
      </c>
      <c r="D133" s="127" t="s">
        <v>6594</v>
      </c>
      <c r="E133" s="59">
        <v>22489.0</v>
      </c>
      <c r="F133" s="60">
        <v>44616.0</v>
      </c>
      <c r="G133" s="61">
        <v>0.6458333333333334</v>
      </c>
      <c r="H133" s="83" t="s">
        <v>6558</v>
      </c>
      <c r="I133" s="89" t="s">
        <v>6521</v>
      </c>
      <c r="J133" s="65" t="s">
        <v>6379</v>
      </c>
      <c r="K133" s="66"/>
      <c r="L133" s="66" t="s">
        <v>6559</v>
      </c>
      <c r="M133" s="66"/>
      <c r="N133" s="66"/>
      <c r="O133" s="127" t="s">
        <v>6594</v>
      </c>
      <c r="P133" s="59" t="e">
        <v>#VALUE!</v>
      </c>
      <c r="Q133" s="67" t="e">
        <v>#VALUE!</v>
      </c>
      <c r="R133" s="68" t="e">
        <v>#VALUE!</v>
      </c>
      <c r="S133" s="62" t="e">
        <v>#VALUE!</v>
      </c>
      <c r="T133" s="62" t="e">
        <v>#VALUE!</v>
      </c>
      <c r="U133" s="63">
        <v>0.0</v>
      </c>
      <c r="V133" s="69" t="s">
        <v>6523</v>
      </c>
      <c r="W133" s="70" t="s">
        <v>6602</v>
      </c>
      <c r="X133" s="64" t="s">
        <v>6602</v>
      </c>
      <c r="Y133" s="64" t="s">
        <v>6596</v>
      </c>
      <c r="Z133" s="66" t="s">
        <v>6597</v>
      </c>
      <c r="AA133" s="71"/>
    </row>
    <row r="134" ht="15.75" customHeight="1">
      <c r="A134" s="56" t="s">
        <v>6731</v>
      </c>
      <c r="B134" s="56" t="s">
        <v>5573</v>
      </c>
      <c r="C134" s="57">
        <v>17587.0</v>
      </c>
      <c r="D134" s="127" t="s">
        <v>6594</v>
      </c>
      <c r="E134" s="59">
        <v>25234.0</v>
      </c>
      <c r="F134" s="60">
        <v>44616.0</v>
      </c>
      <c r="G134" s="61">
        <v>0.6458333333333334</v>
      </c>
      <c r="H134" s="83" t="s">
        <v>6558</v>
      </c>
      <c r="I134" s="89" t="s">
        <v>6521</v>
      </c>
      <c r="J134" s="65" t="s">
        <v>6489</v>
      </c>
      <c r="K134" s="66"/>
      <c r="L134" s="66" t="s">
        <v>6559</v>
      </c>
      <c r="M134" s="66" t="s">
        <v>6559</v>
      </c>
      <c r="N134" s="66"/>
      <c r="O134" s="127" t="s">
        <v>6594</v>
      </c>
      <c r="P134" s="59" t="e">
        <v>#VALUE!</v>
      </c>
      <c r="Q134" s="67" t="e">
        <v>#VALUE!</v>
      </c>
      <c r="R134" s="68" t="e">
        <v>#VALUE!</v>
      </c>
      <c r="S134" s="62" t="e">
        <v>#VALUE!</v>
      </c>
      <c r="T134" s="62" t="e">
        <v>#VALUE!</v>
      </c>
      <c r="U134" s="63">
        <v>0.0</v>
      </c>
      <c r="V134" s="69" t="s">
        <v>6519</v>
      </c>
      <c r="W134" s="70" t="s">
        <v>6595</v>
      </c>
      <c r="X134" s="64" t="s">
        <v>6595</v>
      </c>
      <c r="Y134" s="64" t="s">
        <v>6596</v>
      </c>
      <c r="Z134" s="66" t="s">
        <v>6597</v>
      </c>
      <c r="AA134" s="71"/>
    </row>
    <row r="135" ht="15.75" customHeight="1">
      <c r="A135" s="56" t="s">
        <v>6732</v>
      </c>
      <c r="B135" s="56" t="s">
        <v>5596</v>
      </c>
      <c r="C135" s="57">
        <v>17645.0</v>
      </c>
      <c r="D135" s="127" t="s">
        <v>6594</v>
      </c>
      <c r="E135" s="59">
        <v>28342.0</v>
      </c>
      <c r="F135" s="60">
        <v>44616.0</v>
      </c>
      <c r="G135" s="61">
        <v>0.6458333333333334</v>
      </c>
      <c r="H135" s="83" t="s">
        <v>6560</v>
      </c>
      <c r="I135" s="89" t="s">
        <v>6524</v>
      </c>
      <c r="J135" s="65" t="s">
        <v>6391</v>
      </c>
      <c r="K135" s="66"/>
      <c r="L135" s="66" t="s">
        <v>6559</v>
      </c>
      <c r="M135" s="66" t="s">
        <v>6559</v>
      </c>
      <c r="N135" s="66"/>
      <c r="O135" s="127" t="s">
        <v>6594</v>
      </c>
      <c r="P135" s="59" t="e">
        <v>#VALUE!</v>
      </c>
      <c r="Q135" s="67" t="e">
        <v>#VALUE!</v>
      </c>
      <c r="R135" s="68" t="e">
        <v>#VALUE!</v>
      </c>
      <c r="S135" s="62" t="e">
        <v>#VALUE!</v>
      </c>
      <c r="T135" s="62" t="e">
        <v>#VALUE!</v>
      </c>
      <c r="U135" s="63">
        <v>0.0</v>
      </c>
      <c r="V135" s="69" t="s">
        <v>6519</v>
      </c>
      <c r="W135" s="70" t="s">
        <v>6595</v>
      </c>
      <c r="X135" s="64" t="s">
        <v>6595</v>
      </c>
      <c r="Y135" s="64" t="s">
        <v>6596</v>
      </c>
      <c r="Z135" s="66" t="s">
        <v>6597</v>
      </c>
      <c r="AA135" s="71"/>
    </row>
    <row r="136" ht="15.75" customHeight="1">
      <c r="A136" s="56" t="s">
        <v>6733</v>
      </c>
      <c r="B136" s="56" t="s">
        <v>4626</v>
      </c>
      <c r="C136" s="57">
        <v>16355.0</v>
      </c>
      <c r="D136" s="127" t="s">
        <v>6594</v>
      </c>
      <c r="E136" s="59">
        <v>13948.0</v>
      </c>
      <c r="F136" s="60">
        <v>44617.0</v>
      </c>
      <c r="G136" s="61">
        <v>0.3645833333333333</v>
      </c>
      <c r="H136" s="83" t="s">
        <v>6561</v>
      </c>
      <c r="I136" s="89" t="s">
        <v>6527</v>
      </c>
      <c r="J136" s="65" t="s">
        <v>6372</v>
      </c>
      <c r="K136" s="66"/>
      <c r="L136" s="66" t="s">
        <v>6559</v>
      </c>
      <c r="M136" s="66" t="s">
        <v>6559</v>
      </c>
      <c r="N136" s="66"/>
      <c r="O136" s="127" t="s">
        <v>6594</v>
      </c>
      <c r="P136" s="59" t="e">
        <v>#VALUE!</v>
      </c>
      <c r="Q136" s="67" t="e">
        <v>#VALUE!</v>
      </c>
      <c r="R136" s="68" t="e">
        <v>#VALUE!</v>
      </c>
      <c r="S136" s="62" t="e">
        <v>#VALUE!</v>
      </c>
      <c r="T136" s="62" t="e">
        <v>#VALUE!</v>
      </c>
      <c r="U136" s="63">
        <v>0.0</v>
      </c>
      <c r="V136" s="69" t="s">
        <v>6519</v>
      </c>
      <c r="W136" s="70" t="s">
        <v>6595</v>
      </c>
      <c r="X136" s="64" t="s">
        <v>6595</v>
      </c>
      <c r="Y136" s="64" t="s">
        <v>6596</v>
      </c>
      <c r="Z136" s="66" t="s">
        <v>6597</v>
      </c>
      <c r="AA136" s="71"/>
    </row>
    <row r="137" ht="15.75" customHeight="1">
      <c r="A137" s="56" t="s">
        <v>6734</v>
      </c>
      <c r="B137" s="56" t="s">
        <v>4548</v>
      </c>
      <c r="C137" s="57">
        <v>16252.0</v>
      </c>
      <c r="D137" s="127" t="s">
        <v>6594</v>
      </c>
      <c r="E137" s="59">
        <v>31498.0</v>
      </c>
      <c r="F137" s="60">
        <v>44617.0</v>
      </c>
      <c r="G137" s="61">
        <v>0.3854166666666667</v>
      </c>
      <c r="H137" s="83" t="s">
        <v>6558</v>
      </c>
      <c r="I137" s="89" t="s">
        <v>6521</v>
      </c>
      <c r="J137" s="65" t="s">
        <v>6444</v>
      </c>
      <c r="K137" s="66"/>
      <c r="L137" s="66" t="s">
        <v>6559</v>
      </c>
      <c r="M137" s="66"/>
      <c r="N137" s="66"/>
      <c r="O137" s="127" t="s">
        <v>6594</v>
      </c>
      <c r="P137" s="59" t="e">
        <v>#VALUE!</v>
      </c>
      <c r="Q137" s="67" t="e">
        <v>#VALUE!</v>
      </c>
      <c r="R137" s="68" t="e">
        <v>#VALUE!</v>
      </c>
      <c r="S137" s="62" t="e">
        <v>#VALUE!</v>
      </c>
      <c r="T137" s="62" t="e">
        <v>#VALUE!</v>
      </c>
      <c r="U137" s="63">
        <v>0.0</v>
      </c>
      <c r="V137" s="69" t="s">
        <v>6523</v>
      </c>
      <c r="W137" s="70" t="s">
        <v>6602</v>
      </c>
      <c r="X137" s="64" t="s">
        <v>6602</v>
      </c>
      <c r="Y137" s="64" t="s">
        <v>6596</v>
      </c>
      <c r="Z137" s="66" t="s">
        <v>6597</v>
      </c>
      <c r="AA137" s="71"/>
    </row>
    <row r="138" ht="15.75" customHeight="1">
      <c r="A138" s="56" t="s">
        <v>6735</v>
      </c>
      <c r="B138" s="56" t="s">
        <v>3980</v>
      </c>
      <c r="C138" s="57">
        <v>15606.0</v>
      </c>
      <c r="D138" s="127" t="s">
        <v>6594</v>
      </c>
      <c r="E138" s="59">
        <v>21464.0</v>
      </c>
      <c r="F138" s="60">
        <v>44617.0</v>
      </c>
      <c r="G138" s="61">
        <v>0.3958333333333333</v>
      </c>
      <c r="H138" s="83" t="s">
        <v>6558</v>
      </c>
      <c r="I138" s="89" t="s">
        <v>6521</v>
      </c>
      <c r="J138" s="65" t="s">
        <v>6373</v>
      </c>
      <c r="K138" s="66"/>
      <c r="L138" s="66" t="s">
        <v>6559</v>
      </c>
      <c r="M138" s="66"/>
      <c r="N138" s="66"/>
      <c r="O138" s="127" t="s">
        <v>6594</v>
      </c>
      <c r="P138" s="59" t="e">
        <v>#VALUE!</v>
      </c>
      <c r="Q138" s="67" t="e">
        <v>#VALUE!</v>
      </c>
      <c r="R138" s="68" t="e">
        <v>#VALUE!</v>
      </c>
      <c r="S138" s="62" t="e">
        <v>#VALUE!</v>
      </c>
      <c r="T138" s="62" t="e">
        <v>#VALUE!</v>
      </c>
      <c r="U138" s="63">
        <v>0.0</v>
      </c>
      <c r="V138" s="69" t="s">
        <v>6523</v>
      </c>
      <c r="W138" s="70" t="s">
        <v>6602</v>
      </c>
      <c r="X138" s="64" t="s">
        <v>6602</v>
      </c>
      <c r="Y138" s="64" t="s">
        <v>6596</v>
      </c>
      <c r="Z138" s="66" t="s">
        <v>6597</v>
      </c>
      <c r="AA138" s="71"/>
    </row>
    <row r="139" ht="15.75" customHeight="1">
      <c r="A139" s="56" t="s">
        <v>6736</v>
      </c>
      <c r="B139" s="56" t="s">
        <v>4534</v>
      </c>
      <c r="C139" s="57">
        <v>16236.0</v>
      </c>
      <c r="D139" s="127" t="s">
        <v>6594</v>
      </c>
      <c r="E139" s="59">
        <v>20696.0</v>
      </c>
      <c r="F139" s="60">
        <v>44617.0</v>
      </c>
      <c r="G139" s="61">
        <v>0.40625</v>
      </c>
      <c r="H139" s="83" t="s">
        <v>6558</v>
      </c>
      <c r="I139" s="89" t="s">
        <v>6521</v>
      </c>
      <c r="J139" s="65" t="s">
        <v>6477</v>
      </c>
      <c r="K139" s="66"/>
      <c r="L139" s="66" t="s">
        <v>6559</v>
      </c>
      <c r="M139" s="66"/>
      <c r="N139" s="66"/>
      <c r="O139" s="127" t="s">
        <v>6594</v>
      </c>
      <c r="P139" s="59" t="e">
        <v>#VALUE!</v>
      </c>
      <c r="Q139" s="67" t="e">
        <v>#VALUE!</v>
      </c>
      <c r="R139" s="68" t="e">
        <v>#VALUE!</v>
      </c>
      <c r="S139" s="62" t="e">
        <v>#VALUE!</v>
      </c>
      <c r="T139" s="62" t="e">
        <v>#VALUE!</v>
      </c>
      <c r="U139" s="63">
        <v>0.0</v>
      </c>
      <c r="V139" s="69" t="s">
        <v>6523</v>
      </c>
      <c r="W139" s="70" t="s">
        <v>6602</v>
      </c>
      <c r="X139" s="64" t="s">
        <v>6602</v>
      </c>
      <c r="Y139" s="64" t="s">
        <v>6596</v>
      </c>
      <c r="Z139" s="66" t="s">
        <v>6597</v>
      </c>
      <c r="AA139" s="71"/>
    </row>
    <row r="140" ht="15.75" customHeight="1">
      <c r="A140" s="56" t="s">
        <v>6737</v>
      </c>
      <c r="B140" s="56" t="s">
        <v>709</v>
      </c>
      <c r="C140" s="57">
        <v>10878.0</v>
      </c>
      <c r="D140" s="127" t="s">
        <v>6594</v>
      </c>
      <c r="E140" s="59">
        <v>25475.0</v>
      </c>
      <c r="F140" s="60">
        <v>44617.0</v>
      </c>
      <c r="G140" s="61">
        <v>0.4479166666666667</v>
      </c>
      <c r="H140" s="83" t="s">
        <v>6558</v>
      </c>
      <c r="I140" s="89" t="s">
        <v>6521</v>
      </c>
      <c r="J140" s="65" t="s">
        <v>6489</v>
      </c>
      <c r="K140" s="66"/>
      <c r="L140" s="66" t="s">
        <v>6559</v>
      </c>
      <c r="M140" s="66"/>
      <c r="N140" s="66"/>
      <c r="O140" s="127" t="s">
        <v>6594</v>
      </c>
      <c r="P140" s="59" t="e">
        <v>#VALUE!</v>
      </c>
      <c r="Q140" s="67" t="e">
        <v>#VALUE!</v>
      </c>
      <c r="R140" s="68" t="e">
        <v>#VALUE!</v>
      </c>
      <c r="S140" s="62" t="e">
        <v>#VALUE!</v>
      </c>
      <c r="T140" s="62" t="e">
        <v>#VALUE!</v>
      </c>
      <c r="U140" s="63">
        <v>0.0</v>
      </c>
      <c r="V140" s="69" t="s">
        <v>6523</v>
      </c>
      <c r="W140" s="70" t="s">
        <v>6602</v>
      </c>
      <c r="X140" s="64" t="s">
        <v>6602</v>
      </c>
      <c r="Y140" s="64" t="s">
        <v>6596</v>
      </c>
      <c r="Z140" s="66" t="s">
        <v>6597</v>
      </c>
      <c r="AA140" s="71"/>
    </row>
    <row r="141" ht="15.75" customHeight="1">
      <c r="A141" s="56" t="s">
        <v>6738</v>
      </c>
      <c r="B141" s="56" t="s">
        <v>4144</v>
      </c>
      <c r="C141" s="57">
        <v>15786.0</v>
      </c>
      <c r="D141" s="127" t="s">
        <v>6594</v>
      </c>
      <c r="E141" s="59">
        <v>21798.0</v>
      </c>
      <c r="F141" s="60">
        <v>44617.0</v>
      </c>
      <c r="G141" s="61">
        <v>0.5416666666666666</v>
      </c>
      <c r="H141" s="83" t="s">
        <v>6558</v>
      </c>
      <c r="I141" s="89" t="s">
        <v>6521</v>
      </c>
      <c r="J141" s="65" t="s">
        <v>6379</v>
      </c>
      <c r="K141" s="66"/>
      <c r="L141" s="66" t="s">
        <v>6559</v>
      </c>
      <c r="M141" s="66" t="s">
        <v>6559</v>
      </c>
      <c r="N141" s="66"/>
      <c r="O141" s="127" t="s">
        <v>6594</v>
      </c>
      <c r="P141" s="59" t="e">
        <v>#VALUE!</v>
      </c>
      <c r="Q141" s="67" t="e">
        <v>#VALUE!</v>
      </c>
      <c r="R141" s="68" t="e">
        <v>#VALUE!</v>
      </c>
      <c r="S141" s="62" t="e">
        <v>#VALUE!</v>
      </c>
      <c r="T141" s="62" t="e">
        <v>#VALUE!</v>
      </c>
      <c r="U141" s="63">
        <v>0.0</v>
      </c>
      <c r="V141" s="69" t="s">
        <v>6519</v>
      </c>
      <c r="W141" s="70" t="s">
        <v>6595</v>
      </c>
      <c r="X141" s="64" t="s">
        <v>6595</v>
      </c>
      <c r="Y141" s="64" t="s">
        <v>6596</v>
      </c>
      <c r="Z141" s="66" t="s">
        <v>6597</v>
      </c>
      <c r="AA141" s="71"/>
    </row>
    <row r="142" ht="15.75" customHeight="1">
      <c r="A142" s="56" t="s">
        <v>6739</v>
      </c>
      <c r="B142" s="56" t="s">
        <v>4835</v>
      </c>
      <c r="C142" s="57">
        <v>16637.0</v>
      </c>
      <c r="D142" s="127" t="s">
        <v>6594</v>
      </c>
      <c r="E142" s="59">
        <v>30813.0</v>
      </c>
      <c r="F142" s="60">
        <v>44617.0</v>
      </c>
      <c r="G142" s="61">
        <v>0.5520833333333334</v>
      </c>
      <c r="H142" s="83" t="s">
        <v>6558</v>
      </c>
      <c r="I142" s="89" t="s">
        <v>6521</v>
      </c>
      <c r="J142" s="65" t="s">
        <v>6420</v>
      </c>
      <c r="K142" s="66"/>
      <c r="L142" s="66" t="s">
        <v>6559</v>
      </c>
      <c r="M142" s="66" t="s">
        <v>6559</v>
      </c>
      <c r="N142" s="66"/>
      <c r="O142" s="127" t="s">
        <v>6594</v>
      </c>
      <c r="P142" s="59" t="e">
        <v>#VALUE!</v>
      </c>
      <c r="Q142" s="67" t="e">
        <v>#VALUE!</v>
      </c>
      <c r="R142" s="68" t="e">
        <v>#VALUE!</v>
      </c>
      <c r="S142" s="62" t="e">
        <v>#VALUE!</v>
      </c>
      <c r="T142" s="62" t="e">
        <v>#VALUE!</v>
      </c>
      <c r="U142" s="63">
        <v>0.0</v>
      </c>
      <c r="V142" s="69" t="s">
        <v>6519</v>
      </c>
      <c r="W142" s="70" t="s">
        <v>6595</v>
      </c>
      <c r="X142" s="64" t="s">
        <v>6595</v>
      </c>
      <c r="Y142" s="64" t="s">
        <v>6596</v>
      </c>
      <c r="Z142" s="66" t="s">
        <v>6597</v>
      </c>
      <c r="AA142" s="71"/>
    </row>
    <row r="143" ht="15.75" customHeight="1">
      <c r="A143" s="56" t="s">
        <v>6740</v>
      </c>
      <c r="B143" s="56" t="s">
        <v>5780</v>
      </c>
      <c r="C143" s="57">
        <v>17276.0</v>
      </c>
      <c r="D143" s="127" t="s">
        <v>6594</v>
      </c>
      <c r="E143" s="59">
        <v>25945.0</v>
      </c>
      <c r="F143" s="60">
        <v>44617.0</v>
      </c>
      <c r="G143" s="61">
        <v>0.5729166666666666</v>
      </c>
      <c r="H143" s="83" t="s">
        <v>6558</v>
      </c>
      <c r="I143" s="89" t="s">
        <v>6521</v>
      </c>
      <c r="J143" s="65" t="s">
        <v>6393</v>
      </c>
      <c r="K143" s="66"/>
      <c r="L143" s="66" t="s">
        <v>6559</v>
      </c>
      <c r="M143" s="66"/>
      <c r="N143" s="66"/>
      <c r="O143" s="127" t="s">
        <v>6594</v>
      </c>
      <c r="P143" s="59" t="e">
        <v>#VALUE!</v>
      </c>
      <c r="Q143" s="67" t="e">
        <v>#VALUE!</v>
      </c>
      <c r="R143" s="68" t="e">
        <v>#VALUE!</v>
      </c>
      <c r="S143" s="62" t="e">
        <v>#VALUE!</v>
      </c>
      <c r="T143" s="62" t="e">
        <v>#VALUE!</v>
      </c>
      <c r="U143" s="63">
        <v>0.0</v>
      </c>
      <c r="V143" s="69" t="s">
        <v>6523</v>
      </c>
      <c r="W143" s="70" t="s">
        <v>6602</v>
      </c>
      <c r="X143" s="64" t="s">
        <v>6602</v>
      </c>
      <c r="Y143" s="64" t="s">
        <v>6596</v>
      </c>
      <c r="Z143" s="66" t="s">
        <v>6597</v>
      </c>
      <c r="AA143" s="71"/>
    </row>
    <row r="144" ht="15.75" customHeight="1">
      <c r="A144" s="56" t="s">
        <v>6741</v>
      </c>
      <c r="B144" s="56" t="s">
        <v>757</v>
      </c>
      <c r="C144" s="57">
        <v>11004.0</v>
      </c>
      <c r="D144" s="127" t="s">
        <v>6594</v>
      </c>
      <c r="E144" s="59">
        <v>27126.0</v>
      </c>
      <c r="F144" s="60">
        <v>44617.0</v>
      </c>
      <c r="G144" s="61">
        <v>0.6041666666666666</v>
      </c>
      <c r="H144" s="83" t="s">
        <v>6558</v>
      </c>
      <c r="I144" s="89" t="s">
        <v>6521</v>
      </c>
      <c r="J144" s="65" t="s">
        <v>6414</v>
      </c>
      <c r="K144" s="66"/>
      <c r="L144" s="66" t="s">
        <v>6559</v>
      </c>
      <c r="M144" s="66" t="s">
        <v>6559</v>
      </c>
      <c r="N144" s="66"/>
      <c r="O144" s="127" t="s">
        <v>6594</v>
      </c>
      <c r="P144" s="59" t="e">
        <v>#VALUE!</v>
      </c>
      <c r="Q144" s="67" t="e">
        <v>#VALUE!</v>
      </c>
      <c r="R144" s="68" t="e">
        <v>#VALUE!</v>
      </c>
      <c r="S144" s="62" t="e">
        <v>#VALUE!</v>
      </c>
      <c r="T144" s="62" t="e">
        <v>#VALUE!</v>
      </c>
      <c r="U144" s="63">
        <v>0.0</v>
      </c>
      <c r="V144" s="69" t="s">
        <v>6519</v>
      </c>
      <c r="W144" s="70" t="s">
        <v>6595</v>
      </c>
      <c r="X144" s="64" t="s">
        <v>6595</v>
      </c>
      <c r="Y144" s="64" t="s">
        <v>6596</v>
      </c>
      <c r="Z144" s="66" t="s">
        <v>6597</v>
      </c>
      <c r="AA144" s="71"/>
    </row>
    <row r="145" ht="15.75" customHeight="1">
      <c r="A145" s="56" t="s">
        <v>6742</v>
      </c>
      <c r="B145" s="56" t="s">
        <v>63</v>
      </c>
      <c r="C145" s="57">
        <v>9187.0</v>
      </c>
      <c r="D145" s="127" t="s">
        <v>6594</v>
      </c>
      <c r="E145" s="59">
        <v>21033.0</v>
      </c>
      <c r="F145" s="60">
        <v>44617.0</v>
      </c>
      <c r="G145" s="61">
        <v>0.6145833333333334</v>
      </c>
      <c r="H145" s="83" t="s">
        <v>6561</v>
      </c>
      <c r="I145" s="89" t="s">
        <v>6527</v>
      </c>
      <c r="J145" s="65" t="s">
        <v>6464</v>
      </c>
      <c r="K145" s="66"/>
      <c r="L145" s="66" t="s">
        <v>6559</v>
      </c>
      <c r="M145" s="66"/>
      <c r="N145" s="66"/>
      <c r="O145" s="127" t="s">
        <v>6594</v>
      </c>
      <c r="P145" s="59" t="e">
        <v>#VALUE!</v>
      </c>
      <c r="Q145" s="67" t="e">
        <v>#VALUE!</v>
      </c>
      <c r="R145" s="68" t="e">
        <v>#VALUE!</v>
      </c>
      <c r="S145" s="62" t="e">
        <v>#VALUE!</v>
      </c>
      <c r="T145" s="62" t="e">
        <v>#VALUE!</v>
      </c>
      <c r="U145" s="63">
        <v>0.0</v>
      </c>
      <c r="V145" s="69" t="s">
        <v>6523</v>
      </c>
      <c r="W145" s="70" t="s">
        <v>6602</v>
      </c>
      <c r="X145" s="64" t="s">
        <v>6602</v>
      </c>
      <c r="Y145" s="64" t="s">
        <v>6596</v>
      </c>
      <c r="Z145" s="66" t="s">
        <v>6597</v>
      </c>
      <c r="AA145" s="71"/>
    </row>
    <row r="146" ht="15.75" customHeight="1">
      <c r="A146" s="56" t="s">
        <v>6743</v>
      </c>
      <c r="B146" s="56" t="s">
        <v>588</v>
      </c>
      <c r="C146" s="57">
        <v>10573.0</v>
      </c>
      <c r="D146" s="127" t="s">
        <v>6594</v>
      </c>
      <c r="E146" s="59">
        <v>23562.0</v>
      </c>
      <c r="F146" s="60">
        <v>44620.0</v>
      </c>
      <c r="G146" s="61">
        <v>0.375</v>
      </c>
      <c r="H146" s="83" t="s">
        <v>6561</v>
      </c>
      <c r="I146" s="89" t="s">
        <v>6527</v>
      </c>
      <c r="J146" s="65" t="s">
        <v>6489</v>
      </c>
      <c r="K146" s="66"/>
      <c r="L146" s="66" t="s">
        <v>6559</v>
      </c>
      <c r="M146" s="66"/>
      <c r="N146" s="66"/>
      <c r="O146" s="127" t="s">
        <v>6594</v>
      </c>
      <c r="P146" s="59" t="e">
        <v>#VALUE!</v>
      </c>
      <c r="Q146" s="67" t="e">
        <v>#VALUE!</v>
      </c>
      <c r="R146" s="68" t="e">
        <v>#VALUE!</v>
      </c>
      <c r="S146" s="62" t="e">
        <v>#VALUE!</v>
      </c>
      <c r="T146" s="62" t="e">
        <v>#VALUE!</v>
      </c>
      <c r="U146" s="63">
        <v>0.0</v>
      </c>
      <c r="V146" s="69" t="s">
        <v>6523</v>
      </c>
      <c r="W146" s="70" t="s">
        <v>6602</v>
      </c>
      <c r="X146" s="64" t="s">
        <v>6602</v>
      </c>
      <c r="Y146" s="64" t="s">
        <v>6596</v>
      </c>
      <c r="Z146" s="66" t="s">
        <v>6597</v>
      </c>
      <c r="AA146" s="71"/>
    </row>
    <row r="147" ht="15.75" customHeight="1">
      <c r="A147" s="56" t="s">
        <v>6744</v>
      </c>
      <c r="B147" s="56" t="s">
        <v>1097</v>
      </c>
      <c r="C147" s="57">
        <v>11761.0</v>
      </c>
      <c r="D147" s="127" t="s">
        <v>6594</v>
      </c>
      <c r="E147" s="59">
        <v>32726.0</v>
      </c>
      <c r="F147" s="60">
        <v>44620.0</v>
      </c>
      <c r="G147" s="61">
        <v>0.4166666666666667</v>
      </c>
      <c r="H147" s="83" t="s">
        <v>6561</v>
      </c>
      <c r="I147" s="89" t="s">
        <v>6527</v>
      </c>
      <c r="J147" s="65" t="s">
        <v>6381</v>
      </c>
      <c r="K147" s="66"/>
      <c r="L147" s="66" t="s">
        <v>6559</v>
      </c>
      <c r="M147" s="66" t="s">
        <v>6559</v>
      </c>
      <c r="N147" s="66"/>
      <c r="O147" s="127" t="s">
        <v>6594</v>
      </c>
      <c r="P147" s="59" t="e">
        <v>#VALUE!</v>
      </c>
      <c r="Q147" s="67" t="e">
        <v>#VALUE!</v>
      </c>
      <c r="R147" s="68" t="e">
        <v>#VALUE!</v>
      </c>
      <c r="S147" s="62" t="e">
        <v>#VALUE!</v>
      </c>
      <c r="T147" s="62" t="e">
        <v>#VALUE!</v>
      </c>
      <c r="U147" s="63">
        <v>0.0</v>
      </c>
      <c r="V147" s="69" t="s">
        <v>6519</v>
      </c>
      <c r="W147" s="70" t="s">
        <v>6595</v>
      </c>
      <c r="X147" s="64" t="s">
        <v>6595</v>
      </c>
      <c r="Y147" s="64" t="s">
        <v>6596</v>
      </c>
      <c r="Z147" s="66" t="s">
        <v>6597</v>
      </c>
      <c r="AA147" s="71"/>
    </row>
    <row r="148" ht="15.75" customHeight="1">
      <c r="A148" s="56" t="s">
        <v>6745</v>
      </c>
      <c r="B148" s="56" t="s">
        <v>1328</v>
      </c>
      <c r="C148" s="57">
        <v>12224.0</v>
      </c>
      <c r="D148" s="127" t="s">
        <v>6594</v>
      </c>
      <c r="E148" s="59">
        <v>28683.0</v>
      </c>
      <c r="F148" s="60">
        <v>44620.0</v>
      </c>
      <c r="G148" s="61">
        <v>0.40625</v>
      </c>
      <c r="H148" s="83" t="s">
        <v>6561</v>
      </c>
      <c r="I148" s="89" t="s">
        <v>6527</v>
      </c>
      <c r="J148" s="65" t="s">
        <v>6444</v>
      </c>
      <c r="K148" s="66"/>
      <c r="L148" s="66" t="s">
        <v>6559</v>
      </c>
      <c r="M148" s="66"/>
      <c r="N148" s="66"/>
      <c r="O148" s="127" t="s">
        <v>6594</v>
      </c>
      <c r="P148" s="59" t="e">
        <v>#VALUE!</v>
      </c>
      <c r="Q148" s="67" t="e">
        <v>#VALUE!</v>
      </c>
      <c r="R148" s="68" t="e">
        <v>#VALUE!</v>
      </c>
      <c r="S148" s="62" t="e">
        <v>#VALUE!</v>
      </c>
      <c r="T148" s="62" t="e">
        <v>#VALUE!</v>
      </c>
      <c r="U148" s="63">
        <v>0.0</v>
      </c>
      <c r="V148" s="69" t="s">
        <v>6523</v>
      </c>
      <c r="W148" s="70" t="s">
        <v>6602</v>
      </c>
      <c r="X148" s="64" t="s">
        <v>6602</v>
      </c>
      <c r="Y148" s="64" t="s">
        <v>6596</v>
      </c>
      <c r="Z148" s="66" t="s">
        <v>6597</v>
      </c>
      <c r="AA148" s="71"/>
    </row>
    <row r="149" ht="15.75" customHeight="1">
      <c r="A149" s="56" t="s">
        <v>6746</v>
      </c>
      <c r="B149" s="56" t="s">
        <v>2805</v>
      </c>
      <c r="C149" s="57">
        <v>14186.0</v>
      </c>
      <c r="D149" s="127" t="s">
        <v>6594</v>
      </c>
      <c r="E149" s="59">
        <v>22075.0</v>
      </c>
      <c r="F149" s="60">
        <v>44620.0</v>
      </c>
      <c r="G149" s="61">
        <v>0.6458333333333334</v>
      </c>
      <c r="H149" s="83" t="s">
        <v>6558</v>
      </c>
      <c r="I149" s="89" t="s">
        <v>6521</v>
      </c>
      <c r="J149" s="65" t="s">
        <v>6489</v>
      </c>
      <c r="K149" s="66"/>
      <c r="L149" s="66" t="s">
        <v>6559</v>
      </c>
      <c r="M149" s="66" t="s">
        <v>6559</v>
      </c>
      <c r="N149" s="66"/>
      <c r="O149" s="127" t="s">
        <v>6594</v>
      </c>
      <c r="P149" s="59" t="e">
        <v>#VALUE!</v>
      </c>
      <c r="Q149" s="67" t="e">
        <v>#VALUE!</v>
      </c>
      <c r="R149" s="68" t="e">
        <v>#VALUE!</v>
      </c>
      <c r="S149" s="62" t="e">
        <v>#VALUE!</v>
      </c>
      <c r="T149" s="62" t="e">
        <v>#VALUE!</v>
      </c>
      <c r="U149" s="63">
        <v>0.0</v>
      </c>
      <c r="V149" s="69" t="s">
        <v>6519</v>
      </c>
      <c r="W149" s="70" t="s">
        <v>6595</v>
      </c>
      <c r="X149" s="64" t="s">
        <v>6595</v>
      </c>
      <c r="Y149" s="64" t="s">
        <v>6596</v>
      </c>
      <c r="Z149" s="66" t="s">
        <v>6597</v>
      </c>
      <c r="AA149" s="71"/>
    </row>
    <row r="150" ht="15.75" customHeight="1">
      <c r="A150" s="56" t="s">
        <v>6747</v>
      </c>
      <c r="B150" s="56" t="s">
        <v>3148</v>
      </c>
      <c r="C150" s="57">
        <v>14612.0</v>
      </c>
      <c r="D150" s="127" t="s">
        <v>6594</v>
      </c>
      <c r="E150" s="59">
        <v>15554.0</v>
      </c>
      <c r="F150" s="60">
        <v>44620.0</v>
      </c>
      <c r="G150" s="61">
        <v>0.4375</v>
      </c>
      <c r="H150" s="83" t="s">
        <v>6558</v>
      </c>
      <c r="I150" s="89" t="s">
        <v>6521</v>
      </c>
      <c r="J150" s="65" t="s">
        <v>6374</v>
      </c>
      <c r="K150" s="66"/>
      <c r="L150" s="66" t="s">
        <v>6559</v>
      </c>
      <c r="M150" s="66" t="s">
        <v>6559</v>
      </c>
      <c r="N150" s="66"/>
      <c r="O150" s="127" t="s">
        <v>6594</v>
      </c>
      <c r="P150" s="59" t="e">
        <v>#VALUE!</v>
      </c>
      <c r="Q150" s="67" t="e">
        <v>#VALUE!</v>
      </c>
      <c r="R150" s="68" t="e">
        <v>#VALUE!</v>
      </c>
      <c r="S150" s="62" t="e">
        <v>#VALUE!</v>
      </c>
      <c r="T150" s="62" t="e">
        <v>#VALUE!</v>
      </c>
      <c r="U150" s="63">
        <v>0.0</v>
      </c>
      <c r="V150" s="69" t="s">
        <v>6519</v>
      </c>
      <c r="W150" s="70" t="s">
        <v>6595</v>
      </c>
      <c r="X150" s="64" t="s">
        <v>6595</v>
      </c>
      <c r="Y150" s="64" t="s">
        <v>6596</v>
      </c>
      <c r="Z150" s="66" t="s">
        <v>6597</v>
      </c>
      <c r="AA150" s="71"/>
    </row>
    <row r="151" ht="15.75" customHeight="1">
      <c r="A151" s="56" t="s">
        <v>6748</v>
      </c>
      <c r="B151" s="56" t="s">
        <v>3268</v>
      </c>
      <c r="C151" s="57">
        <v>14753.0</v>
      </c>
      <c r="D151" s="127" t="s">
        <v>6594</v>
      </c>
      <c r="E151" s="59">
        <v>27070.0</v>
      </c>
      <c r="F151" s="60">
        <v>44620.0</v>
      </c>
      <c r="G151" s="61">
        <v>0.3541666666666667</v>
      </c>
      <c r="H151" s="83" t="s">
        <v>6558</v>
      </c>
      <c r="I151" s="89" t="s">
        <v>6521</v>
      </c>
      <c r="J151" s="65" t="s">
        <v>6489</v>
      </c>
      <c r="K151" s="66"/>
      <c r="L151" s="66" t="s">
        <v>6559</v>
      </c>
      <c r="M151" s="66"/>
      <c r="N151" s="66"/>
      <c r="O151" s="127" t="s">
        <v>6594</v>
      </c>
      <c r="P151" s="59" t="e">
        <v>#VALUE!</v>
      </c>
      <c r="Q151" s="67" t="e">
        <v>#VALUE!</v>
      </c>
      <c r="R151" s="68" t="e">
        <v>#VALUE!</v>
      </c>
      <c r="S151" s="62" t="e">
        <v>#VALUE!</v>
      </c>
      <c r="T151" s="62" t="e">
        <v>#VALUE!</v>
      </c>
      <c r="U151" s="63">
        <v>0.0</v>
      </c>
      <c r="V151" s="69" t="s">
        <v>6523</v>
      </c>
      <c r="W151" s="70" t="s">
        <v>6602</v>
      </c>
      <c r="X151" s="64" t="s">
        <v>6602</v>
      </c>
      <c r="Y151" s="64" t="s">
        <v>6596</v>
      </c>
      <c r="Z151" s="66" t="s">
        <v>6597</v>
      </c>
      <c r="AA151" s="71"/>
    </row>
    <row r="152" ht="15.75" customHeight="1">
      <c r="A152" s="56" t="s">
        <v>6749</v>
      </c>
      <c r="B152" s="56" t="s">
        <v>3398</v>
      </c>
      <c r="C152" s="57">
        <v>14909.0</v>
      </c>
      <c r="D152" s="127" t="s">
        <v>6594</v>
      </c>
      <c r="E152" s="59">
        <v>24721.0</v>
      </c>
      <c r="F152" s="60">
        <v>44620.0</v>
      </c>
      <c r="G152" s="61">
        <v>0.3854166666666667</v>
      </c>
      <c r="H152" s="83" t="s">
        <v>6558</v>
      </c>
      <c r="I152" s="89" t="s">
        <v>6521</v>
      </c>
      <c r="J152" s="65" t="s">
        <v>6426</v>
      </c>
      <c r="K152" s="66"/>
      <c r="L152" s="66" t="s">
        <v>6559</v>
      </c>
      <c r="M152" s="66"/>
      <c r="N152" s="66"/>
      <c r="O152" s="127" t="s">
        <v>6594</v>
      </c>
      <c r="P152" s="59" t="e">
        <v>#VALUE!</v>
      </c>
      <c r="Q152" s="67" t="e">
        <v>#VALUE!</v>
      </c>
      <c r="R152" s="68" t="e">
        <v>#VALUE!</v>
      </c>
      <c r="S152" s="62" t="e">
        <v>#VALUE!</v>
      </c>
      <c r="T152" s="62" t="e">
        <v>#VALUE!</v>
      </c>
      <c r="U152" s="63">
        <v>0.0</v>
      </c>
      <c r="V152" s="69" t="s">
        <v>6523</v>
      </c>
      <c r="W152" s="70" t="s">
        <v>6602</v>
      </c>
      <c r="X152" s="64" t="s">
        <v>6602</v>
      </c>
      <c r="Y152" s="64" t="s">
        <v>6596</v>
      </c>
      <c r="Z152" s="66" t="s">
        <v>6597</v>
      </c>
      <c r="AA152" s="71"/>
    </row>
    <row r="153" ht="15.75" customHeight="1">
      <c r="A153" s="56" t="s">
        <v>6750</v>
      </c>
      <c r="B153" s="56" t="s">
        <v>3617</v>
      </c>
      <c r="C153" s="57">
        <v>15175.0</v>
      </c>
      <c r="D153" s="127" t="s">
        <v>6594</v>
      </c>
      <c r="E153" s="59">
        <v>14364.0</v>
      </c>
      <c r="F153" s="60">
        <v>44620.0</v>
      </c>
      <c r="G153" s="61">
        <v>0.5520833333333334</v>
      </c>
      <c r="H153" s="83" t="s">
        <v>6561</v>
      </c>
      <c r="I153" s="89" t="s">
        <v>6527</v>
      </c>
      <c r="J153" s="65" t="s">
        <v>6427</v>
      </c>
      <c r="K153" s="66"/>
      <c r="L153" s="66" t="s">
        <v>6559</v>
      </c>
      <c r="M153" s="66" t="s">
        <v>6559</v>
      </c>
      <c r="N153" s="66"/>
      <c r="O153" s="127" t="s">
        <v>6594</v>
      </c>
      <c r="P153" s="59" t="e">
        <v>#VALUE!</v>
      </c>
      <c r="Q153" s="67" t="e">
        <v>#VALUE!</v>
      </c>
      <c r="R153" s="68" t="e">
        <v>#VALUE!</v>
      </c>
      <c r="S153" s="62" t="e">
        <v>#VALUE!</v>
      </c>
      <c r="T153" s="62" t="e">
        <v>#VALUE!</v>
      </c>
      <c r="U153" s="63">
        <v>0.0</v>
      </c>
      <c r="V153" s="69" t="s">
        <v>6519</v>
      </c>
      <c r="W153" s="70" t="s">
        <v>6595</v>
      </c>
      <c r="X153" s="64" t="s">
        <v>6595</v>
      </c>
      <c r="Y153" s="64" t="s">
        <v>6596</v>
      </c>
      <c r="Z153" s="66" t="s">
        <v>6597</v>
      </c>
      <c r="AA153" s="71"/>
    </row>
    <row r="154" ht="15.75" customHeight="1">
      <c r="A154" s="56" t="s">
        <v>6751</v>
      </c>
      <c r="B154" s="56" t="s">
        <v>3781</v>
      </c>
      <c r="C154" s="57">
        <v>15375.0</v>
      </c>
      <c r="D154" s="127" t="s">
        <v>6594</v>
      </c>
      <c r="E154" s="59">
        <v>26002.0</v>
      </c>
      <c r="F154" s="60">
        <v>44620.0</v>
      </c>
      <c r="G154" s="61">
        <v>0.4583333333333333</v>
      </c>
      <c r="H154" s="83" t="s">
        <v>6558</v>
      </c>
      <c r="I154" s="89" t="s">
        <v>6521</v>
      </c>
      <c r="J154" s="65" t="s">
        <v>6416</v>
      </c>
      <c r="K154" s="66"/>
      <c r="L154" s="66" t="s">
        <v>6559</v>
      </c>
      <c r="M154" s="66" t="s">
        <v>6559</v>
      </c>
      <c r="N154" s="66"/>
      <c r="O154" s="127" t="s">
        <v>6594</v>
      </c>
      <c r="P154" s="59" t="e">
        <v>#VALUE!</v>
      </c>
      <c r="Q154" s="67" t="e">
        <v>#VALUE!</v>
      </c>
      <c r="R154" s="68" t="e">
        <v>#VALUE!</v>
      </c>
      <c r="S154" s="62" t="e">
        <v>#VALUE!</v>
      </c>
      <c r="T154" s="62" t="e">
        <v>#VALUE!</v>
      </c>
      <c r="U154" s="63">
        <v>0.0</v>
      </c>
      <c r="V154" s="69" t="s">
        <v>6519</v>
      </c>
      <c r="W154" s="70" t="s">
        <v>6595</v>
      </c>
      <c r="X154" s="64" t="s">
        <v>6595</v>
      </c>
      <c r="Y154" s="64" t="s">
        <v>6596</v>
      </c>
      <c r="Z154" s="66" t="s">
        <v>6597</v>
      </c>
      <c r="AA154" s="71"/>
    </row>
    <row r="155" ht="15.75" customHeight="1">
      <c r="A155" s="56" t="s">
        <v>6752</v>
      </c>
      <c r="B155" s="56" t="s">
        <v>3931</v>
      </c>
      <c r="C155" s="57">
        <v>15549.0</v>
      </c>
      <c r="D155" s="127" t="s">
        <v>6594</v>
      </c>
      <c r="E155" s="59">
        <v>27220.0</v>
      </c>
      <c r="F155" s="60">
        <v>44620.0</v>
      </c>
      <c r="G155" s="61">
        <v>0.4375</v>
      </c>
      <c r="H155" s="83" t="s">
        <v>6561</v>
      </c>
      <c r="I155" s="89" t="s">
        <v>6527</v>
      </c>
      <c r="J155" s="65" t="s">
        <v>6409</v>
      </c>
      <c r="K155" s="66"/>
      <c r="L155" s="66" t="s">
        <v>6559</v>
      </c>
      <c r="M155" s="66" t="s">
        <v>6559</v>
      </c>
      <c r="N155" s="66"/>
      <c r="O155" s="127" t="s">
        <v>6594</v>
      </c>
      <c r="P155" s="59" t="e">
        <v>#VALUE!</v>
      </c>
      <c r="Q155" s="67" t="e">
        <v>#VALUE!</v>
      </c>
      <c r="R155" s="68" t="e">
        <v>#VALUE!</v>
      </c>
      <c r="S155" s="62" t="e">
        <v>#VALUE!</v>
      </c>
      <c r="T155" s="62" t="e">
        <v>#VALUE!</v>
      </c>
      <c r="U155" s="63">
        <v>0.0</v>
      </c>
      <c r="V155" s="69" t="s">
        <v>6519</v>
      </c>
      <c r="W155" s="70" t="s">
        <v>6595</v>
      </c>
      <c r="X155" s="64" t="s">
        <v>6595</v>
      </c>
      <c r="Y155" s="64" t="s">
        <v>6596</v>
      </c>
      <c r="Z155" s="66" t="s">
        <v>6597</v>
      </c>
      <c r="AA155" s="71"/>
    </row>
    <row r="156" ht="15.75" customHeight="1">
      <c r="A156" s="56" t="s">
        <v>6753</v>
      </c>
      <c r="B156" s="56" t="s">
        <v>4447</v>
      </c>
      <c r="C156" s="57">
        <v>16128.0</v>
      </c>
      <c r="D156" s="127" t="s">
        <v>6594</v>
      </c>
      <c r="E156" s="59">
        <v>16663.0</v>
      </c>
      <c r="F156" s="60">
        <v>44620.0</v>
      </c>
      <c r="G156" s="61">
        <v>0.625</v>
      </c>
      <c r="H156" s="83" t="s">
        <v>6561</v>
      </c>
      <c r="I156" s="89" t="s">
        <v>6524</v>
      </c>
      <c r="J156" s="65" t="s">
        <v>6477</v>
      </c>
      <c r="K156" s="66"/>
      <c r="L156" s="66" t="s">
        <v>6559</v>
      </c>
      <c r="M156" s="66" t="s">
        <v>6559</v>
      </c>
      <c r="N156" s="66"/>
      <c r="O156" s="127" t="s">
        <v>6594</v>
      </c>
      <c r="P156" s="59" t="e">
        <v>#VALUE!</v>
      </c>
      <c r="Q156" s="67" t="e">
        <v>#VALUE!</v>
      </c>
      <c r="R156" s="68" t="e">
        <v>#VALUE!</v>
      </c>
      <c r="S156" s="62" t="e">
        <v>#VALUE!</v>
      </c>
      <c r="T156" s="62" t="e">
        <v>#VALUE!</v>
      </c>
      <c r="U156" s="63">
        <v>0.0</v>
      </c>
      <c r="V156" s="69" t="s">
        <v>6519</v>
      </c>
      <c r="W156" s="70" t="s">
        <v>6595</v>
      </c>
      <c r="X156" s="64" t="s">
        <v>6595</v>
      </c>
      <c r="Y156" s="64" t="s">
        <v>6596</v>
      </c>
      <c r="Z156" s="66" t="s">
        <v>6597</v>
      </c>
      <c r="AA156" s="71"/>
    </row>
    <row r="157" ht="15.75" customHeight="1">
      <c r="A157" s="56" t="s">
        <v>6754</v>
      </c>
      <c r="B157" s="56" t="s">
        <v>5843</v>
      </c>
      <c r="C157" s="57">
        <v>17657.0</v>
      </c>
      <c r="D157" s="127" t="s">
        <v>6594</v>
      </c>
      <c r="E157" s="59">
        <v>21009.0</v>
      </c>
      <c r="F157" s="60">
        <v>44620.0</v>
      </c>
      <c r="G157" s="61">
        <v>0.4479166666666667</v>
      </c>
      <c r="H157" s="83" t="s">
        <v>6561</v>
      </c>
      <c r="I157" s="89" t="s">
        <v>6527</v>
      </c>
      <c r="J157" s="65" t="s">
        <v>6381</v>
      </c>
      <c r="K157" s="66" t="s">
        <v>6559</v>
      </c>
      <c r="L157" s="66"/>
      <c r="M157" s="66"/>
      <c r="N157" s="66"/>
      <c r="O157" s="127" t="s">
        <v>6594</v>
      </c>
      <c r="P157" s="59" t="e">
        <v>#VALUE!</v>
      </c>
      <c r="Q157" s="67" t="e">
        <v>#VALUE!</v>
      </c>
      <c r="R157" s="68" t="e">
        <v>#VALUE!</v>
      </c>
      <c r="S157" s="62" t="e">
        <v>#VALUE!</v>
      </c>
      <c r="T157" s="62" t="e">
        <v>#VALUE!</v>
      </c>
      <c r="U157" s="63">
        <v>0.0</v>
      </c>
      <c r="V157" s="69" t="s">
        <v>6525</v>
      </c>
      <c r="W157" s="70" t="s">
        <v>6599</v>
      </c>
      <c r="X157" s="64" t="s">
        <v>6599</v>
      </c>
      <c r="Y157" s="64" t="s">
        <v>6596</v>
      </c>
      <c r="Z157" s="66" t="s">
        <v>6597</v>
      </c>
      <c r="AA157" s="71"/>
    </row>
    <row r="158" ht="15.75" customHeight="1">
      <c r="A158" s="56" t="s">
        <v>6755</v>
      </c>
      <c r="B158" s="56" t="s">
        <v>6070</v>
      </c>
      <c r="C158" s="57">
        <v>17887.0</v>
      </c>
      <c r="D158" s="127" t="s">
        <v>6594</v>
      </c>
      <c r="E158" s="59">
        <v>20748.0</v>
      </c>
      <c r="F158" s="60">
        <v>44620.0</v>
      </c>
      <c r="G158" s="61">
        <v>0.34375</v>
      </c>
      <c r="H158" s="83" t="s">
        <v>6561</v>
      </c>
      <c r="I158" s="89" t="s">
        <v>6527</v>
      </c>
      <c r="J158" s="65" t="s">
        <v>6384</v>
      </c>
      <c r="K158" s="66" t="s">
        <v>6559</v>
      </c>
      <c r="L158" s="66"/>
      <c r="M158" s="66"/>
      <c r="N158" s="66"/>
      <c r="O158" s="127" t="s">
        <v>6594</v>
      </c>
      <c r="P158" s="59" t="e">
        <v>#VALUE!</v>
      </c>
      <c r="Q158" s="67" t="e">
        <v>#VALUE!</v>
      </c>
      <c r="R158" s="68" t="e">
        <v>#VALUE!</v>
      </c>
      <c r="S158" s="62" t="e">
        <v>#VALUE!</v>
      </c>
      <c r="T158" s="62" t="e">
        <v>#VALUE!</v>
      </c>
      <c r="U158" s="63">
        <v>0.0</v>
      </c>
      <c r="V158" s="69" t="s">
        <v>6525</v>
      </c>
      <c r="W158" s="70" t="s">
        <v>6599</v>
      </c>
      <c r="X158" s="64" t="s">
        <v>6599</v>
      </c>
      <c r="Y158" s="64" t="s">
        <v>6596</v>
      </c>
      <c r="Z158" s="66" t="s">
        <v>6597</v>
      </c>
      <c r="AA158" s="71"/>
    </row>
    <row r="159" ht="15.75" customHeight="1">
      <c r="A159" s="56" t="s">
        <v>6756</v>
      </c>
      <c r="B159" s="56" t="s">
        <v>6231</v>
      </c>
      <c r="C159" s="57">
        <v>18009.0</v>
      </c>
      <c r="D159" s="127" t="s">
        <v>6594</v>
      </c>
      <c r="E159" s="59">
        <v>21752.0</v>
      </c>
      <c r="F159" s="60">
        <v>44620.0</v>
      </c>
      <c r="G159" s="61">
        <v>0.5625</v>
      </c>
      <c r="H159" s="83" t="s">
        <v>6561</v>
      </c>
      <c r="I159" s="89" t="s">
        <v>6527</v>
      </c>
      <c r="J159" s="65" t="s">
        <v>6393</v>
      </c>
      <c r="K159" s="66" t="s">
        <v>6559</v>
      </c>
      <c r="L159" s="66"/>
      <c r="M159" s="66"/>
      <c r="N159" s="66"/>
      <c r="O159" s="127" t="s">
        <v>6594</v>
      </c>
      <c r="P159" s="59" t="e">
        <v>#VALUE!</v>
      </c>
      <c r="Q159" s="67" t="e">
        <v>#VALUE!</v>
      </c>
      <c r="R159" s="68" t="e">
        <v>#VALUE!</v>
      </c>
      <c r="S159" s="62" t="e">
        <v>#VALUE!</v>
      </c>
      <c r="T159" s="62" t="e">
        <v>#VALUE!</v>
      </c>
      <c r="U159" s="63">
        <v>0.0</v>
      </c>
      <c r="V159" s="69" t="s">
        <v>6525</v>
      </c>
      <c r="W159" s="70" t="s">
        <v>6599</v>
      </c>
      <c r="X159" s="64" t="s">
        <v>6599</v>
      </c>
      <c r="Y159" s="64" t="s">
        <v>6596</v>
      </c>
      <c r="Z159" s="66" t="s">
        <v>6597</v>
      </c>
      <c r="AA159" s="71"/>
    </row>
    <row r="160" ht="15.75" customHeight="1">
      <c r="A160" s="56" t="s">
        <v>6757</v>
      </c>
      <c r="B160" s="56" t="s">
        <v>6269</v>
      </c>
      <c r="C160" s="57">
        <v>18105.0</v>
      </c>
      <c r="D160" s="127" t="s">
        <v>6594</v>
      </c>
      <c r="E160" s="59">
        <v>20582.0</v>
      </c>
      <c r="F160" s="60">
        <v>44620.0</v>
      </c>
      <c r="G160" s="61">
        <v>0.6145833333333334</v>
      </c>
      <c r="H160" s="83" t="s">
        <v>6558</v>
      </c>
      <c r="I160" s="89" t="s">
        <v>6527</v>
      </c>
      <c r="J160" s="65" t="s">
        <v>6372</v>
      </c>
      <c r="K160" s="66" t="s">
        <v>6559</v>
      </c>
      <c r="L160" s="66"/>
      <c r="M160" s="66"/>
      <c r="N160" s="66"/>
      <c r="O160" s="127" t="s">
        <v>6594</v>
      </c>
      <c r="P160" s="59" t="e">
        <v>#VALUE!</v>
      </c>
      <c r="Q160" s="67" t="e">
        <v>#VALUE!</v>
      </c>
      <c r="R160" s="68" t="e">
        <v>#VALUE!</v>
      </c>
      <c r="S160" s="62" t="e">
        <v>#VALUE!</v>
      </c>
      <c r="T160" s="62" t="e">
        <v>#VALUE!</v>
      </c>
      <c r="U160" s="63">
        <v>0.0</v>
      </c>
      <c r="V160" s="69" t="s">
        <v>6525</v>
      </c>
      <c r="W160" s="70" t="s">
        <v>6599</v>
      </c>
      <c r="X160" s="64" t="s">
        <v>6599</v>
      </c>
      <c r="Y160" s="64" t="s">
        <v>6596</v>
      </c>
      <c r="Z160" s="66" t="s">
        <v>6597</v>
      </c>
      <c r="AA160" s="71"/>
    </row>
    <row r="161" ht="15.75" customHeight="1">
      <c r="A161" s="56" t="s">
        <v>6758</v>
      </c>
      <c r="B161" s="56" t="s">
        <v>6272</v>
      </c>
      <c r="C161" s="57">
        <v>18171.0</v>
      </c>
      <c r="D161" s="127" t="s">
        <v>6594</v>
      </c>
      <c r="E161" s="59">
        <v>20639.0</v>
      </c>
      <c r="F161" s="60">
        <v>44620.0</v>
      </c>
      <c r="G161" s="61">
        <v>0.59375</v>
      </c>
      <c r="H161" s="83" t="s">
        <v>6561</v>
      </c>
      <c r="I161" s="89" t="s">
        <v>6527</v>
      </c>
      <c r="J161" s="65" t="s">
        <v>6476</v>
      </c>
      <c r="K161" s="66" t="s">
        <v>6559</v>
      </c>
      <c r="L161" s="66"/>
      <c r="M161" s="66"/>
      <c r="N161" s="66"/>
      <c r="O161" s="127" t="s">
        <v>6594</v>
      </c>
      <c r="P161" s="59" t="e">
        <v>#VALUE!</v>
      </c>
      <c r="Q161" s="67" t="e">
        <v>#VALUE!</v>
      </c>
      <c r="R161" s="68" t="e">
        <v>#VALUE!</v>
      </c>
      <c r="S161" s="62" t="e">
        <v>#VALUE!</v>
      </c>
      <c r="T161" s="62" t="e">
        <v>#VALUE!</v>
      </c>
      <c r="U161" s="63">
        <v>0.0</v>
      </c>
      <c r="V161" s="69" t="s">
        <v>6525</v>
      </c>
      <c r="W161" s="70" t="s">
        <v>6599</v>
      </c>
      <c r="X161" s="64" t="s">
        <v>6599</v>
      </c>
      <c r="Y161" s="64" t="s">
        <v>6596</v>
      </c>
      <c r="Z161" s="66" t="s">
        <v>6597</v>
      </c>
      <c r="AA161" s="71"/>
    </row>
    <row r="162" ht="15.75" customHeight="1">
      <c r="A162" s="56" t="s">
        <v>6759</v>
      </c>
      <c r="B162" s="56" t="s">
        <v>6276</v>
      </c>
      <c r="C162" s="57">
        <v>18199.0</v>
      </c>
      <c r="D162" s="127" t="s">
        <v>6594</v>
      </c>
      <c r="E162" s="59">
        <v>17766.0</v>
      </c>
      <c r="F162" s="60">
        <v>44620.0</v>
      </c>
      <c r="G162" s="61">
        <v>0.3958333333333333</v>
      </c>
      <c r="H162" s="83" t="s">
        <v>6561</v>
      </c>
      <c r="I162" s="89" t="s">
        <v>6527</v>
      </c>
      <c r="J162" s="65" t="s">
        <v>6427</v>
      </c>
      <c r="K162" s="66" t="s">
        <v>6559</v>
      </c>
      <c r="L162" s="66"/>
      <c r="M162" s="66"/>
      <c r="N162" s="66"/>
      <c r="O162" s="127" t="s">
        <v>6594</v>
      </c>
      <c r="P162" s="59" t="e">
        <v>#VALUE!</v>
      </c>
      <c r="Q162" s="67" t="e">
        <v>#VALUE!</v>
      </c>
      <c r="R162" s="68" t="e">
        <v>#VALUE!</v>
      </c>
      <c r="S162" s="62" t="e">
        <v>#VALUE!</v>
      </c>
      <c r="T162" s="62" t="e">
        <v>#VALUE!</v>
      </c>
      <c r="U162" s="63">
        <v>0.0</v>
      </c>
      <c r="V162" s="69" t="s">
        <v>6525</v>
      </c>
      <c r="W162" s="70" t="s">
        <v>6599</v>
      </c>
      <c r="X162" s="64" t="s">
        <v>6599</v>
      </c>
      <c r="Y162" s="64" t="s">
        <v>6596</v>
      </c>
      <c r="Z162" s="66" t="s">
        <v>6597</v>
      </c>
      <c r="AA162" s="71"/>
    </row>
    <row r="163" ht="15.75" customHeight="1">
      <c r="A163" s="56" t="s">
        <v>6760</v>
      </c>
      <c r="B163" s="56" t="s">
        <v>6275</v>
      </c>
      <c r="C163" s="57">
        <v>18201.0</v>
      </c>
      <c r="D163" s="127" t="s">
        <v>6594</v>
      </c>
      <c r="E163" s="59">
        <v>17292.0</v>
      </c>
      <c r="F163" s="60">
        <v>44620.0</v>
      </c>
      <c r="G163" s="61">
        <v>0.3645833333333333</v>
      </c>
      <c r="H163" s="83" t="s">
        <v>6561</v>
      </c>
      <c r="I163" s="89" t="s">
        <v>6527</v>
      </c>
      <c r="J163" s="65" t="s">
        <v>6427</v>
      </c>
      <c r="K163" s="66" t="s">
        <v>6559</v>
      </c>
      <c r="L163" s="66"/>
      <c r="M163" s="66"/>
      <c r="N163" s="66"/>
      <c r="O163" s="127" t="s">
        <v>6594</v>
      </c>
      <c r="P163" s="59" t="e">
        <v>#VALUE!</v>
      </c>
      <c r="Q163" s="67" t="e">
        <v>#VALUE!</v>
      </c>
      <c r="R163" s="68" t="e">
        <v>#VALUE!</v>
      </c>
      <c r="S163" s="62" t="e">
        <v>#VALUE!</v>
      </c>
      <c r="T163" s="62" t="e">
        <v>#VALUE!</v>
      </c>
      <c r="U163" s="63">
        <v>0.0</v>
      </c>
      <c r="V163" s="69" t="s">
        <v>6525</v>
      </c>
      <c r="W163" s="70" t="s">
        <v>6599</v>
      </c>
      <c r="X163" s="64" t="s">
        <v>6599</v>
      </c>
      <c r="Y163" s="64" t="s">
        <v>6596</v>
      </c>
      <c r="Z163" s="66" t="s">
        <v>6597</v>
      </c>
      <c r="AA163" s="71"/>
    </row>
    <row r="164" ht="15.75" customHeight="1">
      <c r="A164" s="56" t="s">
        <v>6761</v>
      </c>
      <c r="B164" s="56" t="s">
        <v>6266</v>
      </c>
      <c r="C164" s="57">
        <v>18202.0</v>
      </c>
      <c r="D164" s="127" t="s">
        <v>6594</v>
      </c>
      <c r="E164" s="59">
        <v>23015.0</v>
      </c>
      <c r="F164" s="60">
        <v>44620.0</v>
      </c>
      <c r="G164" s="61">
        <v>0.59375</v>
      </c>
      <c r="H164" s="83" t="s">
        <v>6561</v>
      </c>
      <c r="I164" s="89" t="s">
        <v>6527</v>
      </c>
      <c r="J164" s="65" t="s">
        <v>6420</v>
      </c>
      <c r="K164" s="66" t="s">
        <v>6559</v>
      </c>
      <c r="L164" s="66"/>
      <c r="M164" s="66"/>
      <c r="N164" s="66"/>
      <c r="O164" s="127" t="s">
        <v>6594</v>
      </c>
      <c r="P164" s="59" t="e">
        <v>#VALUE!</v>
      </c>
      <c r="Q164" s="67" t="e">
        <v>#VALUE!</v>
      </c>
      <c r="R164" s="68" t="e">
        <v>#VALUE!</v>
      </c>
      <c r="S164" s="62" t="e">
        <v>#VALUE!</v>
      </c>
      <c r="T164" s="62" t="e">
        <v>#VALUE!</v>
      </c>
      <c r="U164" s="63">
        <v>0.0</v>
      </c>
      <c r="V164" s="69" t="s">
        <v>6525</v>
      </c>
      <c r="W164" s="70" t="s">
        <v>6599</v>
      </c>
      <c r="X164" s="64" t="s">
        <v>6599</v>
      </c>
      <c r="Y164" s="64" t="s">
        <v>6596</v>
      </c>
      <c r="Z164" s="66" t="s">
        <v>6597</v>
      </c>
      <c r="AA164" s="71"/>
    </row>
    <row r="165" ht="15.75" customHeight="1">
      <c r="A165" s="56" t="s">
        <v>6762</v>
      </c>
      <c r="B165" s="56" t="s">
        <v>6263</v>
      </c>
      <c r="C165" s="57">
        <v>18205.0</v>
      </c>
      <c r="D165" s="127" t="s">
        <v>6594</v>
      </c>
      <c r="E165" s="59">
        <v>34355.0</v>
      </c>
      <c r="F165" s="60">
        <v>44620.0</v>
      </c>
      <c r="G165" s="61">
        <v>0.4479166666666667</v>
      </c>
      <c r="H165" s="83" t="s">
        <v>6561</v>
      </c>
      <c r="I165" s="89" t="s">
        <v>6527</v>
      </c>
      <c r="J165" s="65" t="s">
        <v>6416</v>
      </c>
      <c r="K165" s="66" t="s">
        <v>6559</v>
      </c>
      <c r="L165" s="66"/>
      <c r="M165" s="66"/>
      <c r="N165" s="66"/>
      <c r="O165" s="127" t="s">
        <v>6594</v>
      </c>
      <c r="P165" s="59" t="e">
        <v>#VALUE!</v>
      </c>
      <c r="Q165" s="67" t="e">
        <v>#VALUE!</v>
      </c>
      <c r="R165" s="68" t="e">
        <v>#VALUE!</v>
      </c>
      <c r="S165" s="62" t="e">
        <v>#VALUE!</v>
      </c>
      <c r="T165" s="62" t="e">
        <v>#VALUE!</v>
      </c>
      <c r="U165" s="63">
        <v>0.0</v>
      </c>
      <c r="V165" s="69" t="s">
        <v>6525</v>
      </c>
      <c r="W165" s="70" t="s">
        <v>6599</v>
      </c>
      <c r="X165" s="64" t="s">
        <v>6599</v>
      </c>
      <c r="Y165" s="64" t="s">
        <v>6596</v>
      </c>
      <c r="Z165" s="66" t="s">
        <v>6597</v>
      </c>
      <c r="AA165" s="71"/>
    </row>
    <row r="166" ht="15.75" customHeight="1">
      <c r="A166" s="56" t="s">
        <v>6763</v>
      </c>
      <c r="B166" s="56" t="s">
        <v>6262</v>
      </c>
      <c r="C166" s="57">
        <v>18246.0</v>
      </c>
      <c r="D166" s="127" t="s">
        <v>6594</v>
      </c>
      <c r="E166" s="59">
        <v>31137.0</v>
      </c>
      <c r="F166" s="60">
        <v>44620.0</v>
      </c>
      <c r="G166" s="61">
        <v>0.4166666666666667</v>
      </c>
      <c r="H166" s="83" t="s">
        <v>6561</v>
      </c>
      <c r="I166" s="89" t="s">
        <v>6527</v>
      </c>
      <c r="J166" s="65" t="s">
        <v>6410</v>
      </c>
      <c r="K166" s="66" t="s">
        <v>6559</v>
      </c>
      <c r="L166" s="66"/>
      <c r="M166" s="66"/>
      <c r="N166" s="66"/>
      <c r="O166" s="127" t="s">
        <v>6594</v>
      </c>
      <c r="P166" s="59" t="e">
        <v>#VALUE!</v>
      </c>
      <c r="Q166" s="67" t="e">
        <v>#VALUE!</v>
      </c>
      <c r="R166" s="68" t="e">
        <v>#VALUE!</v>
      </c>
      <c r="S166" s="62" t="e">
        <v>#VALUE!</v>
      </c>
      <c r="T166" s="62" t="e">
        <v>#VALUE!</v>
      </c>
      <c r="U166" s="63">
        <v>0.0</v>
      </c>
      <c r="V166" s="69" t="s">
        <v>6525</v>
      </c>
      <c r="W166" s="70" t="s">
        <v>6599</v>
      </c>
      <c r="X166" s="64" t="s">
        <v>6599</v>
      </c>
      <c r="Y166" s="64" t="s">
        <v>6596</v>
      </c>
      <c r="Z166" s="66" t="s">
        <v>6597</v>
      </c>
      <c r="AA166" s="71"/>
    </row>
    <row r="167" ht="15.75" hidden="1" customHeight="1">
      <c r="A167" s="56" t="s">
        <v>6764</v>
      </c>
      <c r="B167" s="56" t="s">
        <v>6764</v>
      </c>
      <c r="C167" s="57"/>
      <c r="D167" s="127" t="s">
        <v>6559</v>
      </c>
      <c r="E167" s="59" t="s">
        <v>6764</v>
      </c>
      <c r="F167" s="60"/>
      <c r="G167" s="61" t="s">
        <v>6764</v>
      </c>
      <c r="H167" s="83"/>
      <c r="I167" s="89" t="e">
        <v>#N/A</v>
      </c>
      <c r="J167" s="65" t="e">
        <v>#N/A</v>
      </c>
      <c r="K167" s="66"/>
      <c r="L167" s="66"/>
      <c r="M167" s="66"/>
      <c r="N167" s="66"/>
      <c r="O167" s="127" t="s">
        <v>6559</v>
      </c>
      <c r="P167" s="59" t="e">
        <v>#N/A</v>
      </c>
      <c r="Q167" s="67" t="e">
        <v>#N/A</v>
      </c>
      <c r="R167" s="68" t="e">
        <v>#N/A</v>
      </c>
      <c r="S167" s="62" t="e">
        <v>#N/A</v>
      </c>
      <c r="T167" s="62" t="e">
        <v>#N/A</v>
      </c>
      <c r="U167" s="63">
        <v>0.0</v>
      </c>
      <c r="V167" s="69" t="e">
        <v>#N/A</v>
      </c>
      <c r="W167" s="70" t="e">
        <v>#N/A</v>
      </c>
      <c r="X167" s="64" t="s">
        <v>6764</v>
      </c>
      <c r="Y167" s="64" t="s">
        <v>6764</v>
      </c>
      <c r="Z167" s="66" t="s">
        <v>6597</v>
      </c>
      <c r="AA167" s="71"/>
    </row>
    <row r="168" ht="15.75" hidden="1" customHeight="1">
      <c r="A168" s="56" t="s">
        <v>6764</v>
      </c>
      <c r="B168" s="56" t="s">
        <v>6764</v>
      </c>
      <c r="C168" s="57"/>
      <c r="D168" s="127" t="s">
        <v>6559</v>
      </c>
      <c r="E168" s="59" t="s">
        <v>6764</v>
      </c>
      <c r="F168" s="60"/>
      <c r="G168" s="61" t="s">
        <v>6764</v>
      </c>
      <c r="H168" s="83"/>
      <c r="I168" s="89" t="e">
        <v>#N/A</v>
      </c>
      <c r="J168" s="65" t="e">
        <v>#N/A</v>
      </c>
      <c r="K168" s="66"/>
      <c r="L168" s="66"/>
      <c r="M168" s="66"/>
      <c r="N168" s="66"/>
      <c r="O168" s="127" t="s">
        <v>6559</v>
      </c>
      <c r="P168" s="59" t="e">
        <v>#N/A</v>
      </c>
      <c r="Q168" s="67" t="e">
        <v>#N/A</v>
      </c>
      <c r="R168" s="68" t="e">
        <v>#N/A</v>
      </c>
      <c r="S168" s="62" t="e">
        <v>#N/A</v>
      </c>
      <c r="T168" s="62" t="e">
        <v>#N/A</v>
      </c>
      <c r="U168" s="63">
        <v>0.0</v>
      </c>
      <c r="V168" s="69" t="e">
        <v>#N/A</v>
      </c>
      <c r="W168" s="70" t="e">
        <v>#N/A</v>
      </c>
      <c r="X168" s="64" t="s">
        <v>6764</v>
      </c>
      <c r="Y168" s="64" t="s">
        <v>6764</v>
      </c>
      <c r="Z168" s="66" t="s">
        <v>6597</v>
      </c>
      <c r="AA168" s="71"/>
    </row>
    <row r="169" ht="15.75" hidden="1" customHeight="1">
      <c r="A169" s="56" t="s">
        <v>6764</v>
      </c>
      <c r="B169" s="56" t="s">
        <v>6764</v>
      </c>
      <c r="C169" s="57"/>
      <c r="D169" s="127" t="s">
        <v>6559</v>
      </c>
      <c r="E169" s="59" t="s">
        <v>6764</v>
      </c>
      <c r="F169" s="60"/>
      <c r="G169" s="61" t="s">
        <v>6764</v>
      </c>
      <c r="H169" s="83"/>
      <c r="I169" s="89" t="e">
        <v>#N/A</v>
      </c>
      <c r="J169" s="65" t="e">
        <v>#N/A</v>
      </c>
      <c r="K169" s="66"/>
      <c r="L169" s="66"/>
      <c r="M169" s="66"/>
      <c r="N169" s="66"/>
      <c r="O169" s="127" t="s">
        <v>6559</v>
      </c>
      <c r="P169" s="59" t="e">
        <v>#N/A</v>
      </c>
      <c r="Q169" s="67" t="e">
        <v>#N/A</v>
      </c>
      <c r="R169" s="68" t="e">
        <v>#N/A</v>
      </c>
      <c r="S169" s="62" t="e">
        <v>#N/A</v>
      </c>
      <c r="T169" s="62" t="e">
        <v>#N/A</v>
      </c>
      <c r="U169" s="63">
        <v>0.0</v>
      </c>
      <c r="V169" s="69" t="e">
        <v>#N/A</v>
      </c>
      <c r="W169" s="70" t="e">
        <v>#N/A</v>
      </c>
      <c r="X169" s="64" t="s">
        <v>6764</v>
      </c>
      <c r="Y169" s="64" t="s">
        <v>6764</v>
      </c>
      <c r="Z169" s="66" t="s">
        <v>6597</v>
      </c>
      <c r="AA169" s="71"/>
    </row>
    <row r="170" ht="15.75" hidden="1" customHeight="1">
      <c r="A170" s="56" t="s">
        <v>6764</v>
      </c>
      <c r="B170" s="56" t="s">
        <v>6764</v>
      </c>
      <c r="C170" s="57"/>
      <c r="D170" s="127" t="s">
        <v>6559</v>
      </c>
      <c r="E170" s="59" t="s">
        <v>6764</v>
      </c>
      <c r="F170" s="60"/>
      <c r="G170" s="61" t="s">
        <v>6764</v>
      </c>
      <c r="H170" s="83"/>
      <c r="I170" s="89" t="e">
        <v>#N/A</v>
      </c>
      <c r="J170" s="65" t="e">
        <v>#N/A</v>
      </c>
      <c r="K170" s="66"/>
      <c r="L170" s="66"/>
      <c r="M170" s="66"/>
      <c r="N170" s="66"/>
      <c r="O170" s="127" t="s">
        <v>6559</v>
      </c>
      <c r="P170" s="59" t="e">
        <v>#N/A</v>
      </c>
      <c r="Q170" s="67" t="e">
        <v>#N/A</v>
      </c>
      <c r="R170" s="68" t="e">
        <v>#N/A</v>
      </c>
      <c r="S170" s="62" t="e">
        <v>#N/A</v>
      </c>
      <c r="T170" s="62" t="e">
        <v>#N/A</v>
      </c>
      <c r="U170" s="63">
        <v>0.0</v>
      </c>
      <c r="V170" s="69" t="e">
        <v>#N/A</v>
      </c>
      <c r="W170" s="70" t="e">
        <v>#N/A</v>
      </c>
      <c r="X170" s="64" t="s">
        <v>6764</v>
      </c>
      <c r="Y170" s="64" t="s">
        <v>6764</v>
      </c>
      <c r="Z170" s="66" t="s">
        <v>6597</v>
      </c>
      <c r="AA170" s="71"/>
    </row>
    <row r="171" ht="15.75" hidden="1" customHeight="1">
      <c r="A171" s="56" t="s">
        <v>6764</v>
      </c>
      <c r="B171" s="56" t="s">
        <v>6764</v>
      </c>
      <c r="C171" s="57"/>
      <c r="D171" s="127" t="s">
        <v>6559</v>
      </c>
      <c r="E171" s="59" t="s">
        <v>6764</v>
      </c>
      <c r="F171" s="60"/>
      <c r="G171" s="61" t="s">
        <v>6764</v>
      </c>
      <c r="H171" s="83"/>
      <c r="I171" s="89" t="e">
        <v>#N/A</v>
      </c>
      <c r="J171" s="65" t="e">
        <v>#N/A</v>
      </c>
      <c r="K171" s="66"/>
      <c r="L171" s="66"/>
      <c r="M171" s="66"/>
      <c r="N171" s="66"/>
      <c r="O171" s="127" t="s">
        <v>6559</v>
      </c>
      <c r="P171" s="59" t="e">
        <v>#N/A</v>
      </c>
      <c r="Q171" s="67" t="e">
        <v>#N/A</v>
      </c>
      <c r="R171" s="68" t="e">
        <v>#N/A</v>
      </c>
      <c r="S171" s="62" t="e">
        <v>#N/A</v>
      </c>
      <c r="T171" s="62" t="e">
        <v>#N/A</v>
      </c>
      <c r="U171" s="63">
        <v>0.0</v>
      </c>
      <c r="V171" s="69" t="e">
        <v>#N/A</v>
      </c>
      <c r="W171" s="70" t="e">
        <v>#N/A</v>
      </c>
      <c r="X171" s="64" t="s">
        <v>6764</v>
      </c>
      <c r="Y171" s="64" t="s">
        <v>6764</v>
      </c>
      <c r="Z171" s="66" t="s">
        <v>6597</v>
      </c>
      <c r="AA171" s="71"/>
    </row>
    <row r="172" ht="15.75" hidden="1" customHeight="1">
      <c r="A172" s="56" t="s">
        <v>6764</v>
      </c>
      <c r="B172" s="56" t="s">
        <v>6764</v>
      </c>
      <c r="C172" s="57"/>
      <c r="D172" s="127" t="s">
        <v>6559</v>
      </c>
      <c r="E172" s="59" t="s">
        <v>6764</v>
      </c>
      <c r="F172" s="60"/>
      <c r="G172" s="61" t="s">
        <v>6764</v>
      </c>
      <c r="H172" s="83"/>
      <c r="I172" s="89" t="e">
        <v>#N/A</v>
      </c>
      <c r="J172" s="65" t="e">
        <v>#N/A</v>
      </c>
      <c r="K172" s="66"/>
      <c r="L172" s="66"/>
      <c r="M172" s="66"/>
      <c r="N172" s="66"/>
      <c r="O172" s="127" t="s">
        <v>6559</v>
      </c>
      <c r="P172" s="59" t="e">
        <v>#N/A</v>
      </c>
      <c r="Q172" s="67" t="e">
        <v>#N/A</v>
      </c>
      <c r="R172" s="68" t="e">
        <v>#N/A</v>
      </c>
      <c r="S172" s="62" t="e">
        <v>#N/A</v>
      </c>
      <c r="T172" s="62" t="e">
        <v>#N/A</v>
      </c>
      <c r="U172" s="63">
        <v>0.0</v>
      </c>
      <c r="V172" s="69" t="e">
        <v>#N/A</v>
      </c>
      <c r="W172" s="70" t="e">
        <v>#N/A</v>
      </c>
      <c r="X172" s="64" t="s">
        <v>6764</v>
      </c>
      <c r="Y172" s="64" t="s">
        <v>6764</v>
      </c>
      <c r="Z172" s="66" t="s">
        <v>6597</v>
      </c>
      <c r="AA172" s="71"/>
    </row>
    <row r="173" ht="15.75" hidden="1" customHeight="1">
      <c r="A173" s="56" t="s">
        <v>6764</v>
      </c>
      <c r="B173" s="56" t="s">
        <v>6764</v>
      </c>
      <c r="C173" s="57"/>
      <c r="D173" s="127" t="s">
        <v>6559</v>
      </c>
      <c r="E173" s="59" t="s">
        <v>6764</v>
      </c>
      <c r="F173" s="60"/>
      <c r="G173" s="61" t="s">
        <v>6764</v>
      </c>
      <c r="H173" s="83"/>
      <c r="I173" s="89" t="e">
        <v>#N/A</v>
      </c>
      <c r="J173" s="65" t="e">
        <v>#N/A</v>
      </c>
      <c r="K173" s="66"/>
      <c r="L173" s="66"/>
      <c r="M173" s="66"/>
      <c r="N173" s="66"/>
      <c r="O173" s="127" t="s">
        <v>6559</v>
      </c>
      <c r="P173" s="59" t="e">
        <v>#N/A</v>
      </c>
      <c r="Q173" s="67" t="e">
        <v>#N/A</v>
      </c>
      <c r="R173" s="68" t="e">
        <v>#N/A</v>
      </c>
      <c r="S173" s="62" t="e">
        <v>#N/A</v>
      </c>
      <c r="T173" s="62" t="e">
        <v>#N/A</v>
      </c>
      <c r="U173" s="63">
        <v>0.0</v>
      </c>
      <c r="V173" s="69" t="e">
        <v>#N/A</v>
      </c>
      <c r="W173" s="70" t="e">
        <v>#N/A</v>
      </c>
      <c r="X173" s="64" t="s">
        <v>6764</v>
      </c>
      <c r="Y173" s="64" t="s">
        <v>6764</v>
      </c>
      <c r="Z173" s="66" t="s">
        <v>6597</v>
      </c>
      <c r="AA173" s="71"/>
    </row>
    <row r="174" ht="15.75" hidden="1" customHeight="1">
      <c r="A174" s="56" t="s">
        <v>6764</v>
      </c>
      <c r="B174" s="56" t="s">
        <v>6764</v>
      </c>
      <c r="C174" s="57"/>
      <c r="D174" s="127" t="s">
        <v>6559</v>
      </c>
      <c r="E174" s="59" t="s">
        <v>6764</v>
      </c>
      <c r="F174" s="60"/>
      <c r="G174" s="61" t="s">
        <v>6764</v>
      </c>
      <c r="H174" s="83"/>
      <c r="I174" s="89" t="e">
        <v>#N/A</v>
      </c>
      <c r="J174" s="65" t="e">
        <v>#N/A</v>
      </c>
      <c r="K174" s="66"/>
      <c r="L174" s="66"/>
      <c r="M174" s="66"/>
      <c r="N174" s="66"/>
      <c r="O174" s="127" t="s">
        <v>6559</v>
      </c>
      <c r="P174" s="59" t="e">
        <v>#N/A</v>
      </c>
      <c r="Q174" s="67" t="e">
        <v>#N/A</v>
      </c>
      <c r="R174" s="68" t="e">
        <v>#N/A</v>
      </c>
      <c r="S174" s="62" t="e">
        <v>#N/A</v>
      </c>
      <c r="T174" s="62" t="e">
        <v>#N/A</v>
      </c>
      <c r="U174" s="63">
        <v>0.0</v>
      </c>
      <c r="V174" s="69" t="e">
        <v>#N/A</v>
      </c>
      <c r="W174" s="70" t="e">
        <v>#N/A</v>
      </c>
      <c r="X174" s="64" t="s">
        <v>6764</v>
      </c>
      <c r="Y174" s="64" t="s">
        <v>6764</v>
      </c>
      <c r="Z174" s="66" t="s">
        <v>6597</v>
      </c>
      <c r="AA174" s="71"/>
    </row>
    <row r="175" ht="15.75" hidden="1" customHeight="1">
      <c r="A175" s="56" t="s">
        <v>6764</v>
      </c>
      <c r="B175" s="56" t="s">
        <v>6764</v>
      </c>
      <c r="C175" s="57"/>
      <c r="D175" s="127" t="s">
        <v>6559</v>
      </c>
      <c r="E175" s="59" t="s">
        <v>6764</v>
      </c>
      <c r="F175" s="60"/>
      <c r="G175" s="61" t="s">
        <v>6764</v>
      </c>
      <c r="H175" s="83"/>
      <c r="I175" s="89" t="e">
        <v>#N/A</v>
      </c>
      <c r="J175" s="65" t="e">
        <v>#N/A</v>
      </c>
      <c r="K175" s="66"/>
      <c r="L175" s="66"/>
      <c r="M175" s="66"/>
      <c r="N175" s="66"/>
      <c r="O175" s="127" t="s">
        <v>6559</v>
      </c>
      <c r="P175" s="59" t="e">
        <v>#N/A</v>
      </c>
      <c r="Q175" s="67" t="e">
        <v>#N/A</v>
      </c>
      <c r="R175" s="68" t="e">
        <v>#N/A</v>
      </c>
      <c r="S175" s="62" t="e">
        <v>#N/A</v>
      </c>
      <c r="T175" s="62" t="e">
        <v>#N/A</v>
      </c>
      <c r="U175" s="63">
        <v>0.0</v>
      </c>
      <c r="V175" s="69" t="e">
        <v>#N/A</v>
      </c>
      <c r="W175" s="70" t="e">
        <v>#N/A</v>
      </c>
      <c r="X175" s="64" t="s">
        <v>6764</v>
      </c>
      <c r="Y175" s="64" t="s">
        <v>6764</v>
      </c>
      <c r="Z175" s="66" t="s">
        <v>6597</v>
      </c>
      <c r="AA175" s="71"/>
    </row>
    <row r="176" ht="15.75" hidden="1" customHeight="1">
      <c r="A176" s="56" t="s">
        <v>6764</v>
      </c>
      <c r="B176" s="56" t="s">
        <v>6764</v>
      </c>
      <c r="C176" s="57"/>
      <c r="D176" s="127" t="s">
        <v>6559</v>
      </c>
      <c r="E176" s="59" t="s">
        <v>6764</v>
      </c>
      <c r="F176" s="60"/>
      <c r="G176" s="61" t="s">
        <v>6764</v>
      </c>
      <c r="H176" s="83"/>
      <c r="I176" s="89" t="e">
        <v>#N/A</v>
      </c>
      <c r="J176" s="65" t="e">
        <v>#N/A</v>
      </c>
      <c r="K176" s="66"/>
      <c r="L176" s="66"/>
      <c r="M176" s="66"/>
      <c r="N176" s="66"/>
      <c r="O176" s="127" t="s">
        <v>6559</v>
      </c>
      <c r="P176" s="59" t="e">
        <v>#N/A</v>
      </c>
      <c r="Q176" s="67" t="e">
        <v>#N/A</v>
      </c>
      <c r="R176" s="68" t="e">
        <v>#N/A</v>
      </c>
      <c r="S176" s="62" t="e">
        <v>#N/A</v>
      </c>
      <c r="T176" s="62" t="e">
        <v>#N/A</v>
      </c>
      <c r="U176" s="63">
        <v>0.0</v>
      </c>
      <c r="V176" s="69" t="e">
        <v>#N/A</v>
      </c>
      <c r="W176" s="70" t="e">
        <v>#N/A</v>
      </c>
      <c r="X176" s="64" t="s">
        <v>6764</v>
      </c>
      <c r="Y176" s="64" t="s">
        <v>6764</v>
      </c>
      <c r="Z176" s="66" t="s">
        <v>6597</v>
      </c>
      <c r="AA176" s="71"/>
    </row>
    <row r="177" ht="15.75" hidden="1" customHeight="1">
      <c r="A177" s="56" t="s">
        <v>6764</v>
      </c>
      <c r="B177" s="56" t="s">
        <v>6764</v>
      </c>
      <c r="C177" s="57"/>
      <c r="D177" s="127" t="s">
        <v>6559</v>
      </c>
      <c r="E177" s="59" t="s">
        <v>6764</v>
      </c>
      <c r="F177" s="60"/>
      <c r="G177" s="61" t="s">
        <v>6764</v>
      </c>
      <c r="H177" s="83"/>
      <c r="I177" s="89" t="e">
        <v>#N/A</v>
      </c>
      <c r="J177" s="65" t="e">
        <v>#N/A</v>
      </c>
      <c r="K177" s="66"/>
      <c r="L177" s="66"/>
      <c r="M177" s="66"/>
      <c r="N177" s="66"/>
      <c r="O177" s="127" t="s">
        <v>6559</v>
      </c>
      <c r="P177" s="59" t="e">
        <v>#N/A</v>
      </c>
      <c r="Q177" s="67" t="e">
        <v>#N/A</v>
      </c>
      <c r="R177" s="68" t="e">
        <v>#N/A</v>
      </c>
      <c r="S177" s="62" t="e">
        <v>#N/A</v>
      </c>
      <c r="T177" s="62" t="e">
        <v>#N/A</v>
      </c>
      <c r="U177" s="63">
        <v>0.0</v>
      </c>
      <c r="V177" s="69" t="e">
        <v>#N/A</v>
      </c>
      <c r="W177" s="70" t="e">
        <v>#N/A</v>
      </c>
      <c r="X177" s="64" t="s">
        <v>6764</v>
      </c>
      <c r="Y177" s="64" t="s">
        <v>6764</v>
      </c>
      <c r="Z177" s="66" t="s">
        <v>6597</v>
      </c>
      <c r="AA177" s="71"/>
    </row>
    <row r="178" ht="15.75" hidden="1" customHeight="1">
      <c r="A178" s="56" t="s">
        <v>6764</v>
      </c>
      <c r="B178" s="56" t="s">
        <v>6764</v>
      </c>
      <c r="C178" s="57"/>
      <c r="D178" s="127" t="s">
        <v>6559</v>
      </c>
      <c r="E178" s="59" t="s">
        <v>6764</v>
      </c>
      <c r="F178" s="60"/>
      <c r="G178" s="61" t="s">
        <v>6764</v>
      </c>
      <c r="H178" s="83"/>
      <c r="I178" s="89" t="e">
        <v>#N/A</v>
      </c>
      <c r="J178" s="65" t="e">
        <v>#N/A</v>
      </c>
      <c r="K178" s="66"/>
      <c r="L178" s="66"/>
      <c r="M178" s="66"/>
      <c r="N178" s="66"/>
      <c r="O178" s="127" t="s">
        <v>6559</v>
      </c>
      <c r="P178" s="59" t="e">
        <v>#N/A</v>
      </c>
      <c r="Q178" s="67" t="e">
        <v>#N/A</v>
      </c>
      <c r="R178" s="68" t="e">
        <v>#N/A</v>
      </c>
      <c r="S178" s="62" t="e">
        <v>#N/A</v>
      </c>
      <c r="T178" s="62" t="e">
        <v>#N/A</v>
      </c>
      <c r="U178" s="63">
        <v>0.0</v>
      </c>
      <c r="V178" s="69" t="e">
        <v>#N/A</v>
      </c>
      <c r="W178" s="70" t="e">
        <v>#N/A</v>
      </c>
      <c r="X178" s="64" t="s">
        <v>6764</v>
      </c>
      <c r="Y178" s="64" t="s">
        <v>6764</v>
      </c>
      <c r="Z178" s="66" t="s">
        <v>6597</v>
      </c>
      <c r="AA178" s="71"/>
    </row>
    <row r="179" ht="15.75" hidden="1" customHeight="1">
      <c r="A179" s="56" t="s">
        <v>6764</v>
      </c>
      <c r="B179" s="56" t="s">
        <v>6764</v>
      </c>
      <c r="C179" s="57"/>
      <c r="D179" s="127" t="s">
        <v>6559</v>
      </c>
      <c r="E179" s="59" t="s">
        <v>6764</v>
      </c>
      <c r="F179" s="60"/>
      <c r="G179" s="61" t="s">
        <v>6764</v>
      </c>
      <c r="H179" s="83"/>
      <c r="I179" s="89" t="e">
        <v>#N/A</v>
      </c>
      <c r="J179" s="65" t="e">
        <v>#N/A</v>
      </c>
      <c r="K179" s="66"/>
      <c r="L179" s="66"/>
      <c r="M179" s="66"/>
      <c r="N179" s="66"/>
      <c r="O179" s="127" t="s">
        <v>6559</v>
      </c>
      <c r="P179" s="59" t="e">
        <v>#N/A</v>
      </c>
      <c r="Q179" s="67" t="e">
        <v>#N/A</v>
      </c>
      <c r="R179" s="68" t="e">
        <v>#N/A</v>
      </c>
      <c r="S179" s="62" t="e">
        <v>#N/A</v>
      </c>
      <c r="T179" s="62" t="e">
        <v>#N/A</v>
      </c>
      <c r="U179" s="63">
        <v>0.0</v>
      </c>
      <c r="V179" s="69" t="e">
        <v>#N/A</v>
      </c>
      <c r="W179" s="70" t="e">
        <v>#N/A</v>
      </c>
      <c r="X179" s="64" t="s">
        <v>6764</v>
      </c>
      <c r="Y179" s="64" t="s">
        <v>6764</v>
      </c>
      <c r="Z179" s="66" t="s">
        <v>6597</v>
      </c>
      <c r="AA179" s="71"/>
    </row>
    <row r="180" ht="15.75" hidden="1" customHeight="1">
      <c r="A180" s="56" t="s">
        <v>6764</v>
      </c>
      <c r="B180" s="56" t="s">
        <v>6764</v>
      </c>
      <c r="C180" s="57"/>
      <c r="D180" s="127" t="s">
        <v>6559</v>
      </c>
      <c r="E180" s="59" t="s">
        <v>6764</v>
      </c>
      <c r="F180" s="60"/>
      <c r="G180" s="61" t="s">
        <v>6764</v>
      </c>
      <c r="H180" s="83"/>
      <c r="I180" s="89" t="e">
        <v>#N/A</v>
      </c>
      <c r="J180" s="65" t="e">
        <v>#N/A</v>
      </c>
      <c r="K180" s="66"/>
      <c r="L180" s="66"/>
      <c r="M180" s="66"/>
      <c r="N180" s="66"/>
      <c r="O180" s="127" t="s">
        <v>6559</v>
      </c>
      <c r="P180" s="59" t="e">
        <v>#N/A</v>
      </c>
      <c r="Q180" s="67" t="e">
        <v>#N/A</v>
      </c>
      <c r="R180" s="68" t="e">
        <v>#N/A</v>
      </c>
      <c r="S180" s="62" t="e">
        <v>#N/A</v>
      </c>
      <c r="T180" s="62" t="e">
        <v>#N/A</v>
      </c>
      <c r="U180" s="63">
        <v>0.0</v>
      </c>
      <c r="V180" s="69" t="e">
        <v>#N/A</v>
      </c>
      <c r="W180" s="70" t="e">
        <v>#N/A</v>
      </c>
      <c r="X180" s="64" t="s">
        <v>6764</v>
      </c>
      <c r="Y180" s="64" t="s">
        <v>6764</v>
      </c>
      <c r="Z180" s="66" t="s">
        <v>6597</v>
      </c>
      <c r="AA180" s="71"/>
    </row>
    <row r="181" ht="15.75" hidden="1" customHeight="1">
      <c r="A181" s="56" t="s">
        <v>6764</v>
      </c>
      <c r="B181" s="56" t="s">
        <v>6764</v>
      </c>
      <c r="C181" s="57"/>
      <c r="D181" s="127" t="s">
        <v>6559</v>
      </c>
      <c r="E181" s="59" t="s">
        <v>6764</v>
      </c>
      <c r="F181" s="60"/>
      <c r="G181" s="61" t="s">
        <v>6764</v>
      </c>
      <c r="H181" s="83"/>
      <c r="I181" s="89" t="e">
        <v>#N/A</v>
      </c>
      <c r="J181" s="65" t="e">
        <v>#N/A</v>
      </c>
      <c r="K181" s="66"/>
      <c r="L181" s="66"/>
      <c r="M181" s="66"/>
      <c r="N181" s="66"/>
      <c r="O181" s="127" t="s">
        <v>6559</v>
      </c>
      <c r="P181" s="59" t="e">
        <v>#N/A</v>
      </c>
      <c r="Q181" s="67" t="e">
        <v>#N/A</v>
      </c>
      <c r="R181" s="68" t="e">
        <v>#N/A</v>
      </c>
      <c r="S181" s="62" t="e">
        <v>#N/A</v>
      </c>
      <c r="T181" s="62" t="e">
        <v>#N/A</v>
      </c>
      <c r="U181" s="63">
        <v>0.0</v>
      </c>
      <c r="V181" s="69" t="e">
        <v>#N/A</v>
      </c>
      <c r="W181" s="70" t="e">
        <v>#N/A</v>
      </c>
      <c r="X181" s="64" t="s">
        <v>6764</v>
      </c>
      <c r="Y181" s="64" t="s">
        <v>6764</v>
      </c>
      <c r="Z181" s="66" t="s">
        <v>6597</v>
      </c>
      <c r="AA181" s="71"/>
    </row>
    <row r="182" ht="15.75" hidden="1" customHeight="1">
      <c r="A182" s="56" t="s">
        <v>6764</v>
      </c>
      <c r="B182" s="56" t="s">
        <v>6764</v>
      </c>
      <c r="C182" s="57"/>
      <c r="D182" s="127" t="s">
        <v>6559</v>
      </c>
      <c r="E182" s="59" t="s">
        <v>6764</v>
      </c>
      <c r="F182" s="60"/>
      <c r="G182" s="61" t="s">
        <v>6764</v>
      </c>
      <c r="H182" s="83"/>
      <c r="I182" s="89" t="e">
        <v>#N/A</v>
      </c>
      <c r="J182" s="65" t="e">
        <v>#N/A</v>
      </c>
      <c r="K182" s="66"/>
      <c r="L182" s="66"/>
      <c r="M182" s="66"/>
      <c r="N182" s="66"/>
      <c r="O182" s="127" t="s">
        <v>6559</v>
      </c>
      <c r="P182" s="59" t="e">
        <v>#N/A</v>
      </c>
      <c r="Q182" s="67" t="e">
        <v>#N/A</v>
      </c>
      <c r="R182" s="68" t="e">
        <v>#N/A</v>
      </c>
      <c r="S182" s="62" t="e">
        <v>#N/A</v>
      </c>
      <c r="T182" s="62" t="e">
        <v>#N/A</v>
      </c>
      <c r="U182" s="63">
        <v>0.0</v>
      </c>
      <c r="V182" s="69" t="e">
        <v>#N/A</v>
      </c>
      <c r="W182" s="70" t="e">
        <v>#N/A</v>
      </c>
      <c r="X182" s="64" t="s">
        <v>6764</v>
      </c>
      <c r="Y182" s="64" t="s">
        <v>6764</v>
      </c>
      <c r="Z182" s="66" t="s">
        <v>6597</v>
      </c>
      <c r="AA182" s="71"/>
    </row>
    <row r="183" ht="15.75" hidden="1" customHeight="1">
      <c r="A183" s="56" t="s">
        <v>6764</v>
      </c>
      <c r="B183" s="56" t="s">
        <v>6764</v>
      </c>
      <c r="C183" s="57"/>
      <c r="D183" s="127" t="s">
        <v>6559</v>
      </c>
      <c r="E183" s="59" t="s">
        <v>6764</v>
      </c>
      <c r="F183" s="60"/>
      <c r="G183" s="61" t="s">
        <v>6764</v>
      </c>
      <c r="H183" s="83"/>
      <c r="I183" s="89" t="e">
        <v>#N/A</v>
      </c>
      <c r="J183" s="65" t="e">
        <v>#N/A</v>
      </c>
      <c r="K183" s="66"/>
      <c r="L183" s="66"/>
      <c r="M183" s="66"/>
      <c r="N183" s="66"/>
      <c r="O183" s="127" t="s">
        <v>6559</v>
      </c>
      <c r="P183" s="59" t="e">
        <v>#N/A</v>
      </c>
      <c r="Q183" s="67" t="e">
        <v>#N/A</v>
      </c>
      <c r="R183" s="68" t="e">
        <v>#N/A</v>
      </c>
      <c r="S183" s="62" t="e">
        <v>#N/A</v>
      </c>
      <c r="T183" s="62" t="e">
        <v>#N/A</v>
      </c>
      <c r="U183" s="63">
        <v>0.0</v>
      </c>
      <c r="V183" s="69" t="e">
        <v>#N/A</v>
      </c>
      <c r="W183" s="70" t="e">
        <v>#N/A</v>
      </c>
      <c r="X183" s="64" t="s">
        <v>6764</v>
      </c>
      <c r="Y183" s="64" t="s">
        <v>6764</v>
      </c>
      <c r="Z183" s="66" t="s">
        <v>6597</v>
      </c>
      <c r="AA183" s="71"/>
    </row>
    <row r="184" ht="15.75" hidden="1" customHeight="1">
      <c r="A184" s="56" t="s">
        <v>6764</v>
      </c>
      <c r="B184" s="56" t="s">
        <v>6764</v>
      </c>
      <c r="C184" s="57"/>
      <c r="D184" s="127" t="s">
        <v>6559</v>
      </c>
      <c r="E184" s="59" t="s">
        <v>6764</v>
      </c>
      <c r="F184" s="60"/>
      <c r="G184" s="61" t="s">
        <v>6764</v>
      </c>
      <c r="H184" s="83"/>
      <c r="I184" s="89" t="e">
        <v>#N/A</v>
      </c>
      <c r="J184" s="65" t="e">
        <v>#N/A</v>
      </c>
      <c r="K184" s="66"/>
      <c r="L184" s="66"/>
      <c r="M184" s="66"/>
      <c r="N184" s="66"/>
      <c r="O184" s="127" t="s">
        <v>6559</v>
      </c>
      <c r="P184" s="59" t="e">
        <v>#N/A</v>
      </c>
      <c r="Q184" s="67" t="e">
        <v>#N/A</v>
      </c>
      <c r="R184" s="68" t="e">
        <v>#N/A</v>
      </c>
      <c r="S184" s="62" t="e">
        <v>#N/A</v>
      </c>
      <c r="T184" s="62" t="e">
        <v>#N/A</v>
      </c>
      <c r="U184" s="63">
        <v>0.0</v>
      </c>
      <c r="V184" s="69" t="e">
        <v>#N/A</v>
      </c>
      <c r="W184" s="70" t="e">
        <v>#N/A</v>
      </c>
      <c r="X184" s="64" t="s">
        <v>6764</v>
      </c>
      <c r="Y184" s="64" t="s">
        <v>6764</v>
      </c>
      <c r="Z184" s="66" t="s">
        <v>6597</v>
      </c>
      <c r="AA184" s="71"/>
    </row>
    <row r="185" ht="15.75" hidden="1" customHeight="1">
      <c r="A185" s="56" t="s">
        <v>6764</v>
      </c>
      <c r="B185" s="56" t="s">
        <v>6764</v>
      </c>
      <c r="C185" s="57"/>
      <c r="D185" s="127" t="s">
        <v>6559</v>
      </c>
      <c r="E185" s="59" t="s">
        <v>6764</v>
      </c>
      <c r="F185" s="60"/>
      <c r="G185" s="61" t="s">
        <v>6764</v>
      </c>
      <c r="H185" s="83"/>
      <c r="I185" s="89" t="e">
        <v>#N/A</v>
      </c>
      <c r="J185" s="65" t="e">
        <v>#N/A</v>
      </c>
      <c r="K185" s="66"/>
      <c r="L185" s="66"/>
      <c r="M185" s="66"/>
      <c r="N185" s="66"/>
      <c r="O185" s="127" t="s">
        <v>6559</v>
      </c>
      <c r="P185" s="59" t="e">
        <v>#N/A</v>
      </c>
      <c r="Q185" s="67" t="e">
        <v>#N/A</v>
      </c>
      <c r="R185" s="68" t="e">
        <v>#N/A</v>
      </c>
      <c r="S185" s="62" t="e">
        <v>#N/A</v>
      </c>
      <c r="T185" s="62" t="e">
        <v>#N/A</v>
      </c>
      <c r="U185" s="63">
        <v>0.0</v>
      </c>
      <c r="V185" s="69" t="e">
        <v>#N/A</v>
      </c>
      <c r="W185" s="70" t="e">
        <v>#N/A</v>
      </c>
      <c r="X185" s="64" t="s">
        <v>6764</v>
      </c>
      <c r="Y185" s="64" t="s">
        <v>6764</v>
      </c>
      <c r="Z185" s="66" t="s">
        <v>6597</v>
      </c>
      <c r="AA185" s="71"/>
    </row>
    <row r="186" ht="15.75" hidden="1" customHeight="1">
      <c r="A186" s="56" t="s">
        <v>6764</v>
      </c>
      <c r="B186" s="56" t="s">
        <v>6764</v>
      </c>
      <c r="C186" s="57"/>
      <c r="D186" s="127" t="s">
        <v>6559</v>
      </c>
      <c r="E186" s="59" t="s">
        <v>6764</v>
      </c>
      <c r="F186" s="60"/>
      <c r="G186" s="61" t="s">
        <v>6764</v>
      </c>
      <c r="H186" s="83"/>
      <c r="I186" s="89" t="e">
        <v>#N/A</v>
      </c>
      <c r="J186" s="65" t="e">
        <v>#N/A</v>
      </c>
      <c r="K186" s="66"/>
      <c r="L186" s="66"/>
      <c r="M186" s="66"/>
      <c r="N186" s="66"/>
      <c r="O186" s="127" t="s">
        <v>6559</v>
      </c>
      <c r="P186" s="59" t="e">
        <v>#N/A</v>
      </c>
      <c r="Q186" s="67" t="e">
        <v>#N/A</v>
      </c>
      <c r="R186" s="68" t="e">
        <v>#N/A</v>
      </c>
      <c r="S186" s="62" t="e">
        <v>#N/A</v>
      </c>
      <c r="T186" s="62" t="e">
        <v>#N/A</v>
      </c>
      <c r="U186" s="63">
        <v>0.0</v>
      </c>
      <c r="V186" s="69" t="e">
        <v>#N/A</v>
      </c>
      <c r="W186" s="70" t="e">
        <v>#N/A</v>
      </c>
      <c r="X186" s="64" t="s">
        <v>6764</v>
      </c>
      <c r="Y186" s="64" t="s">
        <v>6764</v>
      </c>
      <c r="Z186" s="66" t="s">
        <v>6597</v>
      </c>
      <c r="AA186" s="71"/>
    </row>
    <row r="187" ht="15.75" hidden="1" customHeight="1">
      <c r="A187" s="56" t="s">
        <v>6764</v>
      </c>
      <c r="B187" s="56" t="s">
        <v>6764</v>
      </c>
      <c r="C187" s="57"/>
      <c r="D187" s="127" t="s">
        <v>6559</v>
      </c>
      <c r="E187" s="59" t="s">
        <v>6764</v>
      </c>
      <c r="F187" s="60"/>
      <c r="G187" s="61" t="s">
        <v>6764</v>
      </c>
      <c r="H187" s="83"/>
      <c r="I187" s="89" t="e">
        <v>#N/A</v>
      </c>
      <c r="J187" s="65" t="e">
        <v>#N/A</v>
      </c>
      <c r="K187" s="66"/>
      <c r="L187" s="66"/>
      <c r="M187" s="66"/>
      <c r="N187" s="66"/>
      <c r="O187" s="127" t="s">
        <v>6559</v>
      </c>
      <c r="P187" s="59" t="e">
        <v>#N/A</v>
      </c>
      <c r="Q187" s="67" t="e">
        <v>#N/A</v>
      </c>
      <c r="R187" s="68" t="e">
        <v>#N/A</v>
      </c>
      <c r="S187" s="62" t="e">
        <v>#N/A</v>
      </c>
      <c r="T187" s="62" t="e">
        <v>#N/A</v>
      </c>
      <c r="U187" s="63">
        <v>0.0</v>
      </c>
      <c r="V187" s="69" t="e">
        <v>#N/A</v>
      </c>
      <c r="W187" s="70" t="e">
        <v>#N/A</v>
      </c>
      <c r="X187" s="64" t="s">
        <v>6764</v>
      </c>
      <c r="Y187" s="64" t="s">
        <v>6764</v>
      </c>
      <c r="Z187" s="66" t="s">
        <v>6597</v>
      </c>
      <c r="AA187" s="71"/>
    </row>
    <row r="188" ht="15.75" hidden="1" customHeight="1">
      <c r="A188" s="56" t="s">
        <v>6764</v>
      </c>
      <c r="B188" s="56" t="s">
        <v>6764</v>
      </c>
      <c r="C188" s="57"/>
      <c r="D188" s="127" t="s">
        <v>6559</v>
      </c>
      <c r="E188" s="59" t="s">
        <v>6764</v>
      </c>
      <c r="F188" s="60"/>
      <c r="G188" s="61" t="s">
        <v>6764</v>
      </c>
      <c r="H188" s="83"/>
      <c r="I188" s="89" t="e">
        <v>#N/A</v>
      </c>
      <c r="J188" s="65" t="e">
        <v>#N/A</v>
      </c>
      <c r="K188" s="66"/>
      <c r="L188" s="66"/>
      <c r="M188" s="66"/>
      <c r="N188" s="66"/>
      <c r="O188" s="127" t="s">
        <v>6559</v>
      </c>
      <c r="P188" s="59" t="e">
        <v>#N/A</v>
      </c>
      <c r="Q188" s="67" t="e">
        <v>#N/A</v>
      </c>
      <c r="R188" s="68" t="e">
        <v>#N/A</v>
      </c>
      <c r="S188" s="62" t="e">
        <v>#N/A</v>
      </c>
      <c r="T188" s="62" t="e">
        <v>#N/A</v>
      </c>
      <c r="U188" s="63">
        <v>0.0</v>
      </c>
      <c r="V188" s="69" t="e">
        <v>#N/A</v>
      </c>
      <c r="W188" s="70" t="e">
        <v>#N/A</v>
      </c>
      <c r="X188" s="64" t="s">
        <v>6764</v>
      </c>
      <c r="Y188" s="64" t="s">
        <v>6764</v>
      </c>
      <c r="Z188" s="66" t="s">
        <v>6597</v>
      </c>
      <c r="AA188" s="71"/>
    </row>
    <row r="189" ht="15.75" hidden="1" customHeight="1">
      <c r="A189" s="56" t="s">
        <v>6764</v>
      </c>
      <c r="B189" s="56" t="s">
        <v>6764</v>
      </c>
      <c r="C189" s="57"/>
      <c r="D189" s="127" t="s">
        <v>6559</v>
      </c>
      <c r="E189" s="59" t="s">
        <v>6764</v>
      </c>
      <c r="F189" s="60"/>
      <c r="G189" s="61" t="s">
        <v>6764</v>
      </c>
      <c r="H189" s="83"/>
      <c r="I189" s="89" t="e">
        <v>#N/A</v>
      </c>
      <c r="J189" s="65" t="e">
        <v>#N/A</v>
      </c>
      <c r="K189" s="66"/>
      <c r="L189" s="66"/>
      <c r="M189" s="66"/>
      <c r="N189" s="66"/>
      <c r="O189" s="127" t="s">
        <v>6559</v>
      </c>
      <c r="P189" s="59" t="e">
        <v>#N/A</v>
      </c>
      <c r="Q189" s="67" t="e">
        <v>#N/A</v>
      </c>
      <c r="R189" s="68" t="e">
        <v>#N/A</v>
      </c>
      <c r="S189" s="62" t="e">
        <v>#N/A</v>
      </c>
      <c r="T189" s="62" t="e">
        <v>#N/A</v>
      </c>
      <c r="U189" s="63">
        <v>0.0</v>
      </c>
      <c r="V189" s="69" t="e">
        <v>#N/A</v>
      </c>
      <c r="W189" s="70" t="e">
        <v>#N/A</v>
      </c>
      <c r="X189" s="64" t="s">
        <v>6764</v>
      </c>
      <c r="Y189" s="64" t="s">
        <v>6764</v>
      </c>
      <c r="Z189" s="66" t="s">
        <v>6597</v>
      </c>
      <c r="AA189" s="71"/>
    </row>
    <row r="190" ht="15.75" hidden="1" customHeight="1">
      <c r="A190" s="56" t="s">
        <v>6764</v>
      </c>
      <c r="B190" s="56" t="s">
        <v>6764</v>
      </c>
      <c r="C190" s="57"/>
      <c r="D190" s="127" t="s">
        <v>6559</v>
      </c>
      <c r="E190" s="59" t="s">
        <v>6764</v>
      </c>
      <c r="F190" s="60"/>
      <c r="G190" s="61" t="s">
        <v>6764</v>
      </c>
      <c r="H190" s="83"/>
      <c r="I190" s="89" t="e">
        <v>#N/A</v>
      </c>
      <c r="J190" s="65" t="e">
        <v>#N/A</v>
      </c>
      <c r="K190" s="66"/>
      <c r="L190" s="66"/>
      <c r="M190" s="66"/>
      <c r="N190" s="66"/>
      <c r="O190" s="127" t="s">
        <v>6559</v>
      </c>
      <c r="P190" s="59" t="e">
        <v>#N/A</v>
      </c>
      <c r="Q190" s="67" t="e">
        <v>#N/A</v>
      </c>
      <c r="R190" s="68" t="e">
        <v>#N/A</v>
      </c>
      <c r="S190" s="62" t="e">
        <v>#N/A</v>
      </c>
      <c r="T190" s="62" t="e">
        <v>#N/A</v>
      </c>
      <c r="U190" s="63">
        <v>0.0</v>
      </c>
      <c r="V190" s="69" t="e">
        <v>#N/A</v>
      </c>
      <c r="W190" s="70" t="e">
        <v>#N/A</v>
      </c>
      <c r="X190" s="64" t="s">
        <v>6764</v>
      </c>
      <c r="Y190" s="64" t="s">
        <v>6764</v>
      </c>
      <c r="Z190" s="66" t="s">
        <v>6597</v>
      </c>
      <c r="AA190" s="71"/>
    </row>
    <row r="191" ht="15.75" hidden="1" customHeight="1">
      <c r="A191" s="56" t="s">
        <v>6764</v>
      </c>
      <c r="B191" s="56" t="s">
        <v>6764</v>
      </c>
      <c r="C191" s="57"/>
      <c r="D191" s="127" t="s">
        <v>6559</v>
      </c>
      <c r="E191" s="59" t="s">
        <v>6764</v>
      </c>
      <c r="F191" s="60"/>
      <c r="G191" s="61" t="s">
        <v>6764</v>
      </c>
      <c r="H191" s="83"/>
      <c r="I191" s="89" t="e">
        <v>#N/A</v>
      </c>
      <c r="J191" s="65" t="e">
        <v>#N/A</v>
      </c>
      <c r="K191" s="66"/>
      <c r="L191" s="66"/>
      <c r="M191" s="66"/>
      <c r="N191" s="66"/>
      <c r="O191" s="127" t="s">
        <v>6559</v>
      </c>
      <c r="P191" s="59" t="e">
        <v>#N/A</v>
      </c>
      <c r="Q191" s="67" t="e">
        <v>#N/A</v>
      </c>
      <c r="R191" s="68" t="e">
        <v>#N/A</v>
      </c>
      <c r="S191" s="62" t="e">
        <v>#N/A</v>
      </c>
      <c r="T191" s="62" t="e">
        <v>#N/A</v>
      </c>
      <c r="U191" s="63">
        <v>0.0</v>
      </c>
      <c r="V191" s="69" t="e">
        <v>#N/A</v>
      </c>
      <c r="W191" s="70" t="e">
        <v>#N/A</v>
      </c>
      <c r="X191" s="64" t="s">
        <v>6764</v>
      </c>
      <c r="Y191" s="64" t="s">
        <v>6764</v>
      </c>
      <c r="Z191" s="66" t="s">
        <v>6597</v>
      </c>
      <c r="AA191" s="71"/>
    </row>
    <row r="192" ht="15.75" hidden="1" customHeight="1">
      <c r="A192" s="56" t="s">
        <v>6764</v>
      </c>
      <c r="B192" s="56" t="s">
        <v>6764</v>
      </c>
      <c r="C192" s="57"/>
      <c r="D192" s="127" t="s">
        <v>6559</v>
      </c>
      <c r="E192" s="59" t="s">
        <v>6764</v>
      </c>
      <c r="F192" s="60"/>
      <c r="G192" s="61" t="s">
        <v>6764</v>
      </c>
      <c r="H192" s="83"/>
      <c r="I192" s="89" t="e">
        <v>#N/A</v>
      </c>
      <c r="J192" s="65" t="e">
        <v>#N/A</v>
      </c>
      <c r="K192" s="66"/>
      <c r="L192" s="66"/>
      <c r="M192" s="66"/>
      <c r="N192" s="66"/>
      <c r="O192" s="127" t="s">
        <v>6559</v>
      </c>
      <c r="P192" s="59" t="e">
        <v>#N/A</v>
      </c>
      <c r="Q192" s="67" t="e">
        <v>#N/A</v>
      </c>
      <c r="R192" s="68" t="e">
        <v>#N/A</v>
      </c>
      <c r="S192" s="62" t="e">
        <v>#N/A</v>
      </c>
      <c r="T192" s="62" t="e">
        <v>#N/A</v>
      </c>
      <c r="U192" s="63">
        <v>0.0</v>
      </c>
      <c r="V192" s="69" t="e">
        <v>#N/A</v>
      </c>
      <c r="W192" s="70" t="e">
        <v>#N/A</v>
      </c>
      <c r="X192" s="64" t="s">
        <v>6764</v>
      </c>
      <c r="Y192" s="64" t="s">
        <v>6764</v>
      </c>
      <c r="Z192" s="66" t="s">
        <v>6597</v>
      </c>
      <c r="AA192" s="71"/>
    </row>
    <row r="193" ht="15.75" hidden="1" customHeight="1">
      <c r="A193" s="56" t="s">
        <v>6764</v>
      </c>
      <c r="B193" s="56" t="s">
        <v>6764</v>
      </c>
      <c r="C193" s="57"/>
      <c r="D193" s="127" t="s">
        <v>6559</v>
      </c>
      <c r="E193" s="59" t="s">
        <v>6764</v>
      </c>
      <c r="F193" s="60"/>
      <c r="G193" s="61" t="s">
        <v>6764</v>
      </c>
      <c r="H193" s="83"/>
      <c r="I193" s="89" t="e">
        <v>#N/A</v>
      </c>
      <c r="J193" s="65" t="e">
        <v>#N/A</v>
      </c>
      <c r="K193" s="66"/>
      <c r="L193" s="66"/>
      <c r="M193" s="66"/>
      <c r="N193" s="66"/>
      <c r="O193" s="127" t="s">
        <v>6559</v>
      </c>
      <c r="P193" s="59" t="e">
        <v>#N/A</v>
      </c>
      <c r="Q193" s="67" t="e">
        <v>#N/A</v>
      </c>
      <c r="R193" s="68" t="e">
        <v>#N/A</v>
      </c>
      <c r="S193" s="62" t="e">
        <v>#N/A</v>
      </c>
      <c r="T193" s="62" t="e">
        <v>#N/A</v>
      </c>
      <c r="U193" s="63">
        <v>0.0</v>
      </c>
      <c r="V193" s="69" t="e">
        <v>#N/A</v>
      </c>
      <c r="W193" s="70" t="e">
        <v>#N/A</v>
      </c>
      <c r="X193" s="64" t="s">
        <v>6764</v>
      </c>
      <c r="Y193" s="64" t="s">
        <v>6764</v>
      </c>
      <c r="Z193" s="66" t="s">
        <v>6597</v>
      </c>
      <c r="AA193" s="71"/>
    </row>
    <row r="194" ht="15.75" hidden="1" customHeight="1">
      <c r="A194" s="56" t="s">
        <v>6764</v>
      </c>
      <c r="B194" s="56" t="s">
        <v>6764</v>
      </c>
      <c r="C194" s="57"/>
      <c r="D194" s="127" t="s">
        <v>6559</v>
      </c>
      <c r="E194" s="59" t="s">
        <v>6764</v>
      </c>
      <c r="F194" s="60"/>
      <c r="G194" s="61" t="s">
        <v>6764</v>
      </c>
      <c r="H194" s="83"/>
      <c r="I194" s="89" t="e">
        <v>#N/A</v>
      </c>
      <c r="J194" s="65" t="e">
        <v>#N/A</v>
      </c>
      <c r="K194" s="66"/>
      <c r="L194" s="66"/>
      <c r="M194" s="66"/>
      <c r="N194" s="66"/>
      <c r="O194" s="127" t="s">
        <v>6559</v>
      </c>
      <c r="P194" s="59" t="e">
        <v>#N/A</v>
      </c>
      <c r="Q194" s="67" t="e">
        <v>#N/A</v>
      </c>
      <c r="R194" s="68" t="e">
        <v>#N/A</v>
      </c>
      <c r="S194" s="62" t="e">
        <v>#N/A</v>
      </c>
      <c r="T194" s="62" t="e">
        <v>#N/A</v>
      </c>
      <c r="U194" s="63">
        <v>0.0</v>
      </c>
      <c r="V194" s="69" t="e">
        <v>#N/A</v>
      </c>
      <c r="W194" s="70" t="e">
        <v>#N/A</v>
      </c>
      <c r="X194" s="64" t="s">
        <v>6764</v>
      </c>
      <c r="Y194" s="64" t="s">
        <v>6764</v>
      </c>
      <c r="Z194" s="66" t="s">
        <v>6597</v>
      </c>
      <c r="AA194" s="71"/>
    </row>
    <row r="195" ht="15.75" hidden="1" customHeight="1">
      <c r="A195" s="56" t="s">
        <v>6764</v>
      </c>
      <c r="B195" s="56" t="s">
        <v>6764</v>
      </c>
      <c r="C195" s="57"/>
      <c r="D195" s="127" t="s">
        <v>6559</v>
      </c>
      <c r="E195" s="59" t="s">
        <v>6764</v>
      </c>
      <c r="F195" s="60"/>
      <c r="G195" s="61" t="s">
        <v>6764</v>
      </c>
      <c r="H195" s="83"/>
      <c r="I195" s="89" t="e">
        <v>#N/A</v>
      </c>
      <c r="J195" s="65" t="e">
        <v>#N/A</v>
      </c>
      <c r="K195" s="66"/>
      <c r="L195" s="66"/>
      <c r="M195" s="66"/>
      <c r="N195" s="66"/>
      <c r="O195" s="127" t="s">
        <v>6559</v>
      </c>
      <c r="P195" s="59" t="e">
        <v>#N/A</v>
      </c>
      <c r="Q195" s="67" t="e">
        <v>#N/A</v>
      </c>
      <c r="R195" s="68" t="e">
        <v>#N/A</v>
      </c>
      <c r="S195" s="62" t="e">
        <v>#N/A</v>
      </c>
      <c r="T195" s="62" t="e">
        <v>#N/A</v>
      </c>
      <c r="U195" s="63">
        <v>0.0</v>
      </c>
      <c r="V195" s="69" t="e">
        <v>#N/A</v>
      </c>
      <c r="W195" s="70" t="e">
        <v>#N/A</v>
      </c>
      <c r="X195" s="64" t="s">
        <v>6764</v>
      </c>
      <c r="Y195" s="64" t="s">
        <v>6764</v>
      </c>
      <c r="Z195" s="66" t="s">
        <v>6597</v>
      </c>
      <c r="AA195" s="71"/>
    </row>
    <row r="196" ht="15.75" hidden="1" customHeight="1">
      <c r="A196" s="56" t="s">
        <v>6764</v>
      </c>
      <c r="B196" s="56" t="s">
        <v>6764</v>
      </c>
      <c r="C196" s="57"/>
      <c r="D196" s="127" t="s">
        <v>6559</v>
      </c>
      <c r="E196" s="59" t="s">
        <v>6764</v>
      </c>
      <c r="F196" s="60"/>
      <c r="G196" s="61" t="s">
        <v>6764</v>
      </c>
      <c r="H196" s="83"/>
      <c r="I196" s="89" t="e">
        <v>#N/A</v>
      </c>
      <c r="J196" s="65" t="e">
        <v>#N/A</v>
      </c>
      <c r="K196" s="66"/>
      <c r="L196" s="66"/>
      <c r="M196" s="66"/>
      <c r="N196" s="66"/>
      <c r="O196" s="127" t="s">
        <v>6559</v>
      </c>
      <c r="P196" s="59" t="e">
        <v>#N/A</v>
      </c>
      <c r="Q196" s="67" t="e">
        <v>#N/A</v>
      </c>
      <c r="R196" s="68" t="e">
        <v>#N/A</v>
      </c>
      <c r="S196" s="62" t="e">
        <v>#N/A</v>
      </c>
      <c r="T196" s="62" t="e">
        <v>#N/A</v>
      </c>
      <c r="U196" s="63">
        <v>0.0</v>
      </c>
      <c r="V196" s="69" t="e">
        <v>#N/A</v>
      </c>
      <c r="W196" s="70" t="e">
        <v>#N/A</v>
      </c>
      <c r="X196" s="64" t="s">
        <v>6764</v>
      </c>
      <c r="Y196" s="64" t="s">
        <v>6764</v>
      </c>
      <c r="Z196" s="66" t="s">
        <v>6597</v>
      </c>
      <c r="AA196" s="71"/>
    </row>
    <row r="197" ht="15.75" hidden="1" customHeight="1">
      <c r="A197" s="56" t="s">
        <v>6764</v>
      </c>
      <c r="B197" s="56" t="s">
        <v>6764</v>
      </c>
      <c r="C197" s="57"/>
      <c r="D197" s="127" t="s">
        <v>6559</v>
      </c>
      <c r="E197" s="59" t="s">
        <v>6764</v>
      </c>
      <c r="F197" s="60"/>
      <c r="G197" s="61" t="s">
        <v>6764</v>
      </c>
      <c r="H197" s="83"/>
      <c r="I197" s="89" t="e">
        <v>#N/A</v>
      </c>
      <c r="J197" s="65" t="e">
        <v>#N/A</v>
      </c>
      <c r="K197" s="66"/>
      <c r="L197" s="66"/>
      <c r="M197" s="66"/>
      <c r="N197" s="66"/>
      <c r="O197" s="127" t="s">
        <v>6559</v>
      </c>
      <c r="P197" s="59" t="e">
        <v>#N/A</v>
      </c>
      <c r="Q197" s="67" t="e">
        <v>#N/A</v>
      </c>
      <c r="R197" s="68" t="e">
        <v>#N/A</v>
      </c>
      <c r="S197" s="62" t="e">
        <v>#N/A</v>
      </c>
      <c r="T197" s="62" t="e">
        <v>#N/A</v>
      </c>
      <c r="U197" s="63">
        <v>0.0</v>
      </c>
      <c r="V197" s="69" t="e">
        <v>#N/A</v>
      </c>
      <c r="W197" s="70" t="e">
        <v>#N/A</v>
      </c>
      <c r="X197" s="64" t="s">
        <v>6764</v>
      </c>
      <c r="Y197" s="64" t="s">
        <v>6764</v>
      </c>
      <c r="Z197" s="66" t="s">
        <v>6597</v>
      </c>
      <c r="AA197" s="71"/>
    </row>
    <row r="198" ht="15.75" hidden="1" customHeight="1">
      <c r="A198" s="56" t="s">
        <v>6764</v>
      </c>
      <c r="B198" s="56" t="s">
        <v>6764</v>
      </c>
      <c r="C198" s="57"/>
      <c r="D198" s="127" t="s">
        <v>6559</v>
      </c>
      <c r="E198" s="59" t="s">
        <v>6764</v>
      </c>
      <c r="F198" s="60"/>
      <c r="G198" s="61" t="s">
        <v>6764</v>
      </c>
      <c r="H198" s="83"/>
      <c r="I198" s="89" t="e">
        <v>#N/A</v>
      </c>
      <c r="J198" s="65" t="e">
        <v>#N/A</v>
      </c>
      <c r="K198" s="66"/>
      <c r="L198" s="66"/>
      <c r="M198" s="66"/>
      <c r="N198" s="66"/>
      <c r="O198" s="127" t="s">
        <v>6559</v>
      </c>
      <c r="P198" s="59" t="e">
        <v>#N/A</v>
      </c>
      <c r="Q198" s="67" t="e">
        <v>#N/A</v>
      </c>
      <c r="R198" s="68" t="e">
        <v>#N/A</v>
      </c>
      <c r="S198" s="62" t="e">
        <v>#N/A</v>
      </c>
      <c r="T198" s="62" t="e">
        <v>#N/A</v>
      </c>
      <c r="U198" s="63">
        <v>0.0</v>
      </c>
      <c r="V198" s="69" t="e">
        <v>#N/A</v>
      </c>
      <c r="W198" s="70" t="e">
        <v>#N/A</v>
      </c>
      <c r="X198" s="64" t="s">
        <v>6764</v>
      </c>
      <c r="Y198" s="64" t="s">
        <v>6764</v>
      </c>
      <c r="Z198" s="66" t="s">
        <v>6597</v>
      </c>
      <c r="AA198" s="71"/>
    </row>
    <row r="199" ht="15.75" hidden="1" customHeight="1">
      <c r="A199" s="56" t="s">
        <v>6764</v>
      </c>
      <c r="B199" s="56" t="s">
        <v>6764</v>
      </c>
      <c r="C199" s="57"/>
      <c r="D199" s="127" t="s">
        <v>6559</v>
      </c>
      <c r="E199" s="59" t="s">
        <v>6764</v>
      </c>
      <c r="F199" s="60"/>
      <c r="G199" s="61" t="s">
        <v>6764</v>
      </c>
      <c r="H199" s="83"/>
      <c r="I199" s="89" t="e">
        <v>#N/A</v>
      </c>
      <c r="J199" s="65" t="e">
        <v>#N/A</v>
      </c>
      <c r="K199" s="66"/>
      <c r="L199" s="66"/>
      <c r="M199" s="66"/>
      <c r="N199" s="66"/>
      <c r="O199" s="127" t="s">
        <v>6559</v>
      </c>
      <c r="P199" s="59" t="e">
        <v>#N/A</v>
      </c>
      <c r="Q199" s="67" t="e">
        <v>#N/A</v>
      </c>
      <c r="R199" s="68" t="e">
        <v>#N/A</v>
      </c>
      <c r="S199" s="62" t="e">
        <v>#N/A</v>
      </c>
      <c r="T199" s="62" t="e">
        <v>#N/A</v>
      </c>
      <c r="U199" s="63">
        <v>0.0</v>
      </c>
      <c r="V199" s="69" t="e">
        <v>#N/A</v>
      </c>
      <c r="W199" s="70" t="e">
        <v>#N/A</v>
      </c>
      <c r="X199" s="64" t="s">
        <v>6764</v>
      </c>
      <c r="Y199" s="64" t="s">
        <v>6764</v>
      </c>
      <c r="Z199" s="66" t="s">
        <v>6597</v>
      </c>
      <c r="AA199" s="71"/>
    </row>
    <row r="200" ht="15.75" hidden="1" customHeight="1">
      <c r="A200" s="56" t="s">
        <v>6764</v>
      </c>
      <c r="B200" s="56" t="s">
        <v>6764</v>
      </c>
      <c r="C200" s="57"/>
      <c r="D200" s="127" t="s">
        <v>6559</v>
      </c>
      <c r="E200" s="59" t="s">
        <v>6764</v>
      </c>
      <c r="F200" s="60"/>
      <c r="G200" s="61" t="s">
        <v>6764</v>
      </c>
      <c r="H200" s="83"/>
      <c r="I200" s="89" t="e">
        <v>#N/A</v>
      </c>
      <c r="J200" s="65" t="e">
        <v>#N/A</v>
      </c>
      <c r="K200" s="66"/>
      <c r="L200" s="66"/>
      <c r="M200" s="66"/>
      <c r="N200" s="66"/>
      <c r="O200" s="127" t="s">
        <v>6559</v>
      </c>
      <c r="P200" s="59" t="e">
        <v>#N/A</v>
      </c>
      <c r="Q200" s="67" t="e">
        <v>#N/A</v>
      </c>
      <c r="R200" s="68" t="e">
        <v>#N/A</v>
      </c>
      <c r="S200" s="62" t="e">
        <v>#N/A</v>
      </c>
      <c r="T200" s="62" t="e">
        <v>#N/A</v>
      </c>
      <c r="U200" s="63">
        <v>0.0</v>
      </c>
      <c r="V200" s="69" t="e">
        <v>#N/A</v>
      </c>
      <c r="W200" s="70" t="e">
        <v>#N/A</v>
      </c>
      <c r="X200" s="64" t="s">
        <v>6764</v>
      </c>
      <c r="Y200" s="64" t="s">
        <v>6764</v>
      </c>
      <c r="Z200" s="66" t="s">
        <v>6597</v>
      </c>
      <c r="AA200" s="71"/>
    </row>
    <row r="201" ht="15.75" hidden="1" customHeight="1">
      <c r="A201" s="56" t="s">
        <v>6764</v>
      </c>
      <c r="B201" s="56" t="s">
        <v>6764</v>
      </c>
      <c r="C201" s="57"/>
      <c r="D201" s="127" t="s">
        <v>6559</v>
      </c>
      <c r="E201" s="59" t="s">
        <v>6764</v>
      </c>
      <c r="F201" s="60"/>
      <c r="G201" s="61" t="s">
        <v>6764</v>
      </c>
      <c r="H201" s="83"/>
      <c r="I201" s="89" t="e">
        <v>#N/A</v>
      </c>
      <c r="J201" s="65" t="e">
        <v>#N/A</v>
      </c>
      <c r="K201" s="66"/>
      <c r="L201" s="66"/>
      <c r="M201" s="66"/>
      <c r="N201" s="66"/>
      <c r="O201" s="127" t="s">
        <v>6559</v>
      </c>
      <c r="P201" s="59" t="e">
        <v>#N/A</v>
      </c>
      <c r="Q201" s="67" t="e">
        <v>#N/A</v>
      </c>
      <c r="R201" s="68" t="e">
        <v>#N/A</v>
      </c>
      <c r="S201" s="62" t="e">
        <v>#N/A</v>
      </c>
      <c r="T201" s="62" t="e">
        <v>#N/A</v>
      </c>
      <c r="U201" s="63">
        <v>0.0</v>
      </c>
      <c r="V201" s="69" t="e">
        <v>#N/A</v>
      </c>
      <c r="W201" s="70" t="e">
        <v>#N/A</v>
      </c>
      <c r="X201" s="64" t="s">
        <v>6764</v>
      </c>
      <c r="Y201" s="64" t="s">
        <v>6764</v>
      </c>
      <c r="Z201" s="66" t="s">
        <v>6597</v>
      </c>
      <c r="AA201" s="71"/>
    </row>
    <row r="202" ht="15.75" hidden="1" customHeight="1">
      <c r="A202" s="56" t="s">
        <v>6764</v>
      </c>
      <c r="B202" s="56" t="s">
        <v>6764</v>
      </c>
      <c r="C202" s="57"/>
      <c r="D202" s="127" t="s">
        <v>6559</v>
      </c>
      <c r="E202" s="59" t="s">
        <v>6764</v>
      </c>
      <c r="F202" s="60"/>
      <c r="G202" s="61" t="s">
        <v>6764</v>
      </c>
      <c r="H202" s="83"/>
      <c r="I202" s="89" t="e">
        <v>#N/A</v>
      </c>
      <c r="J202" s="65" t="e">
        <v>#N/A</v>
      </c>
      <c r="K202" s="66"/>
      <c r="L202" s="66"/>
      <c r="M202" s="66"/>
      <c r="N202" s="66"/>
      <c r="O202" s="127" t="s">
        <v>6559</v>
      </c>
      <c r="P202" s="59" t="e">
        <v>#N/A</v>
      </c>
      <c r="Q202" s="67" t="e">
        <v>#N/A</v>
      </c>
      <c r="R202" s="68" t="e">
        <v>#N/A</v>
      </c>
      <c r="S202" s="62" t="e">
        <v>#N/A</v>
      </c>
      <c r="T202" s="62" t="e">
        <v>#N/A</v>
      </c>
      <c r="U202" s="63">
        <v>0.0</v>
      </c>
      <c r="V202" s="69" t="e">
        <v>#N/A</v>
      </c>
      <c r="W202" s="70" t="e">
        <v>#N/A</v>
      </c>
      <c r="X202" s="64" t="s">
        <v>6764</v>
      </c>
      <c r="Y202" s="64" t="s">
        <v>6764</v>
      </c>
      <c r="Z202" s="66" t="s">
        <v>6597</v>
      </c>
      <c r="AA202" s="71"/>
    </row>
    <row r="203" ht="15.75" hidden="1" customHeight="1">
      <c r="A203" s="56" t="s">
        <v>6764</v>
      </c>
      <c r="B203" s="56" t="s">
        <v>6764</v>
      </c>
      <c r="C203" s="57"/>
      <c r="D203" s="127" t="s">
        <v>6559</v>
      </c>
      <c r="E203" s="59" t="s">
        <v>6764</v>
      </c>
      <c r="F203" s="60"/>
      <c r="G203" s="61" t="s">
        <v>6764</v>
      </c>
      <c r="H203" s="83"/>
      <c r="I203" s="89" t="e">
        <v>#N/A</v>
      </c>
      <c r="J203" s="65" t="e">
        <v>#N/A</v>
      </c>
      <c r="K203" s="66"/>
      <c r="L203" s="66"/>
      <c r="M203" s="66"/>
      <c r="N203" s="66"/>
      <c r="O203" s="127" t="s">
        <v>6559</v>
      </c>
      <c r="P203" s="59" t="e">
        <v>#N/A</v>
      </c>
      <c r="Q203" s="67" t="e">
        <v>#N/A</v>
      </c>
      <c r="R203" s="68" t="e">
        <v>#N/A</v>
      </c>
      <c r="S203" s="62" t="e">
        <v>#N/A</v>
      </c>
      <c r="T203" s="62" t="e">
        <v>#N/A</v>
      </c>
      <c r="U203" s="63">
        <v>0.0</v>
      </c>
      <c r="V203" s="69" t="e">
        <v>#N/A</v>
      </c>
      <c r="W203" s="70" t="e">
        <v>#N/A</v>
      </c>
      <c r="X203" s="64" t="s">
        <v>6764</v>
      </c>
      <c r="Y203" s="64" t="s">
        <v>6764</v>
      </c>
      <c r="Z203" s="66" t="s">
        <v>6597</v>
      </c>
      <c r="AA203" s="71"/>
    </row>
    <row r="204" ht="15.75" hidden="1" customHeight="1">
      <c r="A204" s="56" t="s">
        <v>6764</v>
      </c>
      <c r="B204" s="56" t="s">
        <v>6764</v>
      </c>
      <c r="C204" s="57"/>
      <c r="D204" s="127" t="s">
        <v>6559</v>
      </c>
      <c r="E204" s="59" t="s">
        <v>6764</v>
      </c>
      <c r="F204" s="60"/>
      <c r="G204" s="61" t="s">
        <v>6764</v>
      </c>
      <c r="H204" s="83"/>
      <c r="I204" s="89" t="e">
        <v>#N/A</v>
      </c>
      <c r="J204" s="65" t="e">
        <v>#N/A</v>
      </c>
      <c r="K204" s="66"/>
      <c r="L204" s="66"/>
      <c r="M204" s="66"/>
      <c r="N204" s="66"/>
      <c r="O204" s="127" t="s">
        <v>6559</v>
      </c>
      <c r="P204" s="59" t="e">
        <v>#N/A</v>
      </c>
      <c r="Q204" s="67" t="e">
        <v>#N/A</v>
      </c>
      <c r="R204" s="68" t="e">
        <v>#N/A</v>
      </c>
      <c r="S204" s="62" t="e">
        <v>#N/A</v>
      </c>
      <c r="T204" s="62" t="e">
        <v>#N/A</v>
      </c>
      <c r="U204" s="63">
        <v>0.0</v>
      </c>
      <c r="V204" s="69" t="e">
        <v>#N/A</v>
      </c>
      <c r="W204" s="70" t="e">
        <v>#N/A</v>
      </c>
      <c r="X204" s="64" t="s">
        <v>6764</v>
      </c>
      <c r="Y204" s="64" t="s">
        <v>6764</v>
      </c>
      <c r="Z204" s="66" t="s">
        <v>6597</v>
      </c>
      <c r="AA204" s="71"/>
    </row>
    <row r="205" ht="15.75" hidden="1" customHeight="1">
      <c r="A205" s="56" t="s">
        <v>6764</v>
      </c>
      <c r="B205" s="56" t="s">
        <v>6764</v>
      </c>
      <c r="C205" s="57"/>
      <c r="D205" s="127" t="s">
        <v>6559</v>
      </c>
      <c r="E205" s="59" t="s">
        <v>6764</v>
      </c>
      <c r="F205" s="60"/>
      <c r="G205" s="61" t="s">
        <v>6764</v>
      </c>
      <c r="H205" s="83"/>
      <c r="I205" s="89" t="e">
        <v>#N/A</v>
      </c>
      <c r="J205" s="65" t="e">
        <v>#N/A</v>
      </c>
      <c r="K205" s="66"/>
      <c r="L205" s="66"/>
      <c r="M205" s="66"/>
      <c r="N205" s="66"/>
      <c r="O205" s="127" t="s">
        <v>6559</v>
      </c>
      <c r="P205" s="59" t="e">
        <v>#N/A</v>
      </c>
      <c r="Q205" s="67" t="e">
        <v>#N/A</v>
      </c>
      <c r="R205" s="68" t="e">
        <v>#N/A</v>
      </c>
      <c r="S205" s="62" t="e">
        <v>#N/A</v>
      </c>
      <c r="T205" s="62" t="e">
        <v>#N/A</v>
      </c>
      <c r="U205" s="63">
        <v>0.0</v>
      </c>
      <c r="V205" s="69" t="e">
        <v>#N/A</v>
      </c>
      <c r="W205" s="70" t="e">
        <v>#N/A</v>
      </c>
      <c r="X205" s="64" t="s">
        <v>6764</v>
      </c>
      <c r="Y205" s="64" t="s">
        <v>6764</v>
      </c>
      <c r="Z205" s="66" t="s">
        <v>6597</v>
      </c>
      <c r="AA205" s="71"/>
    </row>
    <row r="206" ht="15.75" hidden="1" customHeight="1">
      <c r="A206" s="56" t="s">
        <v>6764</v>
      </c>
      <c r="B206" s="56" t="s">
        <v>6764</v>
      </c>
      <c r="C206" s="57"/>
      <c r="D206" s="127" t="s">
        <v>6559</v>
      </c>
      <c r="E206" s="59" t="s">
        <v>6764</v>
      </c>
      <c r="F206" s="60"/>
      <c r="G206" s="61" t="s">
        <v>6764</v>
      </c>
      <c r="H206" s="83"/>
      <c r="I206" s="89" t="e">
        <v>#N/A</v>
      </c>
      <c r="J206" s="65" t="e">
        <v>#N/A</v>
      </c>
      <c r="K206" s="66"/>
      <c r="L206" s="66"/>
      <c r="M206" s="66"/>
      <c r="N206" s="66"/>
      <c r="O206" s="127" t="s">
        <v>6559</v>
      </c>
      <c r="P206" s="59" t="e">
        <v>#N/A</v>
      </c>
      <c r="Q206" s="67" t="e">
        <v>#N/A</v>
      </c>
      <c r="R206" s="68" t="e">
        <v>#N/A</v>
      </c>
      <c r="S206" s="62" t="e">
        <v>#N/A</v>
      </c>
      <c r="T206" s="62" t="e">
        <v>#N/A</v>
      </c>
      <c r="U206" s="63">
        <v>0.0</v>
      </c>
      <c r="V206" s="69" t="e">
        <v>#N/A</v>
      </c>
      <c r="W206" s="70" t="e">
        <v>#N/A</v>
      </c>
      <c r="X206" s="64" t="s">
        <v>6764</v>
      </c>
      <c r="Y206" s="64" t="s">
        <v>6764</v>
      </c>
      <c r="Z206" s="66" t="s">
        <v>6597</v>
      </c>
      <c r="AA206" s="71"/>
    </row>
    <row r="207" ht="15.75" hidden="1" customHeight="1">
      <c r="A207" s="56" t="s">
        <v>6764</v>
      </c>
      <c r="B207" s="56" t="s">
        <v>6764</v>
      </c>
      <c r="C207" s="57"/>
      <c r="D207" s="127" t="s">
        <v>6559</v>
      </c>
      <c r="E207" s="59" t="s">
        <v>6764</v>
      </c>
      <c r="F207" s="60"/>
      <c r="G207" s="61" t="s">
        <v>6764</v>
      </c>
      <c r="H207" s="83"/>
      <c r="I207" s="89" t="e">
        <v>#N/A</v>
      </c>
      <c r="J207" s="65" t="e">
        <v>#N/A</v>
      </c>
      <c r="K207" s="66"/>
      <c r="L207" s="66"/>
      <c r="M207" s="66"/>
      <c r="N207" s="66"/>
      <c r="O207" s="127" t="s">
        <v>6559</v>
      </c>
      <c r="P207" s="59" t="e">
        <v>#N/A</v>
      </c>
      <c r="Q207" s="67" t="e">
        <v>#N/A</v>
      </c>
      <c r="R207" s="68" t="e">
        <v>#N/A</v>
      </c>
      <c r="S207" s="62" t="e">
        <v>#N/A</v>
      </c>
      <c r="T207" s="62" t="e">
        <v>#N/A</v>
      </c>
      <c r="U207" s="63">
        <v>0.0</v>
      </c>
      <c r="V207" s="69" t="e">
        <v>#N/A</v>
      </c>
      <c r="W207" s="70" t="e">
        <v>#N/A</v>
      </c>
      <c r="X207" s="64" t="s">
        <v>6764</v>
      </c>
      <c r="Y207" s="64" t="s">
        <v>6764</v>
      </c>
      <c r="Z207" s="66" t="s">
        <v>6597</v>
      </c>
      <c r="AA207" s="71"/>
    </row>
    <row r="208" ht="15.75" hidden="1" customHeight="1">
      <c r="A208" s="56" t="s">
        <v>6764</v>
      </c>
      <c r="B208" s="56" t="s">
        <v>6764</v>
      </c>
      <c r="C208" s="57"/>
      <c r="D208" s="127" t="s">
        <v>6559</v>
      </c>
      <c r="E208" s="59" t="s">
        <v>6764</v>
      </c>
      <c r="F208" s="60"/>
      <c r="G208" s="61" t="s">
        <v>6764</v>
      </c>
      <c r="H208" s="83"/>
      <c r="I208" s="89" t="e">
        <v>#N/A</v>
      </c>
      <c r="J208" s="65" t="e">
        <v>#N/A</v>
      </c>
      <c r="K208" s="66"/>
      <c r="L208" s="66"/>
      <c r="M208" s="66"/>
      <c r="N208" s="66"/>
      <c r="O208" s="127" t="s">
        <v>6559</v>
      </c>
      <c r="P208" s="59" t="e">
        <v>#N/A</v>
      </c>
      <c r="Q208" s="67" t="e">
        <v>#N/A</v>
      </c>
      <c r="R208" s="68" t="e">
        <v>#N/A</v>
      </c>
      <c r="S208" s="62" t="e">
        <v>#N/A</v>
      </c>
      <c r="T208" s="62" t="e">
        <v>#N/A</v>
      </c>
      <c r="U208" s="63">
        <v>0.0</v>
      </c>
      <c r="V208" s="69" t="e">
        <v>#N/A</v>
      </c>
      <c r="W208" s="70" t="e">
        <v>#N/A</v>
      </c>
      <c r="X208" s="64" t="s">
        <v>6764</v>
      </c>
      <c r="Y208" s="64" t="s">
        <v>6764</v>
      </c>
      <c r="Z208" s="66" t="s">
        <v>6597</v>
      </c>
      <c r="AA208" s="71"/>
    </row>
    <row r="209" ht="15.75" hidden="1" customHeight="1">
      <c r="A209" s="56" t="s">
        <v>6764</v>
      </c>
      <c r="B209" s="56" t="s">
        <v>6764</v>
      </c>
      <c r="C209" s="57"/>
      <c r="D209" s="127" t="s">
        <v>6559</v>
      </c>
      <c r="E209" s="59" t="s">
        <v>6764</v>
      </c>
      <c r="F209" s="60"/>
      <c r="G209" s="61" t="s">
        <v>6764</v>
      </c>
      <c r="H209" s="83"/>
      <c r="I209" s="89" t="e">
        <v>#N/A</v>
      </c>
      <c r="J209" s="65" t="e">
        <v>#N/A</v>
      </c>
      <c r="K209" s="66"/>
      <c r="L209" s="66"/>
      <c r="M209" s="66"/>
      <c r="N209" s="66"/>
      <c r="O209" s="127" t="s">
        <v>6559</v>
      </c>
      <c r="P209" s="59" t="e">
        <v>#N/A</v>
      </c>
      <c r="Q209" s="67" t="e">
        <v>#N/A</v>
      </c>
      <c r="R209" s="68" t="e">
        <v>#N/A</v>
      </c>
      <c r="S209" s="62" t="e">
        <v>#N/A</v>
      </c>
      <c r="T209" s="62" t="e">
        <v>#N/A</v>
      </c>
      <c r="U209" s="63">
        <v>0.0</v>
      </c>
      <c r="V209" s="69" t="e">
        <v>#N/A</v>
      </c>
      <c r="W209" s="70" t="e">
        <v>#N/A</v>
      </c>
      <c r="X209" s="64" t="s">
        <v>6764</v>
      </c>
      <c r="Y209" s="64" t="s">
        <v>6764</v>
      </c>
      <c r="Z209" s="66" t="s">
        <v>6597</v>
      </c>
      <c r="AA209" s="71"/>
    </row>
    <row r="210" ht="15.75" hidden="1" customHeight="1">
      <c r="A210" s="56" t="s">
        <v>6764</v>
      </c>
      <c r="B210" s="56" t="s">
        <v>6764</v>
      </c>
      <c r="C210" s="57"/>
      <c r="D210" s="127" t="s">
        <v>6559</v>
      </c>
      <c r="E210" s="59" t="s">
        <v>6764</v>
      </c>
      <c r="F210" s="60"/>
      <c r="G210" s="61" t="s">
        <v>6764</v>
      </c>
      <c r="H210" s="83"/>
      <c r="I210" s="89" t="e">
        <v>#N/A</v>
      </c>
      <c r="J210" s="65" t="e">
        <v>#N/A</v>
      </c>
      <c r="K210" s="66"/>
      <c r="L210" s="66"/>
      <c r="M210" s="66"/>
      <c r="N210" s="66"/>
      <c r="O210" s="127" t="s">
        <v>6559</v>
      </c>
      <c r="P210" s="59" t="e">
        <v>#N/A</v>
      </c>
      <c r="Q210" s="67" t="e">
        <v>#N/A</v>
      </c>
      <c r="R210" s="68" t="e">
        <v>#N/A</v>
      </c>
      <c r="S210" s="62" t="e">
        <v>#N/A</v>
      </c>
      <c r="T210" s="62" t="e">
        <v>#N/A</v>
      </c>
      <c r="U210" s="63">
        <v>0.0</v>
      </c>
      <c r="V210" s="69" t="e">
        <v>#N/A</v>
      </c>
      <c r="W210" s="70" t="e">
        <v>#N/A</v>
      </c>
      <c r="X210" s="64" t="s">
        <v>6764</v>
      </c>
      <c r="Y210" s="64" t="s">
        <v>6764</v>
      </c>
      <c r="Z210" s="66" t="s">
        <v>6597</v>
      </c>
      <c r="AA210" s="71"/>
    </row>
    <row r="211" ht="15.75" hidden="1" customHeight="1">
      <c r="A211" s="56" t="s">
        <v>6764</v>
      </c>
      <c r="B211" s="56" t="s">
        <v>6764</v>
      </c>
      <c r="C211" s="57"/>
      <c r="D211" s="127" t="s">
        <v>6559</v>
      </c>
      <c r="E211" s="59" t="s">
        <v>6764</v>
      </c>
      <c r="F211" s="60"/>
      <c r="G211" s="61" t="s">
        <v>6764</v>
      </c>
      <c r="H211" s="83"/>
      <c r="I211" s="89" t="e">
        <v>#N/A</v>
      </c>
      <c r="J211" s="65" t="e">
        <v>#N/A</v>
      </c>
      <c r="K211" s="66"/>
      <c r="L211" s="66"/>
      <c r="M211" s="66"/>
      <c r="N211" s="66"/>
      <c r="O211" s="127" t="s">
        <v>6559</v>
      </c>
      <c r="P211" s="59" t="e">
        <v>#N/A</v>
      </c>
      <c r="Q211" s="67" t="e">
        <v>#N/A</v>
      </c>
      <c r="R211" s="68" t="e">
        <v>#N/A</v>
      </c>
      <c r="S211" s="62" t="e">
        <v>#N/A</v>
      </c>
      <c r="T211" s="62" t="e">
        <v>#N/A</v>
      </c>
      <c r="U211" s="63">
        <v>0.0</v>
      </c>
      <c r="V211" s="69" t="e">
        <v>#N/A</v>
      </c>
      <c r="W211" s="70" t="e">
        <v>#N/A</v>
      </c>
      <c r="X211" s="64" t="s">
        <v>6764</v>
      </c>
      <c r="Y211" s="64" t="s">
        <v>6764</v>
      </c>
      <c r="Z211" s="66" t="s">
        <v>6597</v>
      </c>
      <c r="AA211" s="71"/>
    </row>
    <row r="212" ht="15.75" hidden="1" customHeight="1">
      <c r="A212" s="56" t="s">
        <v>6764</v>
      </c>
      <c r="B212" s="56" t="s">
        <v>6764</v>
      </c>
      <c r="C212" s="57"/>
      <c r="D212" s="127" t="s">
        <v>6559</v>
      </c>
      <c r="E212" s="59" t="s">
        <v>6764</v>
      </c>
      <c r="F212" s="60"/>
      <c r="G212" s="61" t="s">
        <v>6764</v>
      </c>
      <c r="H212" s="83"/>
      <c r="I212" s="89" t="e">
        <v>#N/A</v>
      </c>
      <c r="J212" s="65" t="e">
        <v>#N/A</v>
      </c>
      <c r="K212" s="66"/>
      <c r="L212" s="66"/>
      <c r="M212" s="66"/>
      <c r="N212" s="66"/>
      <c r="O212" s="127" t="s">
        <v>6559</v>
      </c>
      <c r="P212" s="59" t="e">
        <v>#N/A</v>
      </c>
      <c r="Q212" s="67" t="e">
        <v>#N/A</v>
      </c>
      <c r="R212" s="68" t="e">
        <v>#N/A</v>
      </c>
      <c r="S212" s="62" t="e">
        <v>#N/A</v>
      </c>
      <c r="T212" s="62" t="e">
        <v>#N/A</v>
      </c>
      <c r="U212" s="63">
        <v>0.0</v>
      </c>
      <c r="V212" s="69" t="e">
        <v>#N/A</v>
      </c>
      <c r="W212" s="70" t="e">
        <v>#N/A</v>
      </c>
      <c r="X212" s="64" t="s">
        <v>6764</v>
      </c>
      <c r="Y212" s="64" t="s">
        <v>6764</v>
      </c>
      <c r="Z212" s="66" t="s">
        <v>6597</v>
      </c>
      <c r="AA212" s="71"/>
    </row>
    <row r="213" ht="15.75" hidden="1" customHeight="1">
      <c r="A213" s="56" t="s">
        <v>6764</v>
      </c>
      <c r="B213" s="56" t="s">
        <v>6764</v>
      </c>
      <c r="C213" s="57"/>
      <c r="D213" s="127" t="s">
        <v>6559</v>
      </c>
      <c r="E213" s="59" t="s">
        <v>6764</v>
      </c>
      <c r="F213" s="60"/>
      <c r="G213" s="61" t="s">
        <v>6764</v>
      </c>
      <c r="H213" s="83"/>
      <c r="I213" s="89" t="e">
        <v>#N/A</v>
      </c>
      <c r="J213" s="65" t="e">
        <v>#N/A</v>
      </c>
      <c r="K213" s="66"/>
      <c r="L213" s="66"/>
      <c r="M213" s="66"/>
      <c r="N213" s="66"/>
      <c r="O213" s="127" t="s">
        <v>6559</v>
      </c>
      <c r="P213" s="59" t="e">
        <v>#N/A</v>
      </c>
      <c r="Q213" s="67" t="e">
        <v>#N/A</v>
      </c>
      <c r="R213" s="68" t="e">
        <v>#N/A</v>
      </c>
      <c r="S213" s="62" t="e">
        <v>#N/A</v>
      </c>
      <c r="T213" s="62" t="e">
        <v>#N/A</v>
      </c>
      <c r="U213" s="63">
        <v>0.0</v>
      </c>
      <c r="V213" s="69" t="e">
        <v>#N/A</v>
      </c>
      <c r="W213" s="70" t="e">
        <v>#N/A</v>
      </c>
      <c r="X213" s="64" t="s">
        <v>6764</v>
      </c>
      <c r="Y213" s="64" t="s">
        <v>6764</v>
      </c>
      <c r="Z213" s="66" t="s">
        <v>6597</v>
      </c>
      <c r="AA213" s="71"/>
    </row>
    <row r="214" ht="15.75" hidden="1" customHeight="1">
      <c r="A214" s="56" t="s">
        <v>6764</v>
      </c>
      <c r="B214" s="56" t="s">
        <v>6764</v>
      </c>
      <c r="C214" s="57"/>
      <c r="D214" s="127" t="s">
        <v>6559</v>
      </c>
      <c r="E214" s="59" t="s">
        <v>6764</v>
      </c>
      <c r="F214" s="60"/>
      <c r="G214" s="61" t="s">
        <v>6764</v>
      </c>
      <c r="H214" s="83"/>
      <c r="I214" s="89" t="e">
        <v>#N/A</v>
      </c>
      <c r="J214" s="65" t="e">
        <v>#N/A</v>
      </c>
      <c r="K214" s="66"/>
      <c r="L214" s="66"/>
      <c r="M214" s="66"/>
      <c r="N214" s="66"/>
      <c r="O214" s="127" t="s">
        <v>6559</v>
      </c>
      <c r="P214" s="59" t="e">
        <v>#N/A</v>
      </c>
      <c r="Q214" s="67" t="e">
        <v>#N/A</v>
      </c>
      <c r="R214" s="68" t="e">
        <v>#N/A</v>
      </c>
      <c r="S214" s="62" t="e">
        <v>#N/A</v>
      </c>
      <c r="T214" s="62" t="e">
        <v>#N/A</v>
      </c>
      <c r="U214" s="63">
        <v>0.0</v>
      </c>
      <c r="V214" s="69" t="e">
        <v>#N/A</v>
      </c>
      <c r="W214" s="70" t="e">
        <v>#N/A</v>
      </c>
      <c r="X214" s="64" t="s">
        <v>6764</v>
      </c>
      <c r="Y214" s="64" t="s">
        <v>6764</v>
      </c>
      <c r="Z214" s="66" t="s">
        <v>6597</v>
      </c>
      <c r="AA214" s="71"/>
    </row>
    <row r="215" ht="15.75" hidden="1" customHeight="1">
      <c r="A215" s="56" t="s">
        <v>6764</v>
      </c>
      <c r="B215" s="56" t="s">
        <v>6764</v>
      </c>
      <c r="C215" s="57"/>
      <c r="D215" s="127" t="s">
        <v>6559</v>
      </c>
      <c r="E215" s="59" t="s">
        <v>6764</v>
      </c>
      <c r="F215" s="60"/>
      <c r="G215" s="61" t="s">
        <v>6764</v>
      </c>
      <c r="H215" s="83"/>
      <c r="I215" s="89" t="e">
        <v>#N/A</v>
      </c>
      <c r="J215" s="65" t="e">
        <v>#N/A</v>
      </c>
      <c r="K215" s="66"/>
      <c r="L215" s="66"/>
      <c r="M215" s="66"/>
      <c r="N215" s="66"/>
      <c r="O215" s="127" t="s">
        <v>6559</v>
      </c>
      <c r="P215" s="59" t="e">
        <v>#N/A</v>
      </c>
      <c r="Q215" s="67" t="e">
        <v>#N/A</v>
      </c>
      <c r="R215" s="68" t="e">
        <v>#N/A</v>
      </c>
      <c r="S215" s="62" t="e">
        <v>#N/A</v>
      </c>
      <c r="T215" s="62" t="e">
        <v>#N/A</v>
      </c>
      <c r="U215" s="63">
        <v>0.0</v>
      </c>
      <c r="V215" s="69" t="e">
        <v>#N/A</v>
      </c>
      <c r="W215" s="70" t="e">
        <v>#N/A</v>
      </c>
      <c r="X215" s="64" t="s">
        <v>6764</v>
      </c>
      <c r="Y215" s="64" t="s">
        <v>6764</v>
      </c>
      <c r="Z215" s="66" t="s">
        <v>6597</v>
      </c>
      <c r="AA215" s="71"/>
    </row>
    <row r="216" ht="15.75" hidden="1" customHeight="1">
      <c r="A216" s="56" t="s">
        <v>6764</v>
      </c>
      <c r="B216" s="56" t="s">
        <v>6764</v>
      </c>
      <c r="C216" s="57"/>
      <c r="D216" s="127" t="s">
        <v>6559</v>
      </c>
      <c r="E216" s="59" t="s">
        <v>6764</v>
      </c>
      <c r="F216" s="60"/>
      <c r="G216" s="61" t="s">
        <v>6764</v>
      </c>
      <c r="H216" s="83"/>
      <c r="I216" s="89" t="e">
        <v>#N/A</v>
      </c>
      <c r="J216" s="65" t="e">
        <v>#N/A</v>
      </c>
      <c r="K216" s="66"/>
      <c r="L216" s="66"/>
      <c r="M216" s="66"/>
      <c r="N216" s="66"/>
      <c r="O216" s="127" t="s">
        <v>6559</v>
      </c>
      <c r="P216" s="59" t="e">
        <v>#N/A</v>
      </c>
      <c r="Q216" s="67" t="e">
        <v>#N/A</v>
      </c>
      <c r="R216" s="68" t="e">
        <v>#N/A</v>
      </c>
      <c r="S216" s="62" t="e">
        <v>#N/A</v>
      </c>
      <c r="T216" s="62" t="e">
        <v>#N/A</v>
      </c>
      <c r="U216" s="63">
        <v>0.0</v>
      </c>
      <c r="V216" s="69" t="e">
        <v>#N/A</v>
      </c>
      <c r="W216" s="70" t="e">
        <v>#N/A</v>
      </c>
      <c r="X216" s="64" t="s">
        <v>6764</v>
      </c>
      <c r="Y216" s="64" t="s">
        <v>6764</v>
      </c>
      <c r="Z216" s="66" t="s">
        <v>6597</v>
      </c>
      <c r="AA216" s="71"/>
    </row>
    <row r="217" ht="15.75" hidden="1" customHeight="1">
      <c r="A217" s="56" t="s">
        <v>6764</v>
      </c>
      <c r="B217" s="56" t="s">
        <v>6764</v>
      </c>
      <c r="C217" s="57"/>
      <c r="D217" s="127" t="s">
        <v>6559</v>
      </c>
      <c r="E217" s="59" t="s">
        <v>6764</v>
      </c>
      <c r="F217" s="60"/>
      <c r="G217" s="61" t="s">
        <v>6764</v>
      </c>
      <c r="H217" s="83"/>
      <c r="I217" s="89" t="e">
        <v>#N/A</v>
      </c>
      <c r="J217" s="65" t="e">
        <v>#N/A</v>
      </c>
      <c r="K217" s="66"/>
      <c r="L217" s="66"/>
      <c r="M217" s="66"/>
      <c r="N217" s="66"/>
      <c r="O217" s="127" t="s">
        <v>6559</v>
      </c>
      <c r="P217" s="59" t="e">
        <v>#N/A</v>
      </c>
      <c r="Q217" s="67" t="e">
        <v>#N/A</v>
      </c>
      <c r="R217" s="68" t="e">
        <v>#N/A</v>
      </c>
      <c r="S217" s="62" t="e">
        <v>#N/A</v>
      </c>
      <c r="T217" s="62" t="e">
        <v>#N/A</v>
      </c>
      <c r="U217" s="63">
        <v>0.0</v>
      </c>
      <c r="V217" s="69" t="e">
        <v>#N/A</v>
      </c>
      <c r="W217" s="70" t="e">
        <v>#N/A</v>
      </c>
      <c r="X217" s="64" t="s">
        <v>6764</v>
      </c>
      <c r="Y217" s="64" t="s">
        <v>6764</v>
      </c>
      <c r="Z217" s="66" t="s">
        <v>6597</v>
      </c>
      <c r="AA217" s="71"/>
    </row>
    <row r="218" ht="15.75" hidden="1" customHeight="1">
      <c r="A218" s="56" t="s">
        <v>6764</v>
      </c>
      <c r="B218" s="56" t="s">
        <v>6764</v>
      </c>
      <c r="C218" s="57"/>
      <c r="D218" s="127" t="s">
        <v>6559</v>
      </c>
      <c r="E218" s="59" t="s">
        <v>6764</v>
      </c>
      <c r="F218" s="60"/>
      <c r="G218" s="61" t="s">
        <v>6764</v>
      </c>
      <c r="H218" s="83"/>
      <c r="I218" s="89" t="e">
        <v>#N/A</v>
      </c>
      <c r="J218" s="65" t="e">
        <v>#N/A</v>
      </c>
      <c r="K218" s="66"/>
      <c r="L218" s="66"/>
      <c r="M218" s="66"/>
      <c r="N218" s="66"/>
      <c r="O218" s="127" t="s">
        <v>6559</v>
      </c>
      <c r="P218" s="59" t="e">
        <v>#N/A</v>
      </c>
      <c r="Q218" s="67" t="e">
        <v>#N/A</v>
      </c>
      <c r="R218" s="68" t="e">
        <v>#N/A</v>
      </c>
      <c r="S218" s="62" t="e">
        <v>#N/A</v>
      </c>
      <c r="T218" s="62" t="e">
        <v>#N/A</v>
      </c>
      <c r="U218" s="63">
        <v>0.0</v>
      </c>
      <c r="V218" s="69" t="e">
        <v>#N/A</v>
      </c>
      <c r="W218" s="70" t="e">
        <v>#N/A</v>
      </c>
      <c r="X218" s="64" t="s">
        <v>6764</v>
      </c>
      <c r="Y218" s="64" t="s">
        <v>6764</v>
      </c>
      <c r="Z218" s="66" t="s">
        <v>6597</v>
      </c>
      <c r="AA218" s="71"/>
    </row>
    <row r="219" ht="15.75" hidden="1" customHeight="1">
      <c r="A219" s="56" t="s">
        <v>6764</v>
      </c>
      <c r="B219" s="56" t="s">
        <v>6764</v>
      </c>
      <c r="C219" s="57"/>
      <c r="D219" s="127" t="s">
        <v>6559</v>
      </c>
      <c r="E219" s="59" t="s">
        <v>6764</v>
      </c>
      <c r="F219" s="60"/>
      <c r="G219" s="61" t="s">
        <v>6764</v>
      </c>
      <c r="H219" s="83"/>
      <c r="I219" s="89" t="e">
        <v>#N/A</v>
      </c>
      <c r="J219" s="65" t="e">
        <v>#N/A</v>
      </c>
      <c r="K219" s="66"/>
      <c r="L219" s="66"/>
      <c r="M219" s="66"/>
      <c r="N219" s="66"/>
      <c r="O219" s="127" t="s">
        <v>6559</v>
      </c>
      <c r="P219" s="59" t="e">
        <v>#N/A</v>
      </c>
      <c r="Q219" s="67" t="e">
        <v>#N/A</v>
      </c>
      <c r="R219" s="68" t="e">
        <v>#N/A</v>
      </c>
      <c r="S219" s="62" t="e">
        <v>#N/A</v>
      </c>
      <c r="T219" s="62" t="e">
        <v>#N/A</v>
      </c>
      <c r="U219" s="63">
        <v>0.0</v>
      </c>
      <c r="V219" s="69" t="e">
        <v>#N/A</v>
      </c>
      <c r="W219" s="70" t="e">
        <v>#N/A</v>
      </c>
      <c r="X219" s="64" t="s">
        <v>6764</v>
      </c>
      <c r="Y219" s="64" t="s">
        <v>6764</v>
      </c>
      <c r="Z219" s="66" t="s">
        <v>6597</v>
      </c>
      <c r="AA219" s="71"/>
    </row>
    <row r="220" ht="15.75" hidden="1" customHeight="1">
      <c r="A220" s="56" t="s">
        <v>6764</v>
      </c>
      <c r="B220" s="56" t="s">
        <v>6764</v>
      </c>
      <c r="C220" s="57"/>
      <c r="D220" s="127" t="s">
        <v>6559</v>
      </c>
      <c r="E220" s="59" t="s">
        <v>6764</v>
      </c>
      <c r="F220" s="60"/>
      <c r="G220" s="61" t="s">
        <v>6764</v>
      </c>
      <c r="H220" s="83"/>
      <c r="I220" s="89" t="e">
        <v>#N/A</v>
      </c>
      <c r="J220" s="65" t="e">
        <v>#N/A</v>
      </c>
      <c r="K220" s="66"/>
      <c r="L220" s="66"/>
      <c r="M220" s="66"/>
      <c r="N220" s="66"/>
      <c r="O220" s="127" t="s">
        <v>6559</v>
      </c>
      <c r="P220" s="59" t="e">
        <v>#N/A</v>
      </c>
      <c r="Q220" s="67" t="e">
        <v>#N/A</v>
      </c>
      <c r="R220" s="68" t="e">
        <v>#N/A</v>
      </c>
      <c r="S220" s="62" t="e">
        <v>#N/A</v>
      </c>
      <c r="T220" s="62" t="e">
        <v>#N/A</v>
      </c>
      <c r="U220" s="63">
        <v>0.0</v>
      </c>
      <c r="V220" s="69" t="e">
        <v>#N/A</v>
      </c>
      <c r="W220" s="70" t="e">
        <v>#N/A</v>
      </c>
      <c r="X220" s="64" t="s">
        <v>6764</v>
      </c>
      <c r="Y220" s="64" t="s">
        <v>6764</v>
      </c>
      <c r="Z220" s="66" t="s">
        <v>6597</v>
      </c>
      <c r="AA220" s="71"/>
    </row>
    <row r="221" ht="15.75" hidden="1" customHeight="1">
      <c r="A221" s="56" t="s">
        <v>6764</v>
      </c>
      <c r="B221" s="56" t="s">
        <v>6764</v>
      </c>
      <c r="C221" s="57"/>
      <c r="D221" s="127" t="s">
        <v>6559</v>
      </c>
      <c r="E221" s="59" t="s">
        <v>6764</v>
      </c>
      <c r="F221" s="60"/>
      <c r="G221" s="61" t="s">
        <v>6764</v>
      </c>
      <c r="H221" s="83"/>
      <c r="I221" s="89" t="e">
        <v>#N/A</v>
      </c>
      <c r="J221" s="65" t="e">
        <v>#N/A</v>
      </c>
      <c r="K221" s="66"/>
      <c r="L221" s="66"/>
      <c r="M221" s="66"/>
      <c r="N221" s="66"/>
      <c r="O221" s="127" t="s">
        <v>6559</v>
      </c>
      <c r="P221" s="59" t="e">
        <v>#N/A</v>
      </c>
      <c r="Q221" s="67" t="e">
        <v>#N/A</v>
      </c>
      <c r="R221" s="68" t="e">
        <v>#N/A</v>
      </c>
      <c r="S221" s="62" t="e">
        <v>#N/A</v>
      </c>
      <c r="T221" s="62" t="e">
        <v>#N/A</v>
      </c>
      <c r="U221" s="63">
        <v>0.0</v>
      </c>
      <c r="V221" s="69" t="e">
        <v>#N/A</v>
      </c>
      <c r="W221" s="70" t="e">
        <v>#N/A</v>
      </c>
      <c r="X221" s="64" t="s">
        <v>6764</v>
      </c>
      <c r="Y221" s="64" t="s">
        <v>6764</v>
      </c>
      <c r="Z221" s="66" t="s">
        <v>6597</v>
      </c>
      <c r="AA221" s="71"/>
    </row>
    <row r="222" ht="15.75" hidden="1" customHeight="1">
      <c r="A222" s="56" t="s">
        <v>6764</v>
      </c>
      <c r="B222" s="56" t="s">
        <v>6764</v>
      </c>
      <c r="C222" s="57"/>
      <c r="D222" s="127" t="s">
        <v>6559</v>
      </c>
      <c r="E222" s="59" t="s">
        <v>6764</v>
      </c>
      <c r="F222" s="60"/>
      <c r="G222" s="61" t="s">
        <v>6764</v>
      </c>
      <c r="H222" s="83"/>
      <c r="I222" s="89" t="e">
        <v>#N/A</v>
      </c>
      <c r="J222" s="65" t="e">
        <v>#N/A</v>
      </c>
      <c r="K222" s="66"/>
      <c r="L222" s="66"/>
      <c r="M222" s="66"/>
      <c r="N222" s="66"/>
      <c r="O222" s="127" t="s">
        <v>6559</v>
      </c>
      <c r="P222" s="59" t="e">
        <v>#N/A</v>
      </c>
      <c r="Q222" s="67" t="e">
        <v>#N/A</v>
      </c>
      <c r="R222" s="68" t="e">
        <v>#N/A</v>
      </c>
      <c r="S222" s="62" t="e">
        <v>#N/A</v>
      </c>
      <c r="T222" s="62" t="e">
        <v>#N/A</v>
      </c>
      <c r="U222" s="63">
        <v>0.0</v>
      </c>
      <c r="V222" s="69" t="e">
        <v>#N/A</v>
      </c>
      <c r="W222" s="70" t="e">
        <v>#N/A</v>
      </c>
      <c r="X222" s="64" t="s">
        <v>6764</v>
      </c>
      <c r="Y222" s="64" t="s">
        <v>6764</v>
      </c>
      <c r="Z222" s="66" t="s">
        <v>6597</v>
      </c>
      <c r="AA222" s="71"/>
    </row>
    <row r="223" ht="15.75" hidden="1" customHeight="1">
      <c r="A223" s="56" t="s">
        <v>6764</v>
      </c>
      <c r="B223" s="56" t="s">
        <v>6764</v>
      </c>
      <c r="C223" s="57"/>
      <c r="D223" s="127" t="s">
        <v>6559</v>
      </c>
      <c r="E223" s="59" t="s">
        <v>6764</v>
      </c>
      <c r="F223" s="60"/>
      <c r="G223" s="61" t="s">
        <v>6764</v>
      </c>
      <c r="H223" s="83"/>
      <c r="I223" s="89" t="e">
        <v>#N/A</v>
      </c>
      <c r="J223" s="65" t="e">
        <v>#N/A</v>
      </c>
      <c r="K223" s="66"/>
      <c r="L223" s="66"/>
      <c r="M223" s="66"/>
      <c r="N223" s="66"/>
      <c r="O223" s="127" t="s">
        <v>6559</v>
      </c>
      <c r="P223" s="59" t="e">
        <v>#N/A</v>
      </c>
      <c r="Q223" s="67" t="e">
        <v>#N/A</v>
      </c>
      <c r="R223" s="68" t="e">
        <v>#N/A</v>
      </c>
      <c r="S223" s="62" t="e">
        <v>#N/A</v>
      </c>
      <c r="T223" s="62" t="e">
        <v>#N/A</v>
      </c>
      <c r="U223" s="63">
        <v>0.0</v>
      </c>
      <c r="V223" s="69" t="e">
        <v>#N/A</v>
      </c>
      <c r="W223" s="70" t="e">
        <v>#N/A</v>
      </c>
      <c r="X223" s="64" t="s">
        <v>6764</v>
      </c>
      <c r="Y223" s="64" t="s">
        <v>6764</v>
      </c>
      <c r="Z223" s="66" t="s">
        <v>6597</v>
      </c>
      <c r="AA223" s="71"/>
    </row>
    <row r="224" ht="15.75" hidden="1" customHeight="1">
      <c r="A224" s="56" t="s">
        <v>6764</v>
      </c>
      <c r="B224" s="56" t="s">
        <v>6764</v>
      </c>
      <c r="C224" s="57"/>
      <c r="D224" s="127" t="s">
        <v>6559</v>
      </c>
      <c r="E224" s="59" t="s">
        <v>6764</v>
      </c>
      <c r="F224" s="60"/>
      <c r="G224" s="61" t="s">
        <v>6764</v>
      </c>
      <c r="H224" s="83"/>
      <c r="I224" s="89" t="e">
        <v>#N/A</v>
      </c>
      <c r="J224" s="65" t="e">
        <v>#N/A</v>
      </c>
      <c r="K224" s="66"/>
      <c r="L224" s="66"/>
      <c r="M224" s="66"/>
      <c r="N224" s="66"/>
      <c r="O224" s="127" t="s">
        <v>6559</v>
      </c>
      <c r="P224" s="59" t="e">
        <v>#N/A</v>
      </c>
      <c r="Q224" s="67" t="e">
        <v>#N/A</v>
      </c>
      <c r="R224" s="68" t="e">
        <v>#N/A</v>
      </c>
      <c r="S224" s="62" t="e">
        <v>#N/A</v>
      </c>
      <c r="T224" s="62" t="e">
        <v>#N/A</v>
      </c>
      <c r="U224" s="63">
        <v>0.0</v>
      </c>
      <c r="V224" s="69" t="e">
        <v>#N/A</v>
      </c>
      <c r="W224" s="70" t="e">
        <v>#N/A</v>
      </c>
      <c r="X224" s="64" t="s">
        <v>6764</v>
      </c>
      <c r="Y224" s="64" t="s">
        <v>6764</v>
      </c>
      <c r="Z224" s="66" t="s">
        <v>6597</v>
      </c>
      <c r="AA224" s="71"/>
    </row>
    <row r="225" ht="15.75" hidden="1" customHeight="1">
      <c r="A225" s="56" t="s">
        <v>6764</v>
      </c>
      <c r="B225" s="56" t="s">
        <v>6764</v>
      </c>
      <c r="C225" s="57"/>
      <c r="D225" s="127" t="s">
        <v>6559</v>
      </c>
      <c r="E225" s="59" t="s">
        <v>6764</v>
      </c>
      <c r="F225" s="60"/>
      <c r="G225" s="61" t="s">
        <v>6764</v>
      </c>
      <c r="H225" s="83"/>
      <c r="I225" s="89" t="e">
        <v>#N/A</v>
      </c>
      <c r="J225" s="65" t="e">
        <v>#N/A</v>
      </c>
      <c r="K225" s="66"/>
      <c r="L225" s="66"/>
      <c r="M225" s="66"/>
      <c r="N225" s="66"/>
      <c r="O225" s="127" t="s">
        <v>6559</v>
      </c>
      <c r="P225" s="59" t="e">
        <v>#N/A</v>
      </c>
      <c r="Q225" s="67" t="e">
        <v>#N/A</v>
      </c>
      <c r="R225" s="68" t="e">
        <v>#N/A</v>
      </c>
      <c r="S225" s="62" t="e">
        <v>#N/A</v>
      </c>
      <c r="T225" s="62" t="e">
        <v>#N/A</v>
      </c>
      <c r="U225" s="63">
        <v>0.0</v>
      </c>
      <c r="V225" s="69" t="e">
        <v>#N/A</v>
      </c>
      <c r="W225" s="70" t="e">
        <v>#N/A</v>
      </c>
      <c r="X225" s="64" t="s">
        <v>6764</v>
      </c>
      <c r="Y225" s="64" t="s">
        <v>6764</v>
      </c>
      <c r="Z225" s="66" t="s">
        <v>6597</v>
      </c>
      <c r="AA225" s="71"/>
    </row>
    <row r="226" ht="15.75" hidden="1" customHeight="1">
      <c r="A226" s="56" t="s">
        <v>6764</v>
      </c>
      <c r="B226" s="56" t="s">
        <v>6764</v>
      </c>
      <c r="C226" s="57"/>
      <c r="D226" s="127" t="s">
        <v>6559</v>
      </c>
      <c r="E226" s="59" t="s">
        <v>6764</v>
      </c>
      <c r="F226" s="60"/>
      <c r="G226" s="61" t="s">
        <v>6764</v>
      </c>
      <c r="H226" s="83"/>
      <c r="I226" s="89" t="e">
        <v>#N/A</v>
      </c>
      <c r="J226" s="65" t="e">
        <v>#N/A</v>
      </c>
      <c r="K226" s="66"/>
      <c r="L226" s="66"/>
      <c r="M226" s="66"/>
      <c r="N226" s="66"/>
      <c r="O226" s="127" t="s">
        <v>6559</v>
      </c>
      <c r="P226" s="59" t="e">
        <v>#N/A</v>
      </c>
      <c r="Q226" s="67" t="e">
        <v>#N/A</v>
      </c>
      <c r="R226" s="68" t="e">
        <v>#N/A</v>
      </c>
      <c r="S226" s="62" t="e">
        <v>#N/A</v>
      </c>
      <c r="T226" s="62" t="e">
        <v>#N/A</v>
      </c>
      <c r="U226" s="63">
        <v>0.0</v>
      </c>
      <c r="V226" s="69" t="e">
        <v>#N/A</v>
      </c>
      <c r="W226" s="70" t="e">
        <v>#N/A</v>
      </c>
      <c r="X226" s="64" t="s">
        <v>6764</v>
      </c>
      <c r="Y226" s="64" t="s">
        <v>6764</v>
      </c>
      <c r="Z226" s="66" t="s">
        <v>6597</v>
      </c>
      <c r="AA226" s="71"/>
    </row>
    <row r="227" ht="15.75" hidden="1" customHeight="1">
      <c r="A227" s="56" t="s">
        <v>6764</v>
      </c>
      <c r="B227" s="56" t="s">
        <v>6764</v>
      </c>
      <c r="C227" s="57"/>
      <c r="D227" s="127" t="s">
        <v>6559</v>
      </c>
      <c r="E227" s="59" t="s">
        <v>6764</v>
      </c>
      <c r="F227" s="60"/>
      <c r="G227" s="61" t="s">
        <v>6764</v>
      </c>
      <c r="H227" s="83"/>
      <c r="I227" s="89" t="e">
        <v>#N/A</v>
      </c>
      <c r="J227" s="65" t="e">
        <v>#N/A</v>
      </c>
      <c r="K227" s="66"/>
      <c r="L227" s="66"/>
      <c r="M227" s="66"/>
      <c r="N227" s="66"/>
      <c r="O227" s="127" t="s">
        <v>6559</v>
      </c>
      <c r="P227" s="59" t="e">
        <v>#N/A</v>
      </c>
      <c r="Q227" s="67" t="e">
        <v>#N/A</v>
      </c>
      <c r="R227" s="68" t="e">
        <v>#N/A</v>
      </c>
      <c r="S227" s="62" t="e">
        <v>#N/A</v>
      </c>
      <c r="T227" s="62" t="e">
        <v>#N/A</v>
      </c>
      <c r="U227" s="63">
        <v>0.0</v>
      </c>
      <c r="V227" s="69" t="e">
        <v>#N/A</v>
      </c>
      <c r="W227" s="70" t="e">
        <v>#N/A</v>
      </c>
      <c r="X227" s="64" t="s">
        <v>6764</v>
      </c>
      <c r="Y227" s="64" t="s">
        <v>6764</v>
      </c>
      <c r="Z227" s="66" t="s">
        <v>6597</v>
      </c>
      <c r="AA227" s="71"/>
    </row>
    <row r="228" ht="15.75" hidden="1" customHeight="1">
      <c r="A228" s="56" t="s">
        <v>6764</v>
      </c>
      <c r="B228" s="56" t="s">
        <v>6764</v>
      </c>
      <c r="C228" s="57"/>
      <c r="D228" s="127" t="s">
        <v>6559</v>
      </c>
      <c r="E228" s="59" t="s">
        <v>6764</v>
      </c>
      <c r="F228" s="60"/>
      <c r="G228" s="61" t="s">
        <v>6764</v>
      </c>
      <c r="H228" s="83"/>
      <c r="I228" s="89" t="e">
        <v>#N/A</v>
      </c>
      <c r="J228" s="65" t="e">
        <v>#N/A</v>
      </c>
      <c r="K228" s="66"/>
      <c r="L228" s="66"/>
      <c r="M228" s="66"/>
      <c r="N228" s="66"/>
      <c r="O228" s="127" t="s">
        <v>6559</v>
      </c>
      <c r="P228" s="59" t="e">
        <v>#N/A</v>
      </c>
      <c r="Q228" s="67" t="e">
        <v>#N/A</v>
      </c>
      <c r="R228" s="68" t="e">
        <v>#N/A</v>
      </c>
      <c r="S228" s="62" t="e">
        <v>#N/A</v>
      </c>
      <c r="T228" s="62" t="e">
        <v>#N/A</v>
      </c>
      <c r="U228" s="63">
        <v>0.0</v>
      </c>
      <c r="V228" s="69" t="e">
        <v>#N/A</v>
      </c>
      <c r="W228" s="70" t="e">
        <v>#N/A</v>
      </c>
      <c r="X228" s="64" t="s">
        <v>6764</v>
      </c>
      <c r="Y228" s="64" t="s">
        <v>6764</v>
      </c>
      <c r="Z228" s="66" t="s">
        <v>6597</v>
      </c>
      <c r="AA228" s="71"/>
    </row>
    <row r="229" ht="15.75" hidden="1" customHeight="1">
      <c r="A229" s="56" t="s">
        <v>6764</v>
      </c>
      <c r="B229" s="56" t="s">
        <v>6764</v>
      </c>
      <c r="C229" s="57"/>
      <c r="D229" s="127" t="s">
        <v>6559</v>
      </c>
      <c r="E229" s="59" t="s">
        <v>6764</v>
      </c>
      <c r="F229" s="60"/>
      <c r="G229" s="61" t="s">
        <v>6764</v>
      </c>
      <c r="H229" s="83"/>
      <c r="I229" s="89" t="e">
        <v>#N/A</v>
      </c>
      <c r="J229" s="65" t="e">
        <v>#N/A</v>
      </c>
      <c r="K229" s="66"/>
      <c r="L229" s="66"/>
      <c r="M229" s="66"/>
      <c r="N229" s="66"/>
      <c r="O229" s="127" t="s">
        <v>6559</v>
      </c>
      <c r="P229" s="59" t="e">
        <v>#N/A</v>
      </c>
      <c r="Q229" s="67" t="e">
        <v>#N/A</v>
      </c>
      <c r="R229" s="68" t="e">
        <v>#N/A</v>
      </c>
      <c r="S229" s="62" t="e">
        <v>#N/A</v>
      </c>
      <c r="T229" s="62" t="e">
        <v>#N/A</v>
      </c>
      <c r="U229" s="63">
        <v>0.0</v>
      </c>
      <c r="V229" s="69" t="e">
        <v>#N/A</v>
      </c>
      <c r="W229" s="70" t="e">
        <v>#N/A</v>
      </c>
      <c r="X229" s="64" t="s">
        <v>6764</v>
      </c>
      <c r="Y229" s="64" t="s">
        <v>6764</v>
      </c>
      <c r="Z229" s="66" t="s">
        <v>6597</v>
      </c>
      <c r="AA229" s="71"/>
    </row>
    <row r="230" ht="15.75" hidden="1" customHeight="1">
      <c r="A230" s="56" t="s">
        <v>6764</v>
      </c>
      <c r="B230" s="56" t="s">
        <v>6764</v>
      </c>
      <c r="C230" s="57"/>
      <c r="D230" s="127" t="s">
        <v>6559</v>
      </c>
      <c r="E230" s="59" t="s">
        <v>6764</v>
      </c>
      <c r="F230" s="60"/>
      <c r="G230" s="61" t="s">
        <v>6764</v>
      </c>
      <c r="H230" s="83"/>
      <c r="I230" s="89" t="e">
        <v>#N/A</v>
      </c>
      <c r="J230" s="65" t="e">
        <v>#N/A</v>
      </c>
      <c r="K230" s="66"/>
      <c r="L230" s="66"/>
      <c r="M230" s="66"/>
      <c r="N230" s="66"/>
      <c r="O230" s="127" t="s">
        <v>6559</v>
      </c>
      <c r="P230" s="59" t="e">
        <v>#N/A</v>
      </c>
      <c r="Q230" s="67" t="e">
        <v>#N/A</v>
      </c>
      <c r="R230" s="68" t="e">
        <v>#N/A</v>
      </c>
      <c r="S230" s="62" t="e">
        <v>#N/A</v>
      </c>
      <c r="T230" s="62" t="e">
        <v>#N/A</v>
      </c>
      <c r="U230" s="63">
        <v>0.0</v>
      </c>
      <c r="V230" s="69" t="e">
        <v>#N/A</v>
      </c>
      <c r="W230" s="70" t="e">
        <v>#N/A</v>
      </c>
      <c r="X230" s="64" t="s">
        <v>6764</v>
      </c>
      <c r="Y230" s="64" t="s">
        <v>6764</v>
      </c>
      <c r="Z230" s="66" t="s">
        <v>6597</v>
      </c>
      <c r="AA230" s="71"/>
    </row>
    <row r="231" ht="15.75" hidden="1" customHeight="1">
      <c r="A231" s="56" t="s">
        <v>6764</v>
      </c>
      <c r="B231" s="56" t="s">
        <v>6764</v>
      </c>
      <c r="C231" s="57"/>
      <c r="D231" s="127" t="s">
        <v>6559</v>
      </c>
      <c r="E231" s="59" t="s">
        <v>6764</v>
      </c>
      <c r="F231" s="60"/>
      <c r="G231" s="61" t="s">
        <v>6764</v>
      </c>
      <c r="H231" s="83"/>
      <c r="I231" s="89" t="e">
        <v>#N/A</v>
      </c>
      <c r="J231" s="65" t="e">
        <v>#N/A</v>
      </c>
      <c r="K231" s="66"/>
      <c r="L231" s="66"/>
      <c r="M231" s="66"/>
      <c r="N231" s="66"/>
      <c r="O231" s="127" t="s">
        <v>6559</v>
      </c>
      <c r="P231" s="59" t="e">
        <v>#N/A</v>
      </c>
      <c r="Q231" s="67" t="e">
        <v>#N/A</v>
      </c>
      <c r="R231" s="68" t="e">
        <v>#N/A</v>
      </c>
      <c r="S231" s="62" t="e">
        <v>#N/A</v>
      </c>
      <c r="T231" s="62" t="e">
        <v>#N/A</v>
      </c>
      <c r="U231" s="63">
        <v>0.0</v>
      </c>
      <c r="V231" s="69" t="e">
        <v>#N/A</v>
      </c>
      <c r="W231" s="70" t="e">
        <v>#N/A</v>
      </c>
      <c r="X231" s="64" t="s">
        <v>6764</v>
      </c>
      <c r="Y231" s="64" t="s">
        <v>6764</v>
      </c>
      <c r="Z231" s="66" t="s">
        <v>6597</v>
      </c>
      <c r="AA231" s="71"/>
    </row>
    <row r="232" ht="15.75" hidden="1" customHeight="1">
      <c r="A232" s="56" t="s">
        <v>6764</v>
      </c>
      <c r="B232" s="56" t="s">
        <v>6764</v>
      </c>
      <c r="C232" s="57"/>
      <c r="D232" s="127" t="s">
        <v>6559</v>
      </c>
      <c r="E232" s="59" t="s">
        <v>6764</v>
      </c>
      <c r="F232" s="60"/>
      <c r="G232" s="61" t="s">
        <v>6764</v>
      </c>
      <c r="H232" s="83"/>
      <c r="I232" s="89" t="e">
        <v>#N/A</v>
      </c>
      <c r="J232" s="65" t="e">
        <v>#N/A</v>
      </c>
      <c r="K232" s="66"/>
      <c r="L232" s="66"/>
      <c r="M232" s="66"/>
      <c r="N232" s="66"/>
      <c r="O232" s="127" t="s">
        <v>6559</v>
      </c>
      <c r="P232" s="59" t="e">
        <v>#N/A</v>
      </c>
      <c r="Q232" s="67" t="e">
        <v>#N/A</v>
      </c>
      <c r="R232" s="68" t="e">
        <v>#N/A</v>
      </c>
      <c r="S232" s="62" t="e">
        <v>#N/A</v>
      </c>
      <c r="T232" s="62" t="e">
        <v>#N/A</v>
      </c>
      <c r="U232" s="63">
        <v>0.0</v>
      </c>
      <c r="V232" s="69" t="e">
        <v>#N/A</v>
      </c>
      <c r="W232" s="70" t="e">
        <v>#N/A</v>
      </c>
      <c r="X232" s="64" t="s">
        <v>6764</v>
      </c>
      <c r="Y232" s="64" t="s">
        <v>6764</v>
      </c>
      <c r="Z232" s="66" t="s">
        <v>6597</v>
      </c>
      <c r="AA232" s="71"/>
    </row>
    <row r="233" ht="15.75" hidden="1" customHeight="1">
      <c r="A233" s="56" t="s">
        <v>6764</v>
      </c>
      <c r="B233" s="56" t="s">
        <v>6764</v>
      </c>
      <c r="C233" s="57"/>
      <c r="D233" s="127" t="s">
        <v>6559</v>
      </c>
      <c r="E233" s="59" t="s">
        <v>6764</v>
      </c>
      <c r="F233" s="60"/>
      <c r="G233" s="61" t="s">
        <v>6764</v>
      </c>
      <c r="H233" s="83"/>
      <c r="I233" s="89" t="e">
        <v>#N/A</v>
      </c>
      <c r="J233" s="65" t="e">
        <v>#N/A</v>
      </c>
      <c r="K233" s="66"/>
      <c r="L233" s="66"/>
      <c r="M233" s="66"/>
      <c r="N233" s="66"/>
      <c r="O233" s="127" t="s">
        <v>6559</v>
      </c>
      <c r="P233" s="59" t="e">
        <v>#N/A</v>
      </c>
      <c r="Q233" s="67" t="e">
        <v>#N/A</v>
      </c>
      <c r="R233" s="68" t="e">
        <v>#N/A</v>
      </c>
      <c r="S233" s="62" t="e">
        <v>#N/A</v>
      </c>
      <c r="T233" s="62" t="e">
        <v>#N/A</v>
      </c>
      <c r="U233" s="63">
        <v>0.0</v>
      </c>
      <c r="V233" s="69" t="e">
        <v>#N/A</v>
      </c>
      <c r="W233" s="70" t="e">
        <v>#N/A</v>
      </c>
      <c r="X233" s="64" t="s">
        <v>6764</v>
      </c>
      <c r="Y233" s="64" t="s">
        <v>6764</v>
      </c>
      <c r="Z233" s="66" t="s">
        <v>6597</v>
      </c>
      <c r="AA233" s="71"/>
    </row>
    <row r="234" ht="15.75" hidden="1" customHeight="1">
      <c r="A234" s="56" t="s">
        <v>6764</v>
      </c>
      <c r="B234" s="56" t="s">
        <v>6764</v>
      </c>
      <c r="C234" s="57"/>
      <c r="D234" s="127" t="s">
        <v>6559</v>
      </c>
      <c r="E234" s="59" t="s">
        <v>6764</v>
      </c>
      <c r="F234" s="60"/>
      <c r="G234" s="61" t="s">
        <v>6764</v>
      </c>
      <c r="H234" s="83"/>
      <c r="I234" s="89" t="e">
        <v>#N/A</v>
      </c>
      <c r="J234" s="65" t="e">
        <v>#N/A</v>
      </c>
      <c r="K234" s="66"/>
      <c r="L234" s="66"/>
      <c r="M234" s="66"/>
      <c r="N234" s="66"/>
      <c r="O234" s="127" t="s">
        <v>6559</v>
      </c>
      <c r="P234" s="59" t="e">
        <v>#N/A</v>
      </c>
      <c r="Q234" s="67" t="e">
        <v>#N/A</v>
      </c>
      <c r="R234" s="68" t="e">
        <v>#N/A</v>
      </c>
      <c r="S234" s="62" t="e">
        <v>#N/A</v>
      </c>
      <c r="T234" s="62" t="e">
        <v>#N/A</v>
      </c>
      <c r="U234" s="63">
        <v>0.0</v>
      </c>
      <c r="V234" s="69" t="e">
        <v>#N/A</v>
      </c>
      <c r="W234" s="70" t="e">
        <v>#N/A</v>
      </c>
      <c r="X234" s="64" t="s">
        <v>6764</v>
      </c>
      <c r="Y234" s="64" t="s">
        <v>6764</v>
      </c>
      <c r="Z234" s="66" t="s">
        <v>6597</v>
      </c>
      <c r="AA234" s="71"/>
    </row>
    <row r="235" ht="15.75" hidden="1" customHeight="1">
      <c r="A235" s="56" t="s">
        <v>6764</v>
      </c>
      <c r="B235" s="56" t="s">
        <v>6764</v>
      </c>
      <c r="C235" s="57"/>
      <c r="D235" s="127" t="s">
        <v>6559</v>
      </c>
      <c r="E235" s="59" t="s">
        <v>6764</v>
      </c>
      <c r="F235" s="60"/>
      <c r="G235" s="61" t="s">
        <v>6764</v>
      </c>
      <c r="H235" s="83"/>
      <c r="I235" s="89" t="e">
        <v>#N/A</v>
      </c>
      <c r="J235" s="65" t="e">
        <v>#N/A</v>
      </c>
      <c r="K235" s="66"/>
      <c r="L235" s="66"/>
      <c r="M235" s="66"/>
      <c r="N235" s="66"/>
      <c r="O235" s="127" t="s">
        <v>6559</v>
      </c>
      <c r="P235" s="59" t="e">
        <v>#N/A</v>
      </c>
      <c r="Q235" s="67" t="e">
        <v>#N/A</v>
      </c>
      <c r="R235" s="68" t="e">
        <v>#N/A</v>
      </c>
      <c r="S235" s="62" t="e">
        <v>#N/A</v>
      </c>
      <c r="T235" s="62" t="e">
        <v>#N/A</v>
      </c>
      <c r="U235" s="63">
        <v>0.0</v>
      </c>
      <c r="V235" s="69" t="e">
        <v>#N/A</v>
      </c>
      <c r="W235" s="70" t="e">
        <v>#N/A</v>
      </c>
      <c r="X235" s="64" t="s">
        <v>6764</v>
      </c>
      <c r="Y235" s="64" t="s">
        <v>6764</v>
      </c>
      <c r="Z235" s="66" t="s">
        <v>6597</v>
      </c>
      <c r="AA235" s="71"/>
    </row>
    <row r="236" ht="15.75" hidden="1" customHeight="1">
      <c r="A236" s="56" t="s">
        <v>6764</v>
      </c>
      <c r="B236" s="56" t="s">
        <v>6764</v>
      </c>
      <c r="C236" s="57"/>
      <c r="D236" s="127" t="s">
        <v>6559</v>
      </c>
      <c r="E236" s="59" t="s">
        <v>6764</v>
      </c>
      <c r="F236" s="60"/>
      <c r="G236" s="61" t="s">
        <v>6764</v>
      </c>
      <c r="H236" s="83"/>
      <c r="I236" s="89" t="e">
        <v>#N/A</v>
      </c>
      <c r="J236" s="65" t="e">
        <v>#N/A</v>
      </c>
      <c r="K236" s="66"/>
      <c r="L236" s="66"/>
      <c r="M236" s="66"/>
      <c r="N236" s="66"/>
      <c r="O236" s="127" t="s">
        <v>6559</v>
      </c>
      <c r="P236" s="59" t="e">
        <v>#N/A</v>
      </c>
      <c r="Q236" s="67" t="e">
        <v>#N/A</v>
      </c>
      <c r="R236" s="68" t="e">
        <v>#N/A</v>
      </c>
      <c r="S236" s="62" t="e">
        <v>#N/A</v>
      </c>
      <c r="T236" s="62" t="e">
        <v>#N/A</v>
      </c>
      <c r="U236" s="63">
        <v>0.0</v>
      </c>
      <c r="V236" s="69" t="e">
        <v>#N/A</v>
      </c>
      <c r="W236" s="70" t="e">
        <v>#N/A</v>
      </c>
      <c r="X236" s="64" t="s">
        <v>6764</v>
      </c>
      <c r="Y236" s="64" t="s">
        <v>6764</v>
      </c>
      <c r="Z236" s="66" t="s">
        <v>6597</v>
      </c>
      <c r="AA236" s="71"/>
    </row>
    <row r="237" ht="15.75" hidden="1" customHeight="1">
      <c r="A237" s="56" t="s">
        <v>6764</v>
      </c>
      <c r="B237" s="56" t="s">
        <v>6764</v>
      </c>
      <c r="C237" s="57"/>
      <c r="D237" s="127" t="s">
        <v>6559</v>
      </c>
      <c r="E237" s="59" t="s">
        <v>6764</v>
      </c>
      <c r="F237" s="60"/>
      <c r="G237" s="61" t="s">
        <v>6764</v>
      </c>
      <c r="H237" s="83"/>
      <c r="I237" s="89" t="e">
        <v>#N/A</v>
      </c>
      <c r="J237" s="65" t="e">
        <v>#N/A</v>
      </c>
      <c r="K237" s="66"/>
      <c r="L237" s="66"/>
      <c r="M237" s="66"/>
      <c r="N237" s="66"/>
      <c r="O237" s="127" t="s">
        <v>6559</v>
      </c>
      <c r="P237" s="59" t="e">
        <v>#N/A</v>
      </c>
      <c r="Q237" s="67" t="e">
        <v>#N/A</v>
      </c>
      <c r="R237" s="68" t="e">
        <v>#N/A</v>
      </c>
      <c r="S237" s="62" t="e">
        <v>#N/A</v>
      </c>
      <c r="T237" s="62" t="e">
        <v>#N/A</v>
      </c>
      <c r="U237" s="63">
        <v>0.0</v>
      </c>
      <c r="V237" s="69" t="e">
        <v>#N/A</v>
      </c>
      <c r="W237" s="70" t="e">
        <v>#N/A</v>
      </c>
      <c r="X237" s="64" t="s">
        <v>6764</v>
      </c>
      <c r="Y237" s="64" t="s">
        <v>6764</v>
      </c>
      <c r="Z237" s="66" t="s">
        <v>6597</v>
      </c>
      <c r="AA237" s="71"/>
    </row>
    <row r="238" ht="15.75" hidden="1" customHeight="1">
      <c r="A238" s="56" t="s">
        <v>6764</v>
      </c>
      <c r="B238" s="56" t="s">
        <v>6764</v>
      </c>
      <c r="C238" s="57"/>
      <c r="D238" s="127" t="s">
        <v>6559</v>
      </c>
      <c r="E238" s="59" t="s">
        <v>6764</v>
      </c>
      <c r="F238" s="60"/>
      <c r="G238" s="61" t="s">
        <v>6764</v>
      </c>
      <c r="H238" s="83"/>
      <c r="I238" s="89" t="e">
        <v>#N/A</v>
      </c>
      <c r="J238" s="65" t="e">
        <v>#N/A</v>
      </c>
      <c r="K238" s="66"/>
      <c r="L238" s="66"/>
      <c r="M238" s="66"/>
      <c r="N238" s="66"/>
      <c r="O238" s="127" t="s">
        <v>6559</v>
      </c>
      <c r="P238" s="59" t="e">
        <v>#N/A</v>
      </c>
      <c r="Q238" s="67" t="e">
        <v>#N/A</v>
      </c>
      <c r="R238" s="68" t="e">
        <v>#N/A</v>
      </c>
      <c r="S238" s="62" t="e">
        <v>#N/A</v>
      </c>
      <c r="T238" s="62" t="e">
        <v>#N/A</v>
      </c>
      <c r="U238" s="63">
        <v>0.0</v>
      </c>
      <c r="V238" s="69" t="e">
        <v>#N/A</v>
      </c>
      <c r="W238" s="70" t="e">
        <v>#N/A</v>
      </c>
      <c r="X238" s="64" t="s">
        <v>6764</v>
      </c>
      <c r="Y238" s="64" t="s">
        <v>6764</v>
      </c>
      <c r="Z238" s="66" t="s">
        <v>6597</v>
      </c>
      <c r="AA238" s="71"/>
    </row>
    <row r="239" ht="15.75" hidden="1" customHeight="1">
      <c r="A239" s="56" t="s">
        <v>6764</v>
      </c>
      <c r="B239" s="56" t="s">
        <v>6764</v>
      </c>
      <c r="C239" s="57"/>
      <c r="D239" s="127" t="s">
        <v>6559</v>
      </c>
      <c r="E239" s="59" t="s">
        <v>6764</v>
      </c>
      <c r="F239" s="60"/>
      <c r="G239" s="61" t="s">
        <v>6764</v>
      </c>
      <c r="H239" s="83"/>
      <c r="I239" s="89" t="e">
        <v>#N/A</v>
      </c>
      <c r="J239" s="65" t="e">
        <v>#N/A</v>
      </c>
      <c r="K239" s="66"/>
      <c r="L239" s="66"/>
      <c r="M239" s="66"/>
      <c r="N239" s="66"/>
      <c r="O239" s="127" t="s">
        <v>6559</v>
      </c>
      <c r="P239" s="59" t="e">
        <v>#N/A</v>
      </c>
      <c r="Q239" s="67" t="e">
        <v>#N/A</v>
      </c>
      <c r="R239" s="68" t="e">
        <v>#N/A</v>
      </c>
      <c r="S239" s="62" t="e">
        <v>#N/A</v>
      </c>
      <c r="T239" s="62" t="e">
        <v>#N/A</v>
      </c>
      <c r="U239" s="63">
        <v>0.0</v>
      </c>
      <c r="V239" s="69" t="e">
        <v>#N/A</v>
      </c>
      <c r="W239" s="70" t="e">
        <v>#N/A</v>
      </c>
      <c r="X239" s="64" t="s">
        <v>6764</v>
      </c>
      <c r="Y239" s="64" t="s">
        <v>6764</v>
      </c>
      <c r="Z239" s="66" t="s">
        <v>6597</v>
      </c>
      <c r="AA239" s="71"/>
    </row>
    <row r="240" ht="15.75" hidden="1" customHeight="1">
      <c r="A240" s="56" t="s">
        <v>6764</v>
      </c>
      <c r="B240" s="56" t="s">
        <v>6764</v>
      </c>
      <c r="C240" s="57"/>
      <c r="D240" s="127" t="s">
        <v>6559</v>
      </c>
      <c r="E240" s="59" t="s">
        <v>6764</v>
      </c>
      <c r="F240" s="60"/>
      <c r="G240" s="61" t="s">
        <v>6764</v>
      </c>
      <c r="H240" s="83"/>
      <c r="I240" s="89" t="e">
        <v>#N/A</v>
      </c>
      <c r="J240" s="65" t="e">
        <v>#N/A</v>
      </c>
      <c r="K240" s="66"/>
      <c r="L240" s="66"/>
      <c r="M240" s="66"/>
      <c r="N240" s="66"/>
      <c r="O240" s="127" t="s">
        <v>6559</v>
      </c>
      <c r="P240" s="59" t="e">
        <v>#N/A</v>
      </c>
      <c r="Q240" s="67" t="e">
        <v>#N/A</v>
      </c>
      <c r="R240" s="68" t="e">
        <v>#N/A</v>
      </c>
      <c r="S240" s="62" t="e">
        <v>#N/A</v>
      </c>
      <c r="T240" s="62" t="e">
        <v>#N/A</v>
      </c>
      <c r="U240" s="63">
        <v>0.0</v>
      </c>
      <c r="V240" s="69" t="e">
        <v>#N/A</v>
      </c>
      <c r="W240" s="70" t="e">
        <v>#N/A</v>
      </c>
      <c r="X240" s="64" t="s">
        <v>6764</v>
      </c>
      <c r="Y240" s="64" t="s">
        <v>6764</v>
      </c>
      <c r="Z240" s="66" t="s">
        <v>6597</v>
      </c>
      <c r="AA240" s="71"/>
    </row>
    <row r="241" ht="15.75" hidden="1" customHeight="1">
      <c r="A241" s="56" t="s">
        <v>6764</v>
      </c>
      <c r="B241" s="56" t="s">
        <v>6764</v>
      </c>
      <c r="C241" s="57"/>
      <c r="D241" s="127" t="s">
        <v>6559</v>
      </c>
      <c r="E241" s="59" t="s">
        <v>6764</v>
      </c>
      <c r="F241" s="60"/>
      <c r="G241" s="61" t="s">
        <v>6764</v>
      </c>
      <c r="H241" s="83"/>
      <c r="I241" s="89" t="e">
        <v>#N/A</v>
      </c>
      <c r="J241" s="65" t="e">
        <v>#N/A</v>
      </c>
      <c r="K241" s="66"/>
      <c r="L241" s="66"/>
      <c r="M241" s="66"/>
      <c r="N241" s="66"/>
      <c r="O241" s="127" t="s">
        <v>6559</v>
      </c>
      <c r="P241" s="59" t="e">
        <v>#N/A</v>
      </c>
      <c r="Q241" s="67" t="e">
        <v>#N/A</v>
      </c>
      <c r="R241" s="68" t="e">
        <v>#N/A</v>
      </c>
      <c r="S241" s="62" t="e">
        <v>#N/A</v>
      </c>
      <c r="T241" s="62" t="e">
        <v>#N/A</v>
      </c>
      <c r="U241" s="63">
        <v>0.0</v>
      </c>
      <c r="V241" s="69" t="e">
        <v>#N/A</v>
      </c>
      <c r="W241" s="70" t="e">
        <v>#N/A</v>
      </c>
      <c r="X241" s="64" t="s">
        <v>6764</v>
      </c>
      <c r="Y241" s="64" t="s">
        <v>6764</v>
      </c>
      <c r="Z241" s="66" t="s">
        <v>6597</v>
      </c>
      <c r="AA241" s="71"/>
    </row>
    <row r="242" ht="15.75" hidden="1" customHeight="1">
      <c r="A242" s="56" t="s">
        <v>6764</v>
      </c>
      <c r="B242" s="56" t="s">
        <v>6764</v>
      </c>
      <c r="C242" s="57"/>
      <c r="D242" s="127" t="s">
        <v>6559</v>
      </c>
      <c r="E242" s="59" t="s">
        <v>6764</v>
      </c>
      <c r="F242" s="60"/>
      <c r="G242" s="61" t="s">
        <v>6764</v>
      </c>
      <c r="H242" s="83"/>
      <c r="I242" s="89" t="e">
        <v>#N/A</v>
      </c>
      <c r="J242" s="65" t="e">
        <v>#N/A</v>
      </c>
      <c r="K242" s="66"/>
      <c r="L242" s="66"/>
      <c r="M242" s="66"/>
      <c r="N242" s="66"/>
      <c r="O242" s="127" t="s">
        <v>6559</v>
      </c>
      <c r="P242" s="59" t="e">
        <v>#N/A</v>
      </c>
      <c r="Q242" s="67" t="e">
        <v>#N/A</v>
      </c>
      <c r="R242" s="68" t="e">
        <v>#N/A</v>
      </c>
      <c r="S242" s="62" t="e">
        <v>#N/A</v>
      </c>
      <c r="T242" s="62" t="e">
        <v>#N/A</v>
      </c>
      <c r="U242" s="63">
        <v>0.0</v>
      </c>
      <c r="V242" s="69" t="e">
        <v>#N/A</v>
      </c>
      <c r="W242" s="70" t="e">
        <v>#N/A</v>
      </c>
      <c r="X242" s="64" t="s">
        <v>6764</v>
      </c>
      <c r="Y242" s="64" t="s">
        <v>6764</v>
      </c>
      <c r="Z242" s="66" t="s">
        <v>6597</v>
      </c>
      <c r="AA242" s="71"/>
    </row>
    <row r="243" ht="15.75" hidden="1" customHeight="1">
      <c r="A243" s="56" t="s">
        <v>6764</v>
      </c>
      <c r="B243" s="56" t="s">
        <v>6764</v>
      </c>
      <c r="C243" s="57"/>
      <c r="D243" s="127" t="s">
        <v>6559</v>
      </c>
      <c r="E243" s="59" t="s">
        <v>6764</v>
      </c>
      <c r="F243" s="60"/>
      <c r="G243" s="61" t="s">
        <v>6764</v>
      </c>
      <c r="H243" s="83"/>
      <c r="I243" s="89" t="e">
        <v>#N/A</v>
      </c>
      <c r="J243" s="65" t="e">
        <v>#N/A</v>
      </c>
      <c r="K243" s="66"/>
      <c r="L243" s="66"/>
      <c r="M243" s="66"/>
      <c r="N243" s="66"/>
      <c r="O243" s="127" t="s">
        <v>6559</v>
      </c>
      <c r="P243" s="59" t="e">
        <v>#N/A</v>
      </c>
      <c r="Q243" s="67" t="e">
        <v>#N/A</v>
      </c>
      <c r="R243" s="68" t="e">
        <v>#N/A</v>
      </c>
      <c r="S243" s="62" t="e">
        <v>#N/A</v>
      </c>
      <c r="T243" s="62" t="e">
        <v>#N/A</v>
      </c>
      <c r="U243" s="63">
        <v>0.0</v>
      </c>
      <c r="V243" s="69" t="e">
        <v>#N/A</v>
      </c>
      <c r="W243" s="70" t="e">
        <v>#N/A</v>
      </c>
      <c r="X243" s="64" t="s">
        <v>6764</v>
      </c>
      <c r="Y243" s="64" t="s">
        <v>6764</v>
      </c>
      <c r="Z243" s="66" t="s">
        <v>6597</v>
      </c>
      <c r="AA243" s="71"/>
    </row>
    <row r="244" ht="15.75" hidden="1" customHeight="1">
      <c r="A244" s="56" t="s">
        <v>6764</v>
      </c>
      <c r="B244" s="56" t="s">
        <v>6764</v>
      </c>
      <c r="C244" s="57"/>
      <c r="D244" s="127" t="s">
        <v>6559</v>
      </c>
      <c r="E244" s="59" t="s">
        <v>6764</v>
      </c>
      <c r="F244" s="60"/>
      <c r="G244" s="61" t="s">
        <v>6764</v>
      </c>
      <c r="H244" s="83"/>
      <c r="I244" s="89" t="e">
        <v>#N/A</v>
      </c>
      <c r="J244" s="65" t="e">
        <v>#N/A</v>
      </c>
      <c r="K244" s="66"/>
      <c r="L244" s="66"/>
      <c r="M244" s="66"/>
      <c r="N244" s="66"/>
      <c r="O244" s="127" t="s">
        <v>6559</v>
      </c>
      <c r="P244" s="59" t="e">
        <v>#N/A</v>
      </c>
      <c r="Q244" s="67" t="e">
        <v>#N/A</v>
      </c>
      <c r="R244" s="68" t="e">
        <v>#N/A</v>
      </c>
      <c r="S244" s="62" t="e">
        <v>#N/A</v>
      </c>
      <c r="T244" s="62" t="e">
        <v>#N/A</v>
      </c>
      <c r="U244" s="63">
        <v>0.0</v>
      </c>
      <c r="V244" s="69" t="e">
        <v>#N/A</v>
      </c>
      <c r="W244" s="70" t="e">
        <v>#N/A</v>
      </c>
      <c r="X244" s="64" t="s">
        <v>6764</v>
      </c>
      <c r="Y244" s="64" t="s">
        <v>6764</v>
      </c>
      <c r="Z244" s="66" t="s">
        <v>6597</v>
      </c>
      <c r="AA244" s="71"/>
    </row>
    <row r="245" ht="15.75" hidden="1" customHeight="1">
      <c r="A245" s="56" t="s">
        <v>6764</v>
      </c>
      <c r="B245" s="56" t="s">
        <v>6764</v>
      </c>
      <c r="C245" s="57"/>
      <c r="D245" s="127" t="s">
        <v>6559</v>
      </c>
      <c r="E245" s="59" t="s">
        <v>6764</v>
      </c>
      <c r="F245" s="60"/>
      <c r="G245" s="61" t="s">
        <v>6764</v>
      </c>
      <c r="H245" s="83"/>
      <c r="I245" s="89" t="e">
        <v>#N/A</v>
      </c>
      <c r="J245" s="65" t="e">
        <v>#N/A</v>
      </c>
      <c r="K245" s="66"/>
      <c r="L245" s="66"/>
      <c r="M245" s="66"/>
      <c r="N245" s="66"/>
      <c r="O245" s="127" t="s">
        <v>6559</v>
      </c>
      <c r="P245" s="59" t="e">
        <v>#N/A</v>
      </c>
      <c r="Q245" s="67" t="e">
        <v>#N/A</v>
      </c>
      <c r="R245" s="68" t="e">
        <v>#N/A</v>
      </c>
      <c r="S245" s="62" t="e">
        <v>#N/A</v>
      </c>
      <c r="T245" s="62" t="e">
        <v>#N/A</v>
      </c>
      <c r="U245" s="63">
        <v>0.0</v>
      </c>
      <c r="V245" s="69" t="e">
        <v>#N/A</v>
      </c>
      <c r="W245" s="70" t="e">
        <v>#N/A</v>
      </c>
      <c r="X245" s="64" t="s">
        <v>6764</v>
      </c>
      <c r="Y245" s="64" t="s">
        <v>6764</v>
      </c>
      <c r="Z245" s="66" t="s">
        <v>6597</v>
      </c>
      <c r="AA245" s="71"/>
    </row>
    <row r="246" ht="15.75" hidden="1" customHeight="1">
      <c r="A246" s="56" t="s">
        <v>6764</v>
      </c>
      <c r="B246" s="56" t="s">
        <v>6764</v>
      </c>
      <c r="C246" s="57"/>
      <c r="D246" s="127" t="s">
        <v>6559</v>
      </c>
      <c r="E246" s="59" t="s">
        <v>6764</v>
      </c>
      <c r="F246" s="60"/>
      <c r="G246" s="61" t="s">
        <v>6764</v>
      </c>
      <c r="H246" s="83"/>
      <c r="I246" s="89" t="e">
        <v>#N/A</v>
      </c>
      <c r="J246" s="65" t="e">
        <v>#N/A</v>
      </c>
      <c r="K246" s="66"/>
      <c r="L246" s="66"/>
      <c r="M246" s="66"/>
      <c r="N246" s="66"/>
      <c r="O246" s="127" t="s">
        <v>6559</v>
      </c>
      <c r="P246" s="59" t="e">
        <v>#N/A</v>
      </c>
      <c r="Q246" s="67" t="e">
        <v>#N/A</v>
      </c>
      <c r="R246" s="68" t="e">
        <v>#N/A</v>
      </c>
      <c r="S246" s="62" t="e">
        <v>#N/A</v>
      </c>
      <c r="T246" s="62" t="e">
        <v>#N/A</v>
      </c>
      <c r="U246" s="63">
        <v>0.0</v>
      </c>
      <c r="V246" s="69" t="e">
        <v>#N/A</v>
      </c>
      <c r="W246" s="70" t="e">
        <v>#N/A</v>
      </c>
      <c r="X246" s="64" t="s">
        <v>6764</v>
      </c>
      <c r="Y246" s="64" t="s">
        <v>6764</v>
      </c>
      <c r="Z246" s="66" t="s">
        <v>6597</v>
      </c>
      <c r="AA246" s="71"/>
    </row>
    <row r="247" ht="15.75" hidden="1" customHeight="1">
      <c r="A247" s="56" t="s">
        <v>6764</v>
      </c>
      <c r="B247" s="56" t="s">
        <v>6764</v>
      </c>
      <c r="C247" s="57"/>
      <c r="D247" s="127" t="s">
        <v>6559</v>
      </c>
      <c r="E247" s="59" t="s">
        <v>6764</v>
      </c>
      <c r="F247" s="60"/>
      <c r="G247" s="61" t="s">
        <v>6764</v>
      </c>
      <c r="H247" s="83"/>
      <c r="I247" s="89" t="e">
        <v>#N/A</v>
      </c>
      <c r="J247" s="65" t="e">
        <v>#N/A</v>
      </c>
      <c r="K247" s="66"/>
      <c r="L247" s="66"/>
      <c r="M247" s="66"/>
      <c r="N247" s="66"/>
      <c r="O247" s="127" t="s">
        <v>6559</v>
      </c>
      <c r="P247" s="59" t="e">
        <v>#N/A</v>
      </c>
      <c r="Q247" s="67" t="e">
        <v>#N/A</v>
      </c>
      <c r="R247" s="68" t="e">
        <v>#N/A</v>
      </c>
      <c r="S247" s="62" t="e">
        <v>#N/A</v>
      </c>
      <c r="T247" s="62" t="e">
        <v>#N/A</v>
      </c>
      <c r="U247" s="63">
        <v>0.0</v>
      </c>
      <c r="V247" s="69" t="e">
        <v>#N/A</v>
      </c>
      <c r="W247" s="70" t="e">
        <v>#N/A</v>
      </c>
      <c r="X247" s="64" t="s">
        <v>6764</v>
      </c>
      <c r="Y247" s="64" t="s">
        <v>6764</v>
      </c>
      <c r="Z247" s="66" t="s">
        <v>6597</v>
      </c>
      <c r="AA247" s="71"/>
    </row>
    <row r="248" ht="15.75" hidden="1" customHeight="1">
      <c r="A248" s="56" t="s">
        <v>6764</v>
      </c>
      <c r="B248" s="56" t="s">
        <v>6764</v>
      </c>
      <c r="C248" s="57"/>
      <c r="D248" s="127" t="s">
        <v>6559</v>
      </c>
      <c r="E248" s="59" t="s">
        <v>6764</v>
      </c>
      <c r="F248" s="60"/>
      <c r="G248" s="61" t="s">
        <v>6764</v>
      </c>
      <c r="H248" s="83"/>
      <c r="I248" s="89" t="e">
        <v>#N/A</v>
      </c>
      <c r="J248" s="65" t="e">
        <v>#N/A</v>
      </c>
      <c r="K248" s="66"/>
      <c r="L248" s="66"/>
      <c r="M248" s="66"/>
      <c r="N248" s="66"/>
      <c r="O248" s="127" t="s">
        <v>6559</v>
      </c>
      <c r="P248" s="59" t="e">
        <v>#N/A</v>
      </c>
      <c r="Q248" s="67" t="e">
        <v>#N/A</v>
      </c>
      <c r="R248" s="68" t="e">
        <v>#N/A</v>
      </c>
      <c r="S248" s="62" t="e">
        <v>#N/A</v>
      </c>
      <c r="T248" s="62" t="e">
        <v>#N/A</v>
      </c>
      <c r="U248" s="63">
        <v>0.0</v>
      </c>
      <c r="V248" s="69" t="e">
        <v>#N/A</v>
      </c>
      <c r="W248" s="70" t="e">
        <v>#N/A</v>
      </c>
      <c r="X248" s="64" t="s">
        <v>6764</v>
      </c>
      <c r="Y248" s="64" t="s">
        <v>6764</v>
      </c>
      <c r="Z248" s="66" t="s">
        <v>6597</v>
      </c>
      <c r="AA248" s="71"/>
    </row>
    <row r="249" ht="15.75" hidden="1" customHeight="1">
      <c r="A249" s="56" t="s">
        <v>6764</v>
      </c>
      <c r="B249" s="56" t="s">
        <v>6764</v>
      </c>
      <c r="C249" s="57"/>
      <c r="D249" s="127" t="s">
        <v>6559</v>
      </c>
      <c r="E249" s="59" t="s">
        <v>6764</v>
      </c>
      <c r="F249" s="60"/>
      <c r="G249" s="61" t="s">
        <v>6764</v>
      </c>
      <c r="H249" s="83"/>
      <c r="I249" s="89" t="e">
        <v>#N/A</v>
      </c>
      <c r="J249" s="65" t="e">
        <v>#N/A</v>
      </c>
      <c r="K249" s="66"/>
      <c r="L249" s="66"/>
      <c r="M249" s="66"/>
      <c r="N249" s="66"/>
      <c r="O249" s="127" t="s">
        <v>6559</v>
      </c>
      <c r="P249" s="59" t="e">
        <v>#N/A</v>
      </c>
      <c r="Q249" s="67" t="e">
        <v>#N/A</v>
      </c>
      <c r="R249" s="68" t="e">
        <v>#N/A</v>
      </c>
      <c r="S249" s="62" t="e">
        <v>#N/A</v>
      </c>
      <c r="T249" s="62" t="e">
        <v>#N/A</v>
      </c>
      <c r="U249" s="63">
        <v>0.0</v>
      </c>
      <c r="V249" s="69" t="e">
        <v>#N/A</v>
      </c>
      <c r="W249" s="70" t="e">
        <v>#N/A</v>
      </c>
      <c r="X249" s="64" t="s">
        <v>6764</v>
      </c>
      <c r="Y249" s="64" t="s">
        <v>6764</v>
      </c>
      <c r="Z249" s="66" t="s">
        <v>6597</v>
      </c>
      <c r="AA249" s="71"/>
    </row>
    <row r="250" ht="15.75" hidden="1" customHeight="1">
      <c r="A250" s="56" t="s">
        <v>6764</v>
      </c>
      <c r="B250" s="56" t="s">
        <v>6764</v>
      </c>
      <c r="C250" s="57"/>
      <c r="D250" s="127" t="s">
        <v>6559</v>
      </c>
      <c r="E250" s="59" t="s">
        <v>6764</v>
      </c>
      <c r="F250" s="60"/>
      <c r="G250" s="61" t="s">
        <v>6764</v>
      </c>
      <c r="H250" s="83"/>
      <c r="I250" s="89" t="e">
        <v>#N/A</v>
      </c>
      <c r="J250" s="65" t="e">
        <v>#N/A</v>
      </c>
      <c r="K250" s="66"/>
      <c r="L250" s="66"/>
      <c r="M250" s="66"/>
      <c r="N250" s="66"/>
      <c r="O250" s="127" t="s">
        <v>6559</v>
      </c>
      <c r="P250" s="59" t="e">
        <v>#N/A</v>
      </c>
      <c r="Q250" s="67" t="e">
        <v>#N/A</v>
      </c>
      <c r="R250" s="68" t="e">
        <v>#N/A</v>
      </c>
      <c r="S250" s="62" t="e">
        <v>#N/A</v>
      </c>
      <c r="T250" s="62" t="e">
        <v>#N/A</v>
      </c>
      <c r="U250" s="63">
        <v>0.0</v>
      </c>
      <c r="V250" s="69" t="e">
        <v>#N/A</v>
      </c>
      <c r="W250" s="70" t="e">
        <v>#N/A</v>
      </c>
      <c r="X250" s="64" t="s">
        <v>6764</v>
      </c>
      <c r="Y250" s="64" t="s">
        <v>6764</v>
      </c>
      <c r="Z250" s="66" t="s">
        <v>6597</v>
      </c>
      <c r="AA250" s="71"/>
    </row>
    <row r="251" ht="15.75" hidden="1" customHeight="1">
      <c r="A251" s="56" t="s">
        <v>6764</v>
      </c>
      <c r="B251" s="56" t="s">
        <v>6764</v>
      </c>
      <c r="C251" s="57"/>
      <c r="D251" s="127" t="s">
        <v>6559</v>
      </c>
      <c r="E251" s="59" t="s">
        <v>6764</v>
      </c>
      <c r="F251" s="60"/>
      <c r="G251" s="61" t="s">
        <v>6764</v>
      </c>
      <c r="H251" s="83"/>
      <c r="I251" s="89" t="e">
        <v>#N/A</v>
      </c>
      <c r="J251" s="65" t="e">
        <v>#N/A</v>
      </c>
      <c r="K251" s="66"/>
      <c r="L251" s="66"/>
      <c r="M251" s="66"/>
      <c r="N251" s="66"/>
      <c r="O251" s="127" t="s">
        <v>6559</v>
      </c>
      <c r="P251" s="59" t="e">
        <v>#N/A</v>
      </c>
      <c r="Q251" s="67" t="e">
        <v>#N/A</v>
      </c>
      <c r="R251" s="68" t="e">
        <v>#N/A</v>
      </c>
      <c r="S251" s="62" t="e">
        <v>#N/A</v>
      </c>
      <c r="T251" s="62" t="e">
        <v>#N/A</v>
      </c>
      <c r="U251" s="63">
        <v>0.0</v>
      </c>
      <c r="V251" s="69" t="e">
        <v>#N/A</v>
      </c>
      <c r="W251" s="70" t="e">
        <v>#N/A</v>
      </c>
      <c r="X251" s="64" t="s">
        <v>6764</v>
      </c>
      <c r="Y251" s="64" t="s">
        <v>6764</v>
      </c>
      <c r="Z251" s="66" t="s">
        <v>6597</v>
      </c>
      <c r="AA251" s="71"/>
    </row>
    <row r="252" ht="15.75" hidden="1" customHeight="1">
      <c r="A252" s="56" t="s">
        <v>6764</v>
      </c>
      <c r="B252" s="56" t="s">
        <v>6764</v>
      </c>
      <c r="C252" s="57"/>
      <c r="D252" s="127" t="s">
        <v>6559</v>
      </c>
      <c r="E252" s="59" t="s">
        <v>6764</v>
      </c>
      <c r="F252" s="60"/>
      <c r="G252" s="61" t="s">
        <v>6764</v>
      </c>
      <c r="H252" s="83"/>
      <c r="I252" s="89" t="e">
        <v>#N/A</v>
      </c>
      <c r="J252" s="65" t="e">
        <v>#N/A</v>
      </c>
      <c r="K252" s="66"/>
      <c r="L252" s="66"/>
      <c r="M252" s="66"/>
      <c r="N252" s="66"/>
      <c r="O252" s="127" t="s">
        <v>6559</v>
      </c>
      <c r="P252" s="59" t="e">
        <v>#N/A</v>
      </c>
      <c r="Q252" s="67" t="e">
        <v>#N/A</v>
      </c>
      <c r="R252" s="68" t="e">
        <v>#N/A</v>
      </c>
      <c r="S252" s="62" t="e">
        <v>#N/A</v>
      </c>
      <c r="T252" s="62" t="e">
        <v>#N/A</v>
      </c>
      <c r="U252" s="63">
        <v>0.0</v>
      </c>
      <c r="V252" s="69" t="e">
        <v>#N/A</v>
      </c>
      <c r="W252" s="70" t="e">
        <v>#N/A</v>
      </c>
      <c r="X252" s="64" t="s">
        <v>6764</v>
      </c>
      <c r="Y252" s="64" t="s">
        <v>6764</v>
      </c>
      <c r="Z252" s="66" t="s">
        <v>6597</v>
      </c>
      <c r="AA252" s="71"/>
    </row>
    <row r="253" ht="15.75" hidden="1" customHeight="1">
      <c r="A253" s="56" t="s">
        <v>6764</v>
      </c>
      <c r="B253" s="56" t="s">
        <v>6764</v>
      </c>
      <c r="C253" s="57"/>
      <c r="D253" s="127" t="s">
        <v>6559</v>
      </c>
      <c r="E253" s="59" t="s">
        <v>6764</v>
      </c>
      <c r="F253" s="60"/>
      <c r="G253" s="61" t="s">
        <v>6764</v>
      </c>
      <c r="H253" s="83"/>
      <c r="I253" s="89" t="e">
        <v>#N/A</v>
      </c>
      <c r="J253" s="65" t="e">
        <v>#N/A</v>
      </c>
      <c r="K253" s="66"/>
      <c r="L253" s="66"/>
      <c r="M253" s="66"/>
      <c r="N253" s="66"/>
      <c r="O253" s="127" t="s">
        <v>6559</v>
      </c>
      <c r="P253" s="59" t="e">
        <v>#N/A</v>
      </c>
      <c r="Q253" s="67" t="e">
        <v>#N/A</v>
      </c>
      <c r="R253" s="68" t="e">
        <v>#N/A</v>
      </c>
      <c r="S253" s="62" t="e">
        <v>#N/A</v>
      </c>
      <c r="T253" s="62" t="e">
        <v>#N/A</v>
      </c>
      <c r="U253" s="63">
        <v>0.0</v>
      </c>
      <c r="V253" s="69" t="e">
        <v>#N/A</v>
      </c>
      <c r="W253" s="70" t="e">
        <v>#N/A</v>
      </c>
      <c r="X253" s="64" t="s">
        <v>6764</v>
      </c>
      <c r="Y253" s="64" t="s">
        <v>6764</v>
      </c>
      <c r="Z253" s="66" t="s">
        <v>6597</v>
      </c>
      <c r="AA253" s="71"/>
    </row>
    <row r="254" ht="15.75" hidden="1" customHeight="1">
      <c r="A254" s="56" t="s">
        <v>6764</v>
      </c>
      <c r="B254" s="56" t="s">
        <v>6764</v>
      </c>
      <c r="C254" s="57"/>
      <c r="D254" s="127" t="s">
        <v>6559</v>
      </c>
      <c r="E254" s="59" t="s">
        <v>6764</v>
      </c>
      <c r="F254" s="60"/>
      <c r="G254" s="61" t="s">
        <v>6764</v>
      </c>
      <c r="H254" s="83"/>
      <c r="I254" s="89" t="e">
        <v>#N/A</v>
      </c>
      <c r="J254" s="65" t="e">
        <v>#N/A</v>
      </c>
      <c r="K254" s="66"/>
      <c r="L254" s="66"/>
      <c r="M254" s="66"/>
      <c r="N254" s="66"/>
      <c r="O254" s="127" t="s">
        <v>6559</v>
      </c>
      <c r="P254" s="59" t="e">
        <v>#N/A</v>
      </c>
      <c r="Q254" s="67" t="e">
        <v>#N/A</v>
      </c>
      <c r="R254" s="68" t="e">
        <v>#N/A</v>
      </c>
      <c r="S254" s="62" t="e">
        <v>#N/A</v>
      </c>
      <c r="T254" s="62" t="e">
        <v>#N/A</v>
      </c>
      <c r="U254" s="63">
        <v>0.0</v>
      </c>
      <c r="V254" s="69" t="e">
        <v>#N/A</v>
      </c>
      <c r="W254" s="70" t="e">
        <v>#N/A</v>
      </c>
      <c r="X254" s="64" t="s">
        <v>6764</v>
      </c>
      <c r="Y254" s="64" t="s">
        <v>6764</v>
      </c>
      <c r="Z254" s="66" t="s">
        <v>6597</v>
      </c>
      <c r="AA254" s="71"/>
    </row>
    <row r="255" ht="15.75" hidden="1" customHeight="1">
      <c r="A255" s="56" t="s">
        <v>6764</v>
      </c>
      <c r="B255" s="56" t="s">
        <v>6764</v>
      </c>
      <c r="C255" s="57"/>
      <c r="D255" s="127" t="s">
        <v>6559</v>
      </c>
      <c r="E255" s="59" t="s">
        <v>6764</v>
      </c>
      <c r="F255" s="60"/>
      <c r="G255" s="61" t="s">
        <v>6764</v>
      </c>
      <c r="H255" s="83"/>
      <c r="I255" s="89" t="e">
        <v>#N/A</v>
      </c>
      <c r="J255" s="65" t="e">
        <v>#N/A</v>
      </c>
      <c r="K255" s="66"/>
      <c r="L255" s="66"/>
      <c r="M255" s="66"/>
      <c r="N255" s="66"/>
      <c r="O255" s="127" t="s">
        <v>6559</v>
      </c>
      <c r="P255" s="59" t="e">
        <v>#N/A</v>
      </c>
      <c r="Q255" s="67" t="e">
        <v>#N/A</v>
      </c>
      <c r="R255" s="68" t="e">
        <v>#N/A</v>
      </c>
      <c r="S255" s="62" t="e">
        <v>#N/A</v>
      </c>
      <c r="T255" s="62" t="e">
        <v>#N/A</v>
      </c>
      <c r="U255" s="63">
        <v>0.0</v>
      </c>
      <c r="V255" s="69" t="e">
        <v>#N/A</v>
      </c>
      <c r="W255" s="70" t="e">
        <v>#N/A</v>
      </c>
      <c r="X255" s="64" t="s">
        <v>6764</v>
      </c>
      <c r="Y255" s="64" t="s">
        <v>6764</v>
      </c>
      <c r="Z255" s="66" t="s">
        <v>6597</v>
      </c>
      <c r="AA255" s="71"/>
    </row>
    <row r="256" ht="15.75" hidden="1" customHeight="1">
      <c r="A256" s="56" t="s">
        <v>6764</v>
      </c>
      <c r="B256" s="56" t="s">
        <v>6764</v>
      </c>
      <c r="C256" s="57"/>
      <c r="D256" s="127" t="s">
        <v>6559</v>
      </c>
      <c r="E256" s="59" t="s">
        <v>6764</v>
      </c>
      <c r="F256" s="60"/>
      <c r="G256" s="61" t="s">
        <v>6764</v>
      </c>
      <c r="H256" s="83"/>
      <c r="I256" s="89" t="e">
        <v>#N/A</v>
      </c>
      <c r="J256" s="65" t="e">
        <v>#N/A</v>
      </c>
      <c r="K256" s="66"/>
      <c r="L256" s="66"/>
      <c r="M256" s="66"/>
      <c r="N256" s="66"/>
      <c r="O256" s="127" t="s">
        <v>6559</v>
      </c>
      <c r="P256" s="59" t="e">
        <v>#N/A</v>
      </c>
      <c r="Q256" s="67" t="e">
        <v>#N/A</v>
      </c>
      <c r="R256" s="68" t="e">
        <v>#N/A</v>
      </c>
      <c r="S256" s="62" t="e">
        <v>#N/A</v>
      </c>
      <c r="T256" s="62" t="e">
        <v>#N/A</v>
      </c>
      <c r="U256" s="63">
        <v>0.0</v>
      </c>
      <c r="V256" s="69" t="e">
        <v>#N/A</v>
      </c>
      <c r="W256" s="70" t="e">
        <v>#N/A</v>
      </c>
      <c r="X256" s="64" t="s">
        <v>6764</v>
      </c>
      <c r="Y256" s="64" t="s">
        <v>6764</v>
      </c>
      <c r="Z256" s="66" t="s">
        <v>6597</v>
      </c>
      <c r="AA256" s="71"/>
    </row>
    <row r="257" ht="15.75" hidden="1" customHeight="1">
      <c r="A257" s="56" t="s">
        <v>6764</v>
      </c>
      <c r="B257" s="56" t="s">
        <v>6764</v>
      </c>
      <c r="C257" s="57"/>
      <c r="D257" s="127" t="s">
        <v>6559</v>
      </c>
      <c r="E257" s="59" t="s">
        <v>6764</v>
      </c>
      <c r="F257" s="60"/>
      <c r="G257" s="61" t="s">
        <v>6764</v>
      </c>
      <c r="H257" s="83"/>
      <c r="I257" s="89" t="e">
        <v>#N/A</v>
      </c>
      <c r="J257" s="65" t="e">
        <v>#N/A</v>
      </c>
      <c r="K257" s="66"/>
      <c r="L257" s="66"/>
      <c r="M257" s="66"/>
      <c r="N257" s="66"/>
      <c r="O257" s="127" t="s">
        <v>6559</v>
      </c>
      <c r="P257" s="59" t="e">
        <v>#N/A</v>
      </c>
      <c r="Q257" s="67" t="e">
        <v>#N/A</v>
      </c>
      <c r="R257" s="68" t="e">
        <v>#N/A</v>
      </c>
      <c r="S257" s="62" t="e">
        <v>#N/A</v>
      </c>
      <c r="T257" s="62" t="e">
        <v>#N/A</v>
      </c>
      <c r="U257" s="63">
        <v>0.0</v>
      </c>
      <c r="V257" s="69" t="e">
        <v>#N/A</v>
      </c>
      <c r="W257" s="70" t="e">
        <v>#N/A</v>
      </c>
      <c r="X257" s="64" t="s">
        <v>6764</v>
      </c>
      <c r="Y257" s="64" t="s">
        <v>6764</v>
      </c>
      <c r="Z257" s="66" t="s">
        <v>6597</v>
      </c>
      <c r="AA257" s="71"/>
    </row>
    <row r="258" ht="15.75" hidden="1" customHeight="1">
      <c r="A258" s="56" t="s">
        <v>6764</v>
      </c>
      <c r="B258" s="56" t="s">
        <v>6764</v>
      </c>
      <c r="C258" s="57"/>
      <c r="D258" s="127" t="s">
        <v>6559</v>
      </c>
      <c r="E258" s="59" t="s">
        <v>6764</v>
      </c>
      <c r="F258" s="60"/>
      <c r="G258" s="61" t="s">
        <v>6764</v>
      </c>
      <c r="H258" s="83"/>
      <c r="I258" s="89" t="e">
        <v>#N/A</v>
      </c>
      <c r="J258" s="65" t="e">
        <v>#N/A</v>
      </c>
      <c r="K258" s="66"/>
      <c r="L258" s="66"/>
      <c r="M258" s="66"/>
      <c r="N258" s="66"/>
      <c r="O258" s="127" t="s">
        <v>6559</v>
      </c>
      <c r="P258" s="59" t="e">
        <v>#N/A</v>
      </c>
      <c r="Q258" s="67" t="e">
        <v>#N/A</v>
      </c>
      <c r="R258" s="68" t="e">
        <v>#N/A</v>
      </c>
      <c r="S258" s="62" t="e">
        <v>#N/A</v>
      </c>
      <c r="T258" s="62" t="e">
        <v>#N/A</v>
      </c>
      <c r="U258" s="63">
        <v>0.0</v>
      </c>
      <c r="V258" s="69" t="e">
        <v>#N/A</v>
      </c>
      <c r="W258" s="70" t="e">
        <v>#N/A</v>
      </c>
      <c r="X258" s="64" t="s">
        <v>6764</v>
      </c>
      <c r="Y258" s="64" t="s">
        <v>6764</v>
      </c>
      <c r="Z258" s="66" t="s">
        <v>6597</v>
      </c>
      <c r="AA258" s="71"/>
    </row>
    <row r="259" ht="15.75" hidden="1" customHeight="1">
      <c r="A259" s="56" t="s">
        <v>6764</v>
      </c>
      <c r="B259" s="56" t="s">
        <v>6764</v>
      </c>
      <c r="C259" s="57"/>
      <c r="D259" s="127" t="s">
        <v>6559</v>
      </c>
      <c r="E259" s="59" t="s">
        <v>6764</v>
      </c>
      <c r="F259" s="60"/>
      <c r="G259" s="61" t="s">
        <v>6764</v>
      </c>
      <c r="H259" s="83"/>
      <c r="I259" s="89" t="e">
        <v>#N/A</v>
      </c>
      <c r="J259" s="65" t="e">
        <v>#N/A</v>
      </c>
      <c r="K259" s="66"/>
      <c r="L259" s="66"/>
      <c r="M259" s="66"/>
      <c r="N259" s="66"/>
      <c r="O259" s="127" t="s">
        <v>6559</v>
      </c>
      <c r="P259" s="59" t="e">
        <v>#N/A</v>
      </c>
      <c r="Q259" s="67" t="e">
        <v>#N/A</v>
      </c>
      <c r="R259" s="68" t="e">
        <v>#N/A</v>
      </c>
      <c r="S259" s="62" t="e">
        <v>#N/A</v>
      </c>
      <c r="T259" s="62" t="e">
        <v>#N/A</v>
      </c>
      <c r="U259" s="63">
        <v>0.0</v>
      </c>
      <c r="V259" s="69" t="e">
        <v>#N/A</v>
      </c>
      <c r="W259" s="70" t="e">
        <v>#N/A</v>
      </c>
      <c r="X259" s="64" t="s">
        <v>6764</v>
      </c>
      <c r="Y259" s="64" t="s">
        <v>6764</v>
      </c>
      <c r="Z259" s="66" t="s">
        <v>6597</v>
      </c>
      <c r="AA259" s="71"/>
    </row>
    <row r="260" ht="15.75" hidden="1" customHeight="1">
      <c r="A260" s="56" t="s">
        <v>6764</v>
      </c>
      <c r="B260" s="56" t="s">
        <v>6764</v>
      </c>
      <c r="C260" s="57"/>
      <c r="D260" s="127" t="s">
        <v>6559</v>
      </c>
      <c r="E260" s="59" t="s">
        <v>6764</v>
      </c>
      <c r="F260" s="60"/>
      <c r="G260" s="61" t="s">
        <v>6764</v>
      </c>
      <c r="H260" s="83"/>
      <c r="I260" s="89" t="e">
        <v>#N/A</v>
      </c>
      <c r="J260" s="65" t="e">
        <v>#N/A</v>
      </c>
      <c r="K260" s="66"/>
      <c r="L260" s="66"/>
      <c r="M260" s="66"/>
      <c r="N260" s="66"/>
      <c r="O260" s="127" t="s">
        <v>6559</v>
      </c>
      <c r="P260" s="59" t="e">
        <v>#N/A</v>
      </c>
      <c r="Q260" s="67" t="e">
        <v>#N/A</v>
      </c>
      <c r="R260" s="68" t="e">
        <v>#N/A</v>
      </c>
      <c r="S260" s="62" t="e">
        <v>#N/A</v>
      </c>
      <c r="T260" s="62" t="e">
        <v>#N/A</v>
      </c>
      <c r="U260" s="63">
        <v>0.0</v>
      </c>
      <c r="V260" s="69" t="e">
        <v>#N/A</v>
      </c>
      <c r="W260" s="70" t="e">
        <v>#N/A</v>
      </c>
      <c r="X260" s="64" t="s">
        <v>6764</v>
      </c>
      <c r="Y260" s="64" t="s">
        <v>6764</v>
      </c>
      <c r="Z260" s="66" t="s">
        <v>6597</v>
      </c>
      <c r="AA260" s="71"/>
    </row>
    <row r="261" ht="15.75" hidden="1" customHeight="1">
      <c r="A261" s="56" t="s">
        <v>6764</v>
      </c>
      <c r="B261" s="56" t="s">
        <v>6764</v>
      </c>
      <c r="C261" s="57"/>
      <c r="D261" s="127" t="s">
        <v>6559</v>
      </c>
      <c r="E261" s="59" t="s">
        <v>6764</v>
      </c>
      <c r="F261" s="60"/>
      <c r="G261" s="61" t="s">
        <v>6764</v>
      </c>
      <c r="H261" s="83"/>
      <c r="I261" s="89" t="e">
        <v>#N/A</v>
      </c>
      <c r="J261" s="65" t="e">
        <v>#N/A</v>
      </c>
      <c r="K261" s="66"/>
      <c r="L261" s="66"/>
      <c r="M261" s="66"/>
      <c r="N261" s="66"/>
      <c r="O261" s="127" t="s">
        <v>6559</v>
      </c>
      <c r="P261" s="59" t="e">
        <v>#N/A</v>
      </c>
      <c r="Q261" s="67" t="e">
        <v>#N/A</v>
      </c>
      <c r="R261" s="68" t="e">
        <v>#N/A</v>
      </c>
      <c r="S261" s="62" t="e">
        <v>#N/A</v>
      </c>
      <c r="T261" s="62" t="e">
        <v>#N/A</v>
      </c>
      <c r="U261" s="63">
        <v>0.0</v>
      </c>
      <c r="V261" s="69" t="e">
        <v>#N/A</v>
      </c>
      <c r="W261" s="70" t="e">
        <v>#N/A</v>
      </c>
      <c r="X261" s="64" t="s">
        <v>6764</v>
      </c>
      <c r="Y261" s="64" t="s">
        <v>6764</v>
      </c>
      <c r="Z261" s="66" t="s">
        <v>6597</v>
      </c>
      <c r="AA261" s="71"/>
    </row>
    <row r="262" ht="15.75" hidden="1" customHeight="1">
      <c r="A262" s="56" t="s">
        <v>6764</v>
      </c>
      <c r="B262" s="56" t="s">
        <v>6764</v>
      </c>
      <c r="C262" s="57"/>
      <c r="D262" s="127" t="s">
        <v>6559</v>
      </c>
      <c r="E262" s="59" t="s">
        <v>6764</v>
      </c>
      <c r="F262" s="60"/>
      <c r="G262" s="61" t="s">
        <v>6764</v>
      </c>
      <c r="H262" s="83"/>
      <c r="I262" s="89" t="e">
        <v>#N/A</v>
      </c>
      <c r="J262" s="65" t="e">
        <v>#N/A</v>
      </c>
      <c r="K262" s="66"/>
      <c r="L262" s="66"/>
      <c r="M262" s="66"/>
      <c r="N262" s="66"/>
      <c r="O262" s="127" t="s">
        <v>6559</v>
      </c>
      <c r="P262" s="59" t="e">
        <v>#N/A</v>
      </c>
      <c r="Q262" s="67" t="e">
        <v>#N/A</v>
      </c>
      <c r="R262" s="68" t="e">
        <v>#N/A</v>
      </c>
      <c r="S262" s="62" t="e">
        <v>#N/A</v>
      </c>
      <c r="T262" s="62" t="e">
        <v>#N/A</v>
      </c>
      <c r="U262" s="63">
        <v>0.0</v>
      </c>
      <c r="V262" s="69" t="e">
        <v>#N/A</v>
      </c>
      <c r="W262" s="70" t="e">
        <v>#N/A</v>
      </c>
      <c r="X262" s="64" t="s">
        <v>6764</v>
      </c>
      <c r="Y262" s="64" t="s">
        <v>6764</v>
      </c>
      <c r="Z262" s="66" t="s">
        <v>6597</v>
      </c>
      <c r="AA262" s="71"/>
    </row>
    <row r="263" ht="15.75" hidden="1" customHeight="1">
      <c r="A263" s="56" t="s">
        <v>6764</v>
      </c>
      <c r="B263" s="56" t="s">
        <v>6764</v>
      </c>
      <c r="C263" s="57"/>
      <c r="D263" s="127" t="s">
        <v>6559</v>
      </c>
      <c r="E263" s="59" t="s">
        <v>6764</v>
      </c>
      <c r="F263" s="60"/>
      <c r="G263" s="61" t="s">
        <v>6764</v>
      </c>
      <c r="H263" s="83"/>
      <c r="I263" s="89" t="e">
        <v>#N/A</v>
      </c>
      <c r="J263" s="65" t="e">
        <v>#N/A</v>
      </c>
      <c r="K263" s="66"/>
      <c r="L263" s="66"/>
      <c r="M263" s="66"/>
      <c r="N263" s="66"/>
      <c r="O263" s="127" t="s">
        <v>6559</v>
      </c>
      <c r="P263" s="59" t="e">
        <v>#N/A</v>
      </c>
      <c r="Q263" s="67" t="e">
        <v>#N/A</v>
      </c>
      <c r="R263" s="68" t="e">
        <v>#N/A</v>
      </c>
      <c r="S263" s="62" t="e">
        <v>#N/A</v>
      </c>
      <c r="T263" s="62" t="e">
        <v>#N/A</v>
      </c>
      <c r="U263" s="63">
        <v>0.0</v>
      </c>
      <c r="V263" s="69" t="e">
        <v>#N/A</v>
      </c>
      <c r="W263" s="70" t="e">
        <v>#N/A</v>
      </c>
      <c r="X263" s="64" t="s">
        <v>6764</v>
      </c>
      <c r="Y263" s="64" t="s">
        <v>6764</v>
      </c>
      <c r="Z263" s="66" t="s">
        <v>6597</v>
      </c>
      <c r="AA263" s="71"/>
    </row>
    <row r="264" ht="15.75" hidden="1" customHeight="1">
      <c r="A264" s="56" t="s">
        <v>6764</v>
      </c>
      <c r="B264" s="56" t="s">
        <v>6764</v>
      </c>
      <c r="C264" s="57"/>
      <c r="D264" s="127" t="s">
        <v>6559</v>
      </c>
      <c r="E264" s="59" t="s">
        <v>6764</v>
      </c>
      <c r="F264" s="60"/>
      <c r="G264" s="61" t="s">
        <v>6764</v>
      </c>
      <c r="H264" s="83"/>
      <c r="I264" s="89" t="e">
        <v>#N/A</v>
      </c>
      <c r="J264" s="65" t="e">
        <v>#N/A</v>
      </c>
      <c r="K264" s="66"/>
      <c r="L264" s="66"/>
      <c r="M264" s="66"/>
      <c r="N264" s="66"/>
      <c r="O264" s="127" t="s">
        <v>6559</v>
      </c>
      <c r="P264" s="59" t="e">
        <v>#N/A</v>
      </c>
      <c r="Q264" s="67" t="e">
        <v>#N/A</v>
      </c>
      <c r="R264" s="68" t="e">
        <v>#N/A</v>
      </c>
      <c r="S264" s="62" t="e">
        <v>#N/A</v>
      </c>
      <c r="T264" s="62" t="e">
        <v>#N/A</v>
      </c>
      <c r="U264" s="63">
        <v>0.0</v>
      </c>
      <c r="V264" s="69" t="e">
        <v>#N/A</v>
      </c>
      <c r="W264" s="70" t="e">
        <v>#N/A</v>
      </c>
      <c r="X264" s="64" t="s">
        <v>6764</v>
      </c>
      <c r="Y264" s="64" t="s">
        <v>6764</v>
      </c>
      <c r="Z264" s="66" t="s">
        <v>6597</v>
      </c>
      <c r="AA264" s="71"/>
    </row>
    <row r="265" ht="15.75" hidden="1" customHeight="1">
      <c r="A265" s="56" t="s">
        <v>6764</v>
      </c>
      <c r="B265" s="56" t="s">
        <v>6764</v>
      </c>
      <c r="C265" s="57"/>
      <c r="D265" s="127" t="s">
        <v>6559</v>
      </c>
      <c r="E265" s="59" t="s">
        <v>6764</v>
      </c>
      <c r="F265" s="60"/>
      <c r="G265" s="61" t="s">
        <v>6764</v>
      </c>
      <c r="H265" s="83"/>
      <c r="I265" s="89" t="e">
        <v>#N/A</v>
      </c>
      <c r="J265" s="65" t="e">
        <v>#N/A</v>
      </c>
      <c r="K265" s="66"/>
      <c r="L265" s="66"/>
      <c r="M265" s="66"/>
      <c r="N265" s="66"/>
      <c r="O265" s="127" t="s">
        <v>6559</v>
      </c>
      <c r="P265" s="59" t="e">
        <v>#N/A</v>
      </c>
      <c r="Q265" s="67" t="e">
        <v>#N/A</v>
      </c>
      <c r="R265" s="68" t="e">
        <v>#N/A</v>
      </c>
      <c r="S265" s="62" t="e">
        <v>#N/A</v>
      </c>
      <c r="T265" s="62" t="e">
        <v>#N/A</v>
      </c>
      <c r="U265" s="63">
        <v>0.0</v>
      </c>
      <c r="V265" s="69" t="e">
        <v>#N/A</v>
      </c>
      <c r="W265" s="70" t="e">
        <v>#N/A</v>
      </c>
      <c r="X265" s="64" t="s">
        <v>6764</v>
      </c>
      <c r="Y265" s="64" t="s">
        <v>6764</v>
      </c>
      <c r="Z265" s="66" t="s">
        <v>6597</v>
      </c>
      <c r="AA265" s="71"/>
    </row>
    <row r="266" ht="15.75" hidden="1" customHeight="1">
      <c r="A266" s="56" t="s">
        <v>6764</v>
      </c>
      <c r="B266" s="56" t="s">
        <v>6764</v>
      </c>
      <c r="C266" s="57"/>
      <c r="D266" s="127" t="s">
        <v>6559</v>
      </c>
      <c r="E266" s="59" t="s">
        <v>6764</v>
      </c>
      <c r="F266" s="60"/>
      <c r="G266" s="61" t="s">
        <v>6764</v>
      </c>
      <c r="H266" s="83"/>
      <c r="I266" s="89" t="e">
        <v>#N/A</v>
      </c>
      <c r="J266" s="65" t="e">
        <v>#N/A</v>
      </c>
      <c r="K266" s="66"/>
      <c r="L266" s="66"/>
      <c r="M266" s="66"/>
      <c r="N266" s="66"/>
      <c r="O266" s="127" t="s">
        <v>6559</v>
      </c>
      <c r="P266" s="59" t="e">
        <v>#N/A</v>
      </c>
      <c r="Q266" s="67" t="e">
        <v>#N/A</v>
      </c>
      <c r="R266" s="68" t="e">
        <v>#N/A</v>
      </c>
      <c r="S266" s="62" t="e">
        <v>#N/A</v>
      </c>
      <c r="T266" s="62" t="e">
        <v>#N/A</v>
      </c>
      <c r="U266" s="63">
        <v>0.0</v>
      </c>
      <c r="V266" s="69" t="e">
        <v>#N/A</v>
      </c>
      <c r="W266" s="70" t="e">
        <v>#N/A</v>
      </c>
      <c r="X266" s="64" t="s">
        <v>6764</v>
      </c>
      <c r="Y266" s="64" t="s">
        <v>6764</v>
      </c>
      <c r="Z266" s="66" t="s">
        <v>6597</v>
      </c>
      <c r="AA266" s="71"/>
    </row>
    <row r="267" ht="15.75" hidden="1" customHeight="1">
      <c r="A267" s="56" t="s">
        <v>6764</v>
      </c>
      <c r="B267" s="56" t="s">
        <v>6764</v>
      </c>
      <c r="C267" s="57"/>
      <c r="D267" s="127" t="s">
        <v>6559</v>
      </c>
      <c r="E267" s="59" t="s">
        <v>6764</v>
      </c>
      <c r="F267" s="60"/>
      <c r="G267" s="61" t="s">
        <v>6764</v>
      </c>
      <c r="H267" s="83"/>
      <c r="I267" s="89" t="e">
        <v>#N/A</v>
      </c>
      <c r="J267" s="65" t="e">
        <v>#N/A</v>
      </c>
      <c r="K267" s="66"/>
      <c r="L267" s="66"/>
      <c r="M267" s="66"/>
      <c r="N267" s="66"/>
      <c r="O267" s="127" t="s">
        <v>6559</v>
      </c>
      <c r="P267" s="59" t="e">
        <v>#N/A</v>
      </c>
      <c r="Q267" s="67" t="e">
        <v>#N/A</v>
      </c>
      <c r="R267" s="68" t="e">
        <v>#N/A</v>
      </c>
      <c r="S267" s="62" t="e">
        <v>#N/A</v>
      </c>
      <c r="T267" s="62" t="e">
        <v>#N/A</v>
      </c>
      <c r="U267" s="63">
        <v>0.0</v>
      </c>
      <c r="V267" s="69" t="e">
        <v>#N/A</v>
      </c>
      <c r="W267" s="70" t="e">
        <v>#N/A</v>
      </c>
      <c r="X267" s="64" t="s">
        <v>6764</v>
      </c>
      <c r="Y267" s="64" t="s">
        <v>6764</v>
      </c>
      <c r="Z267" s="66" t="s">
        <v>6597</v>
      </c>
      <c r="AA267" s="71"/>
    </row>
    <row r="268" ht="15.75" hidden="1" customHeight="1">
      <c r="A268" s="56" t="s">
        <v>6764</v>
      </c>
      <c r="B268" s="56" t="s">
        <v>6764</v>
      </c>
      <c r="C268" s="57"/>
      <c r="D268" s="127" t="s">
        <v>6559</v>
      </c>
      <c r="E268" s="59" t="s">
        <v>6764</v>
      </c>
      <c r="F268" s="60"/>
      <c r="G268" s="61" t="s">
        <v>6764</v>
      </c>
      <c r="H268" s="83"/>
      <c r="I268" s="89" t="e">
        <v>#N/A</v>
      </c>
      <c r="J268" s="65" t="e">
        <v>#N/A</v>
      </c>
      <c r="K268" s="66"/>
      <c r="L268" s="66"/>
      <c r="M268" s="66"/>
      <c r="N268" s="66"/>
      <c r="O268" s="127" t="s">
        <v>6559</v>
      </c>
      <c r="P268" s="59" t="e">
        <v>#N/A</v>
      </c>
      <c r="Q268" s="67" t="e">
        <v>#N/A</v>
      </c>
      <c r="R268" s="68" t="e">
        <v>#N/A</v>
      </c>
      <c r="S268" s="62" t="e">
        <v>#N/A</v>
      </c>
      <c r="T268" s="62" t="e">
        <v>#N/A</v>
      </c>
      <c r="U268" s="63">
        <v>0.0</v>
      </c>
      <c r="V268" s="69" t="e">
        <v>#N/A</v>
      </c>
      <c r="W268" s="70" t="e">
        <v>#N/A</v>
      </c>
      <c r="X268" s="64" t="s">
        <v>6764</v>
      </c>
      <c r="Y268" s="64" t="s">
        <v>6764</v>
      </c>
      <c r="Z268" s="66" t="s">
        <v>6597</v>
      </c>
      <c r="AA268" s="71"/>
    </row>
    <row r="269" ht="15.75" hidden="1" customHeight="1">
      <c r="A269" s="56" t="s">
        <v>6764</v>
      </c>
      <c r="B269" s="56" t="s">
        <v>6764</v>
      </c>
      <c r="C269" s="57"/>
      <c r="D269" s="127" t="s">
        <v>6559</v>
      </c>
      <c r="E269" s="59" t="s">
        <v>6764</v>
      </c>
      <c r="F269" s="60"/>
      <c r="G269" s="61" t="s">
        <v>6764</v>
      </c>
      <c r="H269" s="83"/>
      <c r="I269" s="89" t="e">
        <v>#N/A</v>
      </c>
      <c r="J269" s="65" t="e">
        <v>#N/A</v>
      </c>
      <c r="K269" s="66"/>
      <c r="L269" s="66"/>
      <c r="M269" s="66"/>
      <c r="N269" s="66"/>
      <c r="O269" s="127" t="s">
        <v>6559</v>
      </c>
      <c r="P269" s="59" t="e">
        <v>#N/A</v>
      </c>
      <c r="Q269" s="67" t="e">
        <v>#N/A</v>
      </c>
      <c r="R269" s="68" t="e">
        <v>#N/A</v>
      </c>
      <c r="S269" s="62" t="e">
        <v>#N/A</v>
      </c>
      <c r="T269" s="62" t="e">
        <v>#N/A</v>
      </c>
      <c r="U269" s="63">
        <v>0.0</v>
      </c>
      <c r="V269" s="69" t="e">
        <v>#N/A</v>
      </c>
      <c r="W269" s="70" t="e">
        <v>#N/A</v>
      </c>
      <c r="X269" s="64" t="s">
        <v>6764</v>
      </c>
      <c r="Y269" s="64" t="s">
        <v>6764</v>
      </c>
      <c r="Z269" s="66" t="s">
        <v>6597</v>
      </c>
      <c r="AA269" s="71"/>
    </row>
    <row r="270" ht="15.75" hidden="1" customHeight="1">
      <c r="A270" s="56" t="s">
        <v>6764</v>
      </c>
      <c r="B270" s="56" t="s">
        <v>6764</v>
      </c>
      <c r="C270" s="57"/>
      <c r="D270" s="127" t="s">
        <v>6559</v>
      </c>
      <c r="E270" s="59" t="s">
        <v>6764</v>
      </c>
      <c r="F270" s="60"/>
      <c r="G270" s="61" t="s">
        <v>6764</v>
      </c>
      <c r="H270" s="83"/>
      <c r="I270" s="89" t="e">
        <v>#N/A</v>
      </c>
      <c r="J270" s="65" t="e">
        <v>#N/A</v>
      </c>
      <c r="K270" s="66"/>
      <c r="L270" s="66"/>
      <c r="M270" s="66"/>
      <c r="N270" s="66"/>
      <c r="O270" s="127" t="s">
        <v>6559</v>
      </c>
      <c r="P270" s="59" t="e">
        <v>#N/A</v>
      </c>
      <c r="Q270" s="67" t="e">
        <v>#N/A</v>
      </c>
      <c r="R270" s="68" t="e">
        <v>#N/A</v>
      </c>
      <c r="S270" s="62" t="e">
        <v>#N/A</v>
      </c>
      <c r="T270" s="62" t="e">
        <v>#N/A</v>
      </c>
      <c r="U270" s="63">
        <v>0.0</v>
      </c>
      <c r="V270" s="69" t="e">
        <v>#N/A</v>
      </c>
      <c r="W270" s="70" t="e">
        <v>#N/A</v>
      </c>
      <c r="X270" s="64" t="s">
        <v>6764</v>
      </c>
      <c r="Y270" s="64" t="s">
        <v>6764</v>
      </c>
      <c r="Z270" s="66" t="s">
        <v>6597</v>
      </c>
      <c r="AA270" s="71"/>
    </row>
    <row r="271" ht="15.75" hidden="1" customHeight="1">
      <c r="A271" s="56" t="s">
        <v>6764</v>
      </c>
      <c r="B271" s="56" t="s">
        <v>6764</v>
      </c>
      <c r="C271" s="57"/>
      <c r="D271" s="127" t="s">
        <v>6559</v>
      </c>
      <c r="E271" s="59" t="s">
        <v>6764</v>
      </c>
      <c r="F271" s="60"/>
      <c r="G271" s="61" t="s">
        <v>6764</v>
      </c>
      <c r="H271" s="83"/>
      <c r="I271" s="89" t="e">
        <v>#N/A</v>
      </c>
      <c r="J271" s="65" t="e">
        <v>#N/A</v>
      </c>
      <c r="K271" s="66"/>
      <c r="L271" s="66"/>
      <c r="M271" s="66"/>
      <c r="N271" s="66"/>
      <c r="O271" s="127" t="s">
        <v>6559</v>
      </c>
      <c r="P271" s="59" t="e">
        <v>#N/A</v>
      </c>
      <c r="Q271" s="67" t="e">
        <v>#N/A</v>
      </c>
      <c r="R271" s="68" t="e">
        <v>#N/A</v>
      </c>
      <c r="S271" s="62" t="e">
        <v>#N/A</v>
      </c>
      <c r="T271" s="62" t="e">
        <v>#N/A</v>
      </c>
      <c r="U271" s="63">
        <v>0.0</v>
      </c>
      <c r="V271" s="69" t="e">
        <v>#N/A</v>
      </c>
      <c r="W271" s="70" t="e">
        <v>#N/A</v>
      </c>
      <c r="X271" s="64" t="s">
        <v>6764</v>
      </c>
      <c r="Y271" s="64" t="s">
        <v>6764</v>
      </c>
      <c r="Z271" s="66" t="s">
        <v>6597</v>
      </c>
      <c r="AA271" s="71"/>
    </row>
    <row r="272" ht="15.75" hidden="1" customHeight="1">
      <c r="A272" s="56" t="s">
        <v>6764</v>
      </c>
      <c r="B272" s="56" t="s">
        <v>6764</v>
      </c>
      <c r="C272" s="57"/>
      <c r="D272" s="127" t="s">
        <v>6559</v>
      </c>
      <c r="E272" s="59" t="s">
        <v>6764</v>
      </c>
      <c r="F272" s="60"/>
      <c r="G272" s="61" t="s">
        <v>6764</v>
      </c>
      <c r="H272" s="83"/>
      <c r="I272" s="89" t="e">
        <v>#N/A</v>
      </c>
      <c r="J272" s="65" t="e">
        <v>#N/A</v>
      </c>
      <c r="K272" s="66"/>
      <c r="L272" s="66"/>
      <c r="M272" s="66"/>
      <c r="N272" s="66"/>
      <c r="O272" s="127" t="s">
        <v>6559</v>
      </c>
      <c r="P272" s="59" t="e">
        <v>#N/A</v>
      </c>
      <c r="Q272" s="67" t="e">
        <v>#N/A</v>
      </c>
      <c r="R272" s="68" t="e">
        <v>#N/A</v>
      </c>
      <c r="S272" s="62" t="e">
        <v>#N/A</v>
      </c>
      <c r="T272" s="62" t="e">
        <v>#N/A</v>
      </c>
      <c r="U272" s="63">
        <v>0.0</v>
      </c>
      <c r="V272" s="69" t="e">
        <v>#N/A</v>
      </c>
      <c r="W272" s="70" t="e">
        <v>#N/A</v>
      </c>
      <c r="X272" s="64" t="s">
        <v>6764</v>
      </c>
      <c r="Y272" s="64" t="s">
        <v>6764</v>
      </c>
      <c r="Z272" s="66" t="s">
        <v>6597</v>
      </c>
      <c r="AA272" s="71"/>
    </row>
    <row r="273" ht="15.75" hidden="1" customHeight="1">
      <c r="A273" s="56" t="s">
        <v>6764</v>
      </c>
      <c r="B273" s="56" t="s">
        <v>6764</v>
      </c>
      <c r="C273" s="57"/>
      <c r="D273" s="127" t="s">
        <v>6559</v>
      </c>
      <c r="E273" s="59" t="s">
        <v>6764</v>
      </c>
      <c r="F273" s="60"/>
      <c r="G273" s="61" t="s">
        <v>6764</v>
      </c>
      <c r="H273" s="83"/>
      <c r="I273" s="89" t="e">
        <v>#N/A</v>
      </c>
      <c r="J273" s="65" t="e">
        <v>#N/A</v>
      </c>
      <c r="K273" s="66"/>
      <c r="L273" s="66"/>
      <c r="M273" s="66"/>
      <c r="N273" s="66"/>
      <c r="O273" s="127" t="s">
        <v>6559</v>
      </c>
      <c r="P273" s="59" t="e">
        <v>#N/A</v>
      </c>
      <c r="Q273" s="67" t="e">
        <v>#N/A</v>
      </c>
      <c r="R273" s="68" t="e">
        <v>#N/A</v>
      </c>
      <c r="S273" s="62" t="e">
        <v>#N/A</v>
      </c>
      <c r="T273" s="62" t="e">
        <v>#N/A</v>
      </c>
      <c r="U273" s="63">
        <v>0.0</v>
      </c>
      <c r="V273" s="69" t="e">
        <v>#N/A</v>
      </c>
      <c r="W273" s="70" t="e">
        <v>#N/A</v>
      </c>
      <c r="X273" s="64" t="s">
        <v>6764</v>
      </c>
      <c r="Y273" s="64" t="s">
        <v>6764</v>
      </c>
      <c r="Z273" s="66" t="s">
        <v>6597</v>
      </c>
      <c r="AA273" s="71"/>
    </row>
    <row r="274" ht="15.75" hidden="1" customHeight="1">
      <c r="A274" s="56" t="s">
        <v>6764</v>
      </c>
      <c r="B274" s="56" t="s">
        <v>6764</v>
      </c>
      <c r="C274" s="57"/>
      <c r="D274" s="127" t="s">
        <v>6559</v>
      </c>
      <c r="E274" s="59" t="s">
        <v>6764</v>
      </c>
      <c r="F274" s="60"/>
      <c r="G274" s="61" t="s">
        <v>6764</v>
      </c>
      <c r="H274" s="83"/>
      <c r="I274" s="89" t="e">
        <v>#N/A</v>
      </c>
      <c r="J274" s="65" t="e">
        <v>#N/A</v>
      </c>
      <c r="K274" s="66"/>
      <c r="L274" s="66"/>
      <c r="M274" s="66"/>
      <c r="N274" s="66"/>
      <c r="O274" s="127" t="s">
        <v>6559</v>
      </c>
      <c r="P274" s="59" t="e">
        <v>#N/A</v>
      </c>
      <c r="Q274" s="67" t="e">
        <v>#N/A</v>
      </c>
      <c r="R274" s="68" t="e">
        <v>#N/A</v>
      </c>
      <c r="S274" s="62" t="e">
        <v>#N/A</v>
      </c>
      <c r="T274" s="62" t="e">
        <v>#N/A</v>
      </c>
      <c r="U274" s="63">
        <v>0.0</v>
      </c>
      <c r="V274" s="69" t="e">
        <v>#N/A</v>
      </c>
      <c r="W274" s="70" t="e">
        <v>#N/A</v>
      </c>
      <c r="X274" s="64" t="s">
        <v>6764</v>
      </c>
      <c r="Y274" s="64" t="s">
        <v>6764</v>
      </c>
      <c r="Z274" s="66" t="s">
        <v>6597</v>
      </c>
      <c r="AA274" s="71"/>
    </row>
    <row r="275" ht="15.75" hidden="1" customHeight="1">
      <c r="A275" s="56" t="s">
        <v>6764</v>
      </c>
      <c r="B275" s="56" t="s">
        <v>6764</v>
      </c>
      <c r="C275" s="57"/>
      <c r="D275" s="127" t="s">
        <v>6559</v>
      </c>
      <c r="E275" s="59" t="s">
        <v>6764</v>
      </c>
      <c r="F275" s="60"/>
      <c r="G275" s="61" t="s">
        <v>6764</v>
      </c>
      <c r="H275" s="83"/>
      <c r="I275" s="89" t="e">
        <v>#N/A</v>
      </c>
      <c r="J275" s="65" t="e">
        <v>#N/A</v>
      </c>
      <c r="K275" s="66"/>
      <c r="L275" s="66"/>
      <c r="M275" s="66"/>
      <c r="N275" s="66"/>
      <c r="O275" s="127" t="s">
        <v>6559</v>
      </c>
      <c r="P275" s="59" t="e">
        <v>#N/A</v>
      </c>
      <c r="Q275" s="67" t="e">
        <v>#N/A</v>
      </c>
      <c r="R275" s="68" t="e">
        <v>#N/A</v>
      </c>
      <c r="S275" s="62" t="e">
        <v>#N/A</v>
      </c>
      <c r="T275" s="62" t="e">
        <v>#N/A</v>
      </c>
      <c r="U275" s="63">
        <v>0.0</v>
      </c>
      <c r="V275" s="69" t="e">
        <v>#N/A</v>
      </c>
      <c r="W275" s="70" t="e">
        <v>#N/A</v>
      </c>
      <c r="X275" s="64" t="s">
        <v>6764</v>
      </c>
      <c r="Y275" s="64" t="s">
        <v>6764</v>
      </c>
      <c r="Z275" s="66" t="s">
        <v>6597</v>
      </c>
      <c r="AA275" s="71"/>
    </row>
    <row r="276" ht="15.75" hidden="1" customHeight="1">
      <c r="A276" s="56" t="s">
        <v>6764</v>
      </c>
      <c r="B276" s="56" t="s">
        <v>6764</v>
      </c>
      <c r="C276" s="57"/>
      <c r="D276" s="127" t="s">
        <v>6559</v>
      </c>
      <c r="E276" s="59" t="s">
        <v>6764</v>
      </c>
      <c r="F276" s="60"/>
      <c r="G276" s="61" t="s">
        <v>6764</v>
      </c>
      <c r="H276" s="83"/>
      <c r="I276" s="89" t="e">
        <v>#N/A</v>
      </c>
      <c r="J276" s="65" t="e">
        <v>#N/A</v>
      </c>
      <c r="K276" s="66"/>
      <c r="L276" s="66"/>
      <c r="M276" s="66"/>
      <c r="N276" s="66"/>
      <c r="O276" s="127" t="s">
        <v>6559</v>
      </c>
      <c r="P276" s="59" t="e">
        <v>#N/A</v>
      </c>
      <c r="Q276" s="67" t="e">
        <v>#N/A</v>
      </c>
      <c r="R276" s="68" t="e">
        <v>#N/A</v>
      </c>
      <c r="S276" s="62" t="e">
        <v>#N/A</v>
      </c>
      <c r="T276" s="62" t="e">
        <v>#N/A</v>
      </c>
      <c r="U276" s="63">
        <v>0.0</v>
      </c>
      <c r="V276" s="69" t="e">
        <v>#N/A</v>
      </c>
      <c r="W276" s="70" t="e">
        <v>#N/A</v>
      </c>
      <c r="X276" s="64" t="s">
        <v>6764</v>
      </c>
      <c r="Y276" s="64" t="s">
        <v>6764</v>
      </c>
      <c r="Z276" s="66" t="s">
        <v>6597</v>
      </c>
      <c r="AA276" s="71"/>
    </row>
    <row r="277" ht="15.75" hidden="1" customHeight="1">
      <c r="A277" s="56" t="s">
        <v>6764</v>
      </c>
      <c r="B277" s="56" t="s">
        <v>6764</v>
      </c>
      <c r="C277" s="57"/>
      <c r="D277" s="127" t="s">
        <v>6559</v>
      </c>
      <c r="E277" s="59" t="s">
        <v>6764</v>
      </c>
      <c r="F277" s="60"/>
      <c r="G277" s="61" t="s">
        <v>6764</v>
      </c>
      <c r="H277" s="83"/>
      <c r="I277" s="89" t="e">
        <v>#N/A</v>
      </c>
      <c r="J277" s="65" t="e">
        <v>#N/A</v>
      </c>
      <c r="K277" s="66"/>
      <c r="L277" s="66"/>
      <c r="M277" s="66"/>
      <c r="N277" s="66"/>
      <c r="O277" s="127" t="s">
        <v>6559</v>
      </c>
      <c r="P277" s="59" t="e">
        <v>#N/A</v>
      </c>
      <c r="Q277" s="67" t="e">
        <v>#N/A</v>
      </c>
      <c r="R277" s="68" t="e">
        <v>#N/A</v>
      </c>
      <c r="S277" s="62" t="e">
        <v>#N/A</v>
      </c>
      <c r="T277" s="62" t="e">
        <v>#N/A</v>
      </c>
      <c r="U277" s="63">
        <v>0.0</v>
      </c>
      <c r="V277" s="69" t="e">
        <v>#N/A</v>
      </c>
      <c r="W277" s="70" t="e">
        <v>#N/A</v>
      </c>
      <c r="X277" s="64" t="s">
        <v>6764</v>
      </c>
      <c r="Y277" s="64" t="s">
        <v>6764</v>
      </c>
      <c r="Z277" s="66" t="s">
        <v>6597</v>
      </c>
      <c r="AA277" s="71"/>
    </row>
    <row r="278" ht="15.75" hidden="1" customHeight="1">
      <c r="A278" s="56" t="s">
        <v>6764</v>
      </c>
      <c r="B278" s="56" t="s">
        <v>6764</v>
      </c>
      <c r="C278" s="57"/>
      <c r="D278" s="127" t="s">
        <v>6559</v>
      </c>
      <c r="E278" s="59" t="s">
        <v>6764</v>
      </c>
      <c r="F278" s="60"/>
      <c r="G278" s="61" t="s">
        <v>6764</v>
      </c>
      <c r="H278" s="83"/>
      <c r="I278" s="89" t="e">
        <v>#N/A</v>
      </c>
      <c r="J278" s="65" t="e">
        <v>#N/A</v>
      </c>
      <c r="K278" s="66"/>
      <c r="L278" s="66"/>
      <c r="M278" s="66"/>
      <c r="N278" s="66"/>
      <c r="O278" s="127" t="s">
        <v>6559</v>
      </c>
      <c r="P278" s="59" t="e">
        <v>#N/A</v>
      </c>
      <c r="Q278" s="67" t="e">
        <v>#N/A</v>
      </c>
      <c r="R278" s="68" t="e">
        <v>#N/A</v>
      </c>
      <c r="S278" s="62" t="e">
        <v>#N/A</v>
      </c>
      <c r="T278" s="62" t="e">
        <v>#N/A</v>
      </c>
      <c r="U278" s="63">
        <v>0.0</v>
      </c>
      <c r="V278" s="69" t="e">
        <v>#N/A</v>
      </c>
      <c r="W278" s="70" t="e">
        <v>#N/A</v>
      </c>
      <c r="X278" s="64" t="s">
        <v>6764</v>
      </c>
      <c r="Y278" s="64" t="s">
        <v>6764</v>
      </c>
      <c r="Z278" s="66" t="s">
        <v>6597</v>
      </c>
      <c r="AA278" s="71"/>
    </row>
    <row r="279" ht="15.75" hidden="1" customHeight="1">
      <c r="A279" s="56" t="s">
        <v>6764</v>
      </c>
      <c r="B279" s="56" t="s">
        <v>6764</v>
      </c>
      <c r="C279" s="57"/>
      <c r="D279" s="127" t="s">
        <v>6559</v>
      </c>
      <c r="E279" s="59" t="s">
        <v>6764</v>
      </c>
      <c r="F279" s="60"/>
      <c r="G279" s="61" t="s">
        <v>6764</v>
      </c>
      <c r="H279" s="83"/>
      <c r="I279" s="89" t="e">
        <v>#N/A</v>
      </c>
      <c r="J279" s="65" t="e">
        <v>#N/A</v>
      </c>
      <c r="K279" s="66"/>
      <c r="L279" s="66"/>
      <c r="M279" s="66"/>
      <c r="N279" s="66"/>
      <c r="O279" s="127" t="s">
        <v>6559</v>
      </c>
      <c r="P279" s="59" t="e">
        <v>#N/A</v>
      </c>
      <c r="Q279" s="67" t="e">
        <v>#N/A</v>
      </c>
      <c r="R279" s="68" t="e">
        <v>#N/A</v>
      </c>
      <c r="S279" s="62" t="e">
        <v>#N/A</v>
      </c>
      <c r="T279" s="62" t="e">
        <v>#N/A</v>
      </c>
      <c r="U279" s="63">
        <v>0.0</v>
      </c>
      <c r="V279" s="69" t="e">
        <v>#N/A</v>
      </c>
      <c r="W279" s="70" t="e">
        <v>#N/A</v>
      </c>
      <c r="X279" s="64" t="s">
        <v>6764</v>
      </c>
      <c r="Y279" s="64" t="s">
        <v>6764</v>
      </c>
      <c r="Z279" s="66" t="s">
        <v>6597</v>
      </c>
      <c r="AA279" s="71"/>
    </row>
    <row r="280" ht="15.75" hidden="1" customHeight="1">
      <c r="A280" s="56" t="s">
        <v>6764</v>
      </c>
      <c r="B280" s="56" t="s">
        <v>6764</v>
      </c>
      <c r="C280" s="57"/>
      <c r="D280" s="127" t="s">
        <v>6559</v>
      </c>
      <c r="E280" s="59" t="s">
        <v>6764</v>
      </c>
      <c r="F280" s="60"/>
      <c r="G280" s="61" t="s">
        <v>6764</v>
      </c>
      <c r="H280" s="83"/>
      <c r="I280" s="89" t="e">
        <v>#N/A</v>
      </c>
      <c r="J280" s="65" t="e">
        <v>#N/A</v>
      </c>
      <c r="K280" s="66"/>
      <c r="L280" s="66"/>
      <c r="M280" s="66"/>
      <c r="N280" s="66"/>
      <c r="O280" s="127" t="s">
        <v>6559</v>
      </c>
      <c r="P280" s="59" t="e">
        <v>#N/A</v>
      </c>
      <c r="Q280" s="67" t="e">
        <v>#N/A</v>
      </c>
      <c r="R280" s="68" t="e">
        <v>#N/A</v>
      </c>
      <c r="S280" s="62" t="e">
        <v>#N/A</v>
      </c>
      <c r="T280" s="62" t="e">
        <v>#N/A</v>
      </c>
      <c r="U280" s="63">
        <v>0.0</v>
      </c>
      <c r="V280" s="69" t="e">
        <v>#N/A</v>
      </c>
      <c r="W280" s="70" t="e">
        <v>#N/A</v>
      </c>
      <c r="X280" s="64" t="s">
        <v>6764</v>
      </c>
      <c r="Y280" s="64" t="s">
        <v>6764</v>
      </c>
      <c r="Z280" s="66" t="s">
        <v>6597</v>
      </c>
      <c r="AA280" s="71"/>
    </row>
    <row r="281" ht="15.75" hidden="1" customHeight="1">
      <c r="A281" s="56" t="s">
        <v>6764</v>
      </c>
      <c r="B281" s="56" t="s">
        <v>6764</v>
      </c>
      <c r="C281" s="57"/>
      <c r="D281" s="127" t="s">
        <v>6559</v>
      </c>
      <c r="E281" s="59" t="s">
        <v>6764</v>
      </c>
      <c r="F281" s="60"/>
      <c r="G281" s="61" t="s">
        <v>6764</v>
      </c>
      <c r="H281" s="83"/>
      <c r="I281" s="89" t="e">
        <v>#N/A</v>
      </c>
      <c r="J281" s="65" t="e">
        <v>#N/A</v>
      </c>
      <c r="K281" s="66"/>
      <c r="L281" s="66"/>
      <c r="M281" s="66"/>
      <c r="N281" s="66"/>
      <c r="O281" s="127" t="s">
        <v>6559</v>
      </c>
      <c r="P281" s="59" t="e">
        <v>#N/A</v>
      </c>
      <c r="Q281" s="67" t="e">
        <v>#N/A</v>
      </c>
      <c r="R281" s="68" t="e">
        <v>#N/A</v>
      </c>
      <c r="S281" s="62" t="e">
        <v>#N/A</v>
      </c>
      <c r="T281" s="62" t="e">
        <v>#N/A</v>
      </c>
      <c r="U281" s="63">
        <v>0.0</v>
      </c>
      <c r="V281" s="69" t="e">
        <v>#N/A</v>
      </c>
      <c r="W281" s="70" t="e">
        <v>#N/A</v>
      </c>
      <c r="X281" s="64" t="s">
        <v>6764</v>
      </c>
      <c r="Y281" s="64" t="s">
        <v>6764</v>
      </c>
      <c r="Z281" s="66" t="s">
        <v>6597</v>
      </c>
      <c r="AA281" s="71"/>
    </row>
    <row r="282" ht="15.75" hidden="1" customHeight="1">
      <c r="A282" s="56" t="s">
        <v>6764</v>
      </c>
      <c r="B282" s="56" t="s">
        <v>6764</v>
      </c>
      <c r="C282" s="57"/>
      <c r="D282" s="127" t="s">
        <v>6559</v>
      </c>
      <c r="E282" s="59" t="s">
        <v>6764</v>
      </c>
      <c r="F282" s="60"/>
      <c r="G282" s="61" t="s">
        <v>6764</v>
      </c>
      <c r="H282" s="83"/>
      <c r="I282" s="89" t="e">
        <v>#N/A</v>
      </c>
      <c r="J282" s="65" t="e">
        <v>#N/A</v>
      </c>
      <c r="K282" s="66"/>
      <c r="L282" s="66"/>
      <c r="M282" s="66"/>
      <c r="N282" s="66"/>
      <c r="O282" s="127" t="s">
        <v>6559</v>
      </c>
      <c r="P282" s="59" t="e">
        <v>#N/A</v>
      </c>
      <c r="Q282" s="67" t="e">
        <v>#N/A</v>
      </c>
      <c r="R282" s="68" t="e">
        <v>#N/A</v>
      </c>
      <c r="S282" s="62" t="e">
        <v>#N/A</v>
      </c>
      <c r="T282" s="62" t="e">
        <v>#N/A</v>
      </c>
      <c r="U282" s="63">
        <v>0.0</v>
      </c>
      <c r="V282" s="69" t="e">
        <v>#N/A</v>
      </c>
      <c r="W282" s="70" t="e">
        <v>#N/A</v>
      </c>
      <c r="X282" s="64" t="s">
        <v>6764</v>
      </c>
      <c r="Y282" s="64" t="s">
        <v>6764</v>
      </c>
      <c r="Z282" s="66" t="s">
        <v>6597</v>
      </c>
      <c r="AA282" s="71"/>
    </row>
    <row r="283" ht="15.75" hidden="1" customHeight="1">
      <c r="A283" s="56" t="s">
        <v>6764</v>
      </c>
      <c r="B283" s="56" t="s">
        <v>6764</v>
      </c>
      <c r="C283" s="57"/>
      <c r="D283" s="127" t="s">
        <v>6559</v>
      </c>
      <c r="E283" s="59" t="s">
        <v>6764</v>
      </c>
      <c r="F283" s="60"/>
      <c r="G283" s="61" t="s">
        <v>6764</v>
      </c>
      <c r="H283" s="83"/>
      <c r="I283" s="89" t="e">
        <v>#N/A</v>
      </c>
      <c r="J283" s="65" t="e">
        <v>#N/A</v>
      </c>
      <c r="K283" s="66"/>
      <c r="L283" s="66"/>
      <c r="M283" s="66"/>
      <c r="N283" s="66"/>
      <c r="O283" s="127" t="s">
        <v>6559</v>
      </c>
      <c r="P283" s="59" t="e">
        <v>#N/A</v>
      </c>
      <c r="Q283" s="67" t="e">
        <v>#N/A</v>
      </c>
      <c r="R283" s="68" t="e">
        <v>#N/A</v>
      </c>
      <c r="S283" s="62" t="e">
        <v>#N/A</v>
      </c>
      <c r="T283" s="62" t="e">
        <v>#N/A</v>
      </c>
      <c r="U283" s="63">
        <v>0.0</v>
      </c>
      <c r="V283" s="69" t="e">
        <v>#N/A</v>
      </c>
      <c r="W283" s="70" t="e">
        <v>#N/A</v>
      </c>
      <c r="X283" s="64" t="s">
        <v>6764</v>
      </c>
      <c r="Y283" s="64" t="s">
        <v>6764</v>
      </c>
      <c r="Z283" s="66" t="s">
        <v>6597</v>
      </c>
      <c r="AA283" s="71"/>
    </row>
    <row r="284" ht="15.75" hidden="1" customHeight="1">
      <c r="A284" s="56" t="s">
        <v>6764</v>
      </c>
      <c r="B284" s="56" t="s">
        <v>6764</v>
      </c>
      <c r="C284" s="57"/>
      <c r="D284" s="127" t="s">
        <v>6559</v>
      </c>
      <c r="E284" s="59" t="s">
        <v>6764</v>
      </c>
      <c r="F284" s="60"/>
      <c r="G284" s="61" t="s">
        <v>6764</v>
      </c>
      <c r="H284" s="83"/>
      <c r="I284" s="89" t="e">
        <v>#N/A</v>
      </c>
      <c r="J284" s="65" t="e">
        <v>#N/A</v>
      </c>
      <c r="K284" s="66"/>
      <c r="L284" s="66"/>
      <c r="M284" s="66"/>
      <c r="N284" s="66"/>
      <c r="O284" s="127" t="s">
        <v>6559</v>
      </c>
      <c r="P284" s="59" t="e">
        <v>#N/A</v>
      </c>
      <c r="Q284" s="67" t="e">
        <v>#N/A</v>
      </c>
      <c r="R284" s="68" t="e">
        <v>#N/A</v>
      </c>
      <c r="S284" s="62" t="e">
        <v>#N/A</v>
      </c>
      <c r="T284" s="62" t="e">
        <v>#N/A</v>
      </c>
      <c r="U284" s="63">
        <v>0.0</v>
      </c>
      <c r="V284" s="69" t="e">
        <v>#N/A</v>
      </c>
      <c r="W284" s="70" t="e">
        <v>#N/A</v>
      </c>
      <c r="X284" s="64" t="s">
        <v>6764</v>
      </c>
      <c r="Y284" s="64" t="s">
        <v>6764</v>
      </c>
      <c r="Z284" s="66" t="s">
        <v>6597</v>
      </c>
      <c r="AA284" s="71"/>
    </row>
    <row r="285" ht="15.75" hidden="1" customHeight="1">
      <c r="A285" s="56" t="s">
        <v>6764</v>
      </c>
      <c r="B285" s="56" t="s">
        <v>6764</v>
      </c>
      <c r="C285" s="57"/>
      <c r="D285" s="127" t="s">
        <v>6559</v>
      </c>
      <c r="E285" s="59" t="s">
        <v>6764</v>
      </c>
      <c r="F285" s="60"/>
      <c r="G285" s="61" t="s">
        <v>6764</v>
      </c>
      <c r="H285" s="83"/>
      <c r="I285" s="89" t="e">
        <v>#N/A</v>
      </c>
      <c r="J285" s="65" t="e">
        <v>#N/A</v>
      </c>
      <c r="K285" s="66"/>
      <c r="L285" s="66"/>
      <c r="M285" s="66"/>
      <c r="N285" s="66"/>
      <c r="O285" s="127" t="s">
        <v>6559</v>
      </c>
      <c r="P285" s="59" t="e">
        <v>#N/A</v>
      </c>
      <c r="Q285" s="67" t="e">
        <v>#N/A</v>
      </c>
      <c r="R285" s="68" t="e">
        <v>#N/A</v>
      </c>
      <c r="S285" s="62" t="e">
        <v>#N/A</v>
      </c>
      <c r="T285" s="62" t="e">
        <v>#N/A</v>
      </c>
      <c r="U285" s="63">
        <v>0.0</v>
      </c>
      <c r="V285" s="69" t="e">
        <v>#N/A</v>
      </c>
      <c r="W285" s="70" t="e">
        <v>#N/A</v>
      </c>
      <c r="X285" s="64" t="s">
        <v>6764</v>
      </c>
      <c r="Y285" s="64" t="s">
        <v>6764</v>
      </c>
      <c r="Z285" s="66" t="s">
        <v>6597</v>
      </c>
      <c r="AA285" s="71"/>
    </row>
    <row r="286" ht="15.75" hidden="1" customHeight="1">
      <c r="A286" s="56" t="s">
        <v>6764</v>
      </c>
      <c r="B286" s="56" t="s">
        <v>6764</v>
      </c>
      <c r="C286" s="57"/>
      <c r="D286" s="127" t="s">
        <v>6559</v>
      </c>
      <c r="E286" s="59" t="s">
        <v>6764</v>
      </c>
      <c r="F286" s="60"/>
      <c r="G286" s="61" t="s">
        <v>6764</v>
      </c>
      <c r="H286" s="83"/>
      <c r="I286" s="89" t="e">
        <v>#N/A</v>
      </c>
      <c r="J286" s="65" t="e">
        <v>#N/A</v>
      </c>
      <c r="K286" s="66"/>
      <c r="L286" s="66"/>
      <c r="M286" s="66"/>
      <c r="N286" s="66"/>
      <c r="O286" s="127" t="s">
        <v>6559</v>
      </c>
      <c r="P286" s="59" t="e">
        <v>#N/A</v>
      </c>
      <c r="Q286" s="67" t="e">
        <v>#N/A</v>
      </c>
      <c r="R286" s="68" t="e">
        <v>#N/A</v>
      </c>
      <c r="S286" s="62" t="e">
        <v>#N/A</v>
      </c>
      <c r="T286" s="62" t="e">
        <v>#N/A</v>
      </c>
      <c r="U286" s="63">
        <v>0.0</v>
      </c>
      <c r="V286" s="69" t="e">
        <v>#N/A</v>
      </c>
      <c r="W286" s="70" t="e">
        <v>#N/A</v>
      </c>
      <c r="X286" s="64" t="s">
        <v>6764</v>
      </c>
      <c r="Y286" s="64" t="s">
        <v>6764</v>
      </c>
      <c r="Z286" s="66" t="s">
        <v>6597</v>
      </c>
      <c r="AA286" s="71"/>
    </row>
    <row r="287" ht="15.75" hidden="1" customHeight="1">
      <c r="A287" s="56" t="s">
        <v>6764</v>
      </c>
      <c r="B287" s="56" t="s">
        <v>6764</v>
      </c>
      <c r="C287" s="57"/>
      <c r="D287" s="127" t="s">
        <v>6559</v>
      </c>
      <c r="E287" s="59" t="s">
        <v>6764</v>
      </c>
      <c r="F287" s="60"/>
      <c r="G287" s="61" t="s">
        <v>6764</v>
      </c>
      <c r="H287" s="83"/>
      <c r="I287" s="89" t="e">
        <v>#N/A</v>
      </c>
      <c r="J287" s="65" t="e">
        <v>#N/A</v>
      </c>
      <c r="K287" s="66"/>
      <c r="L287" s="66"/>
      <c r="M287" s="66"/>
      <c r="N287" s="66"/>
      <c r="O287" s="127" t="s">
        <v>6559</v>
      </c>
      <c r="P287" s="59" t="e">
        <v>#N/A</v>
      </c>
      <c r="Q287" s="67" t="e">
        <v>#N/A</v>
      </c>
      <c r="R287" s="68" t="e">
        <v>#N/A</v>
      </c>
      <c r="S287" s="62" t="e">
        <v>#N/A</v>
      </c>
      <c r="T287" s="62" t="e">
        <v>#N/A</v>
      </c>
      <c r="U287" s="63">
        <v>0.0</v>
      </c>
      <c r="V287" s="69" t="e">
        <v>#N/A</v>
      </c>
      <c r="W287" s="70" t="e">
        <v>#N/A</v>
      </c>
      <c r="X287" s="64" t="s">
        <v>6764</v>
      </c>
      <c r="Y287" s="64" t="s">
        <v>6764</v>
      </c>
      <c r="Z287" s="66" t="s">
        <v>6597</v>
      </c>
      <c r="AA287" s="71"/>
    </row>
    <row r="288" ht="15.75" hidden="1" customHeight="1">
      <c r="A288" s="56" t="s">
        <v>6764</v>
      </c>
      <c r="B288" s="56" t="s">
        <v>6764</v>
      </c>
      <c r="C288" s="57"/>
      <c r="D288" s="127" t="s">
        <v>6559</v>
      </c>
      <c r="E288" s="59" t="s">
        <v>6764</v>
      </c>
      <c r="F288" s="60"/>
      <c r="G288" s="61" t="s">
        <v>6764</v>
      </c>
      <c r="H288" s="83"/>
      <c r="I288" s="89" t="e">
        <v>#N/A</v>
      </c>
      <c r="J288" s="65" t="e">
        <v>#N/A</v>
      </c>
      <c r="K288" s="66"/>
      <c r="L288" s="66"/>
      <c r="M288" s="66"/>
      <c r="N288" s="66"/>
      <c r="O288" s="127" t="s">
        <v>6559</v>
      </c>
      <c r="P288" s="59" t="e">
        <v>#N/A</v>
      </c>
      <c r="Q288" s="67" t="e">
        <v>#N/A</v>
      </c>
      <c r="R288" s="68" t="e">
        <v>#N/A</v>
      </c>
      <c r="S288" s="62" t="e">
        <v>#N/A</v>
      </c>
      <c r="T288" s="62" t="e">
        <v>#N/A</v>
      </c>
      <c r="U288" s="63">
        <v>0.0</v>
      </c>
      <c r="V288" s="69" t="e">
        <v>#N/A</v>
      </c>
      <c r="W288" s="70" t="e">
        <v>#N/A</v>
      </c>
      <c r="X288" s="64" t="s">
        <v>6764</v>
      </c>
      <c r="Y288" s="64" t="s">
        <v>6764</v>
      </c>
      <c r="Z288" s="66" t="s">
        <v>6597</v>
      </c>
      <c r="AA288" s="71"/>
    </row>
    <row r="289" ht="15.75" hidden="1" customHeight="1">
      <c r="A289" s="56" t="s">
        <v>6764</v>
      </c>
      <c r="B289" s="56" t="s">
        <v>6764</v>
      </c>
      <c r="C289" s="57"/>
      <c r="D289" s="127" t="s">
        <v>6559</v>
      </c>
      <c r="E289" s="59" t="s">
        <v>6764</v>
      </c>
      <c r="F289" s="60"/>
      <c r="G289" s="61" t="s">
        <v>6764</v>
      </c>
      <c r="H289" s="83"/>
      <c r="I289" s="89" t="e">
        <v>#N/A</v>
      </c>
      <c r="J289" s="65" t="e">
        <v>#N/A</v>
      </c>
      <c r="K289" s="66"/>
      <c r="L289" s="66"/>
      <c r="M289" s="66"/>
      <c r="N289" s="66"/>
      <c r="O289" s="127" t="s">
        <v>6559</v>
      </c>
      <c r="P289" s="59" t="e">
        <v>#N/A</v>
      </c>
      <c r="Q289" s="67" t="e">
        <v>#N/A</v>
      </c>
      <c r="R289" s="68" t="e">
        <v>#N/A</v>
      </c>
      <c r="S289" s="62" t="e">
        <v>#N/A</v>
      </c>
      <c r="T289" s="62" t="e">
        <v>#N/A</v>
      </c>
      <c r="U289" s="63">
        <v>0.0</v>
      </c>
      <c r="V289" s="69" t="e">
        <v>#N/A</v>
      </c>
      <c r="W289" s="70" t="e">
        <v>#N/A</v>
      </c>
      <c r="X289" s="64" t="s">
        <v>6764</v>
      </c>
      <c r="Y289" s="64" t="s">
        <v>6764</v>
      </c>
      <c r="Z289" s="66" t="s">
        <v>6597</v>
      </c>
      <c r="AA289" s="71"/>
    </row>
    <row r="290" ht="15.75" hidden="1" customHeight="1">
      <c r="A290" s="56" t="s">
        <v>6764</v>
      </c>
      <c r="B290" s="56" t="s">
        <v>6764</v>
      </c>
      <c r="C290" s="57"/>
      <c r="D290" s="127" t="s">
        <v>6559</v>
      </c>
      <c r="E290" s="59" t="s">
        <v>6764</v>
      </c>
      <c r="F290" s="60"/>
      <c r="G290" s="61" t="s">
        <v>6764</v>
      </c>
      <c r="H290" s="83"/>
      <c r="I290" s="89" t="e">
        <v>#N/A</v>
      </c>
      <c r="J290" s="65" t="e">
        <v>#N/A</v>
      </c>
      <c r="K290" s="66"/>
      <c r="L290" s="66"/>
      <c r="M290" s="66"/>
      <c r="N290" s="66"/>
      <c r="O290" s="127" t="s">
        <v>6559</v>
      </c>
      <c r="P290" s="59" t="e">
        <v>#N/A</v>
      </c>
      <c r="Q290" s="67" t="e">
        <v>#N/A</v>
      </c>
      <c r="R290" s="68" t="e">
        <v>#N/A</v>
      </c>
      <c r="S290" s="62" t="e">
        <v>#N/A</v>
      </c>
      <c r="T290" s="62" t="e">
        <v>#N/A</v>
      </c>
      <c r="U290" s="63">
        <v>0.0</v>
      </c>
      <c r="V290" s="69" t="e">
        <v>#N/A</v>
      </c>
      <c r="W290" s="70" t="e">
        <v>#N/A</v>
      </c>
      <c r="X290" s="64" t="s">
        <v>6764</v>
      </c>
      <c r="Y290" s="64" t="s">
        <v>6764</v>
      </c>
      <c r="Z290" s="66" t="s">
        <v>6597</v>
      </c>
      <c r="AA290" s="71"/>
    </row>
    <row r="291" ht="15.75" hidden="1" customHeight="1">
      <c r="A291" s="56" t="s">
        <v>6764</v>
      </c>
      <c r="B291" s="56" t="s">
        <v>6764</v>
      </c>
      <c r="C291" s="57"/>
      <c r="D291" s="127" t="s">
        <v>6559</v>
      </c>
      <c r="E291" s="59" t="s">
        <v>6764</v>
      </c>
      <c r="F291" s="60"/>
      <c r="G291" s="61" t="s">
        <v>6764</v>
      </c>
      <c r="H291" s="83"/>
      <c r="I291" s="89" t="e">
        <v>#N/A</v>
      </c>
      <c r="J291" s="65" t="e">
        <v>#N/A</v>
      </c>
      <c r="K291" s="66"/>
      <c r="L291" s="66"/>
      <c r="M291" s="66"/>
      <c r="N291" s="66"/>
      <c r="O291" s="127" t="s">
        <v>6559</v>
      </c>
      <c r="P291" s="59" t="e">
        <v>#N/A</v>
      </c>
      <c r="Q291" s="67" t="e">
        <v>#N/A</v>
      </c>
      <c r="R291" s="68" t="e">
        <v>#N/A</v>
      </c>
      <c r="S291" s="62" t="e">
        <v>#N/A</v>
      </c>
      <c r="T291" s="62" t="e">
        <v>#N/A</v>
      </c>
      <c r="U291" s="63">
        <v>0.0</v>
      </c>
      <c r="V291" s="69" t="e">
        <v>#N/A</v>
      </c>
      <c r="W291" s="70" t="e">
        <v>#N/A</v>
      </c>
      <c r="X291" s="64" t="s">
        <v>6764</v>
      </c>
      <c r="Y291" s="64" t="s">
        <v>6764</v>
      </c>
      <c r="Z291" s="66" t="s">
        <v>6597</v>
      </c>
      <c r="AA291" s="71"/>
    </row>
    <row r="292" ht="15.75" hidden="1" customHeight="1">
      <c r="A292" s="56" t="s">
        <v>6764</v>
      </c>
      <c r="B292" s="56" t="s">
        <v>6764</v>
      </c>
      <c r="C292" s="57"/>
      <c r="D292" s="127" t="s">
        <v>6559</v>
      </c>
      <c r="E292" s="59" t="s">
        <v>6764</v>
      </c>
      <c r="F292" s="60"/>
      <c r="G292" s="61" t="s">
        <v>6764</v>
      </c>
      <c r="H292" s="83"/>
      <c r="I292" s="89" t="e">
        <v>#N/A</v>
      </c>
      <c r="J292" s="65" t="e">
        <v>#N/A</v>
      </c>
      <c r="K292" s="66"/>
      <c r="L292" s="66"/>
      <c r="M292" s="66"/>
      <c r="N292" s="66"/>
      <c r="O292" s="127" t="s">
        <v>6559</v>
      </c>
      <c r="P292" s="59" t="e">
        <v>#N/A</v>
      </c>
      <c r="Q292" s="67" t="e">
        <v>#N/A</v>
      </c>
      <c r="R292" s="68" t="e">
        <v>#N/A</v>
      </c>
      <c r="S292" s="62" t="e">
        <v>#N/A</v>
      </c>
      <c r="T292" s="62" t="e">
        <v>#N/A</v>
      </c>
      <c r="U292" s="63">
        <v>0.0</v>
      </c>
      <c r="V292" s="69" t="e">
        <v>#N/A</v>
      </c>
      <c r="W292" s="70" t="e">
        <v>#N/A</v>
      </c>
      <c r="X292" s="64" t="s">
        <v>6764</v>
      </c>
      <c r="Y292" s="64" t="s">
        <v>6764</v>
      </c>
      <c r="Z292" s="66" t="s">
        <v>6597</v>
      </c>
      <c r="AA292" s="71"/>
    </row>
    <row r="293" ht="15.75" hidden="1" customHeight="1">
      <c r="A293" s="56" t="s">
        <v>6764</v>
      </c>
      <c r="B293" s="56" t="s">
        <v>6764</v>
      </c>
      <c r="C293" s="57"/>
      <c r="D293" s="127" t="s">
        <v>6559</v>
      </c>
      <c r="E293" s="59" t="s">
        <v>6764</v>
      </c>
      <c r="F293" s="60"/>
      <c r="G293" s="61" t="s">
        <v>6764</v>
      </c>
      <c r="H293" s="83"/>
      <c r="I293" s="89" t="e">
        <v>#N/A</v>
      </c>
      <c r="J293" s="65" t="e">
        <v>#N/A</v>
      </c>
      <c r="K293" s="66"/>
      <c r="L293" s="66"/>
      <c r="M293" s="66"/>
      <c r="N293" s="66"/>
      <c r="O293" s="127" t="s">
        <v>6559</v>
      </c>
      <c r="P293" s="59" t="e">
        <v>#N/A</v>
      </c>
      <c r="Q293" s="67" t="e">
        <v>#N/A</v>
      </c>
      <c r="R293" s="68" t="e">
        <v>#N/A</v>
      </c>
      <c r="S293" s="62" t="e">
        <v>#N/A</v>
      </c>
      <c r="T293" s="62" t="e">
        <v>#N/A</v>
      </c>
      <c r="U293" s="63">
        <v>0.0</v>
      </c>
      <c r="V293" s="69" t="e">
        <v>#N/A</v>
      </c>
      <c r="W293" s="70" t="e">
        <v>#N/A</v>
      </c>
      <c r="X293" s="64" t="s">
        <v>6764</v>
      </c>
      <c r="Y293" s="64" t="s">
        <v>6764</v>
      </c>
      <c r="Z293" s="66" t="s">
        <v>6597</v>
      </c>
      <c r="AA293" s="71"/>
    </row>
    <row r="294" ht="15.75" hidden="1" customHeight="1">
      <c r="A294" s="56" t="s">
        <v>6764</v>
      </c>
      <c r="B294" s="56" t="s">
        <v>6764</v>
      </c>
      <c r="C294" s="57"/>
      <c r="D294" s="127" t="s">
        <v>6559</v>
      </c>
      <c r="E294" s="59" t="s">
        <v>6764</v>
      </c>
      <c r="F294" s="60"/>
      <c r="G294" s="61" t="s">
        <v>6764</v>
      </c>
      <c r="H294" s="83"/>
      <c r="I294" s="89" t="e">
        <v>#N/A</v>
      </c>
      <c r="J294" s="65" t="e">
        <v>#N/A</v>
      </c>
      <c r="K294" s="66"/>
      <c r="L294" s="66"/>
      <c r="M294" s="66"/>
      <c r="N294" s="66"/>
      <c r="O294" s="127" t="s">
        <v>6559</v>
      </c>
      <c r="P294" s="59" t="e">
        <v>#N/A</v>
      </c>
      <c r="Q294" s="67" t="e">
        <v>#N/A</v>
      </c>
      <c r="R294" s="68" t="e">
        <v>#N/A</v>
      </c>
      <c r="S294" s="62" t="e">
        <v>#N/A</v>
      </c>
      <c r="T294" s="62" t="e">
        <v>#N/A</v>
      </c>
      <c r="U294" s="63">
        <v>0.0</v>
      </c>
      <c r="V294" s="69" t="e">
        <v>#N/A</v>
      </c>
      <c r="W294" s="70" t="e">
        <v>#N/A</v>
      </c>
      <c r="X294" s="64" t="s">
        <v>6764</v>
      </c>
      <c r="Y294" s="64" t="s">
        <v>6764</v>
      </c>
      <c r="Z294" s="66" t="s">
        <v>6597</v>
      </c>
      <c r="AA294" s="71"/>
    </row>
    <row r="295" ht="15.75" hidden="1" customHeight="1">
      <c r="A295" s="56" t="s">
        <v>6764</v>
      </c>
      <c r="B295" s="56" t="s">
        <v>6764</v>
      </c>
      <c r="C295" s="57"/>
      <c r="D295" s="127" t="s">
        <v>6559</v>
      </c>
      <c r="E295" s="59" t="s">
        <v>6764</v>
      </c>
      <c r="F295" s="60"/>
      <c r="G295" s="61" t="s">
        <v>6764</v>
      </c>
      <c r="H295" s="83"/>
      <c r="I295" s="89" t="e">
        <v>#N/A</v>
      </c>
      <c r="J295" s="65" t="e">
        <v>#N/A</v>
      </c>
      <c r="K295" s="66"/>
      <c r="L295" s="66"/>
      <c r="M295" s="66"/>
      <c r="N295" s="66"/>
      <c r="O295" s="127" t="s">
        <v>6559</v>
      </c>
      <c r="P295" s="59" t="e">
        <v>#N/A</v>
      </c>
      <c r="Q295" s="67" t="e">
        <v>#N/A</v>
      </c>
      <c r="R295" s="68" t="e">
        <v>#N/A</v>
      </c>
      <c r="S295" s="62" t="e">
        <v>#N/A</v>
      </c>
      <c r="T295" s="62" t="e">
        <v>#N/A</v>
      </c>
      <c r="U295" s="63">
        <v>0.0</v>
      </c>
      <c r="V295" s="69" t="e">
        <v>#N/A</v>
      </c>
      <c r="W295" s="70" t="e">
        <v>#N/A</v>
      </c>
      <c r="X295" s="64" t="s">
        <v>6764</v>
      </c>
      <c r="Y295" s="64" t="s">
        <v>6764</v>
      </c>
      <c r="Z295" s="66" t="s">
        <v>6597</v>
      </c>
      <c r="AA295" s="71"/>
    </row>
    <row r="296" ht="15.75" hidden="1" customHeight="1">
      <c r="A296" s="56" t="s">
        <v>6764</v>
      </c>
      <c r="B296" s="56" t="s">
        <v>6764</v>
      </c>
      <c r="C296" s="57"/>
      <c r="D296" s="127" t="s">
        <v>6559</v>
      </c>
      <c r="E296" s="59" t="s">
        <v>6764</v>
      </c>
      <c r="F296" s="60"/>
      <c r="G296" s="61" t="s">
        <v>6764</v>
      </c>
      <c r="H296" s="83"/>
      <c r="I296" s="89" t="e">
        <v>#N/A</v>
      </c>
      <c r="J296" s="65" t="e">
        <v>#N/A</v>
      </c>
      <c r="K296" s="66"/>
      <c r="L296" s="66"/>
      <c r="M296" s="66"/>
      <c r="N296" s="66"/>
      <c r="O296" s="127" t="s">
        <v>6559</v>
      </c>
      <c r="P296" s="59" t="e">
        <v>#N/A</v>
      </c>
      <c r="Q296" s="67" t="e">
        <v>#N/A</v>
      </c>
      <c r="R296" s="68" t="e">
        <v>#N/A</v>
      </c>
      <c r="S296" s="62" t="e">
        <v>#N/A</v>
      </c>
      <c r="T296" s="62" t="e">
        <v>#N/A</v>
      </c>
      <c r="U296" s="63">
        <v>0.0</v>
      </c>
      <c r="V296" s="69" t="e">
        <v>#N/A</v>
      </c>
      <c r="W296" s="70" t="e">
        <v>#N/A</v>
      </c>
      <c r="X296" s="64" t="s">
        <v>6764</v>
      </c>
      <c r="Y296" s="64" t="s">
        <v>6764</v>
      </c>
      <c r="Z296" s="66" t="s">
        <v>6597</v>
      </c>
      <c r="AA296" s="71"/>
    </row>
    <row r="297" ht="15.75" hidden="1" customHeight="1">
      <c r="A297" s="56" t="s">
        <v>6764</v>
      </c>
      <c r="B297" s="56" t="s">
        <v>6764</v>
      </c>
      <c r="C297" s="57"/>
      <c r="D297" s="127" t="s">
        <v>6559</v>
      </c>
      <c r="E297" s="59" t="s">
        <v>6764</v>
      </c>
      <c r="F297" s="60"/>
      <c r="G297" s="61" t="s">
        <v>6764</v>
      </c>
      <c r="H297" s="83"/>
      <c r="I297" s="89" t="e">
        <v>#N/A</v>
      </c>
      <c r="J297" s="65" t="e">
        <v>#N/A</v>
      </c>
      <c r="K297" s="66"/>
      <c r="L297" s="66"/>
      <c r="M297" s="66"/>
      <c r="N297" s="66"/>
      <c r="O297" s="127" t="s">
        <v>6559</v>
      </c>
      <c r="P297" s="59" t="e">
        <v>#N/A</v>
      </c>
      <c r="Q297" s="67" t="e">
        <v>#N/A</v>
      </c>
      <c r="R297" s="68" t="e">
        <v>#N/A</v>
      </c>
      <c r="S297" s="62" t="e">
        <v>#N/A</v>
      </c>
      <c r="T297" s="62" t="e">
        <v>#N/A</v>
      </c>
      <c r="U297" s="63">
        <v>0.0</v>
      </c>
      <c r="V297" s="69" t="e">
        <v>#N/A</v>
      </c>
      <c r="W297" s="70" t="e">
        <v>#N/A</v>
      </c>
      <c r="X297" s="64" t="s">
        <v>6764</v>
      </c>
      <c r="Y297" s="64" t="s">
        <v>6764</v>
      </c>
      <c r="Z297" s="66" t="s">
        <v>6597</v>
      </c>
      <c r="AA297" s="71"/>
    </row>
    <row r="298" ht="15.75" hidden="1" customHeight="1">
      <c r="A298" s="56" t="s">
        <v>6764</v>
      </c>
      <c r="B298" s="56" t="s">
        <v>6764</v>
      </c>
      <c r="C298" s="57"/>
      <c r="D298" s="127" t="s">
        <v>6559</v>
      </c>
      <c r="E298" s="59" t="s">
        <v>6764</v>
      </c>
      <c r="F298" s="60"/>
      <c r="G298" s="61" t="s">
        <v>6764</v>
      </c>
      <c r="H298" s="83"/>
      <c r="I298" s="89" t="e">
        <v>#N/A</v>
      </c>
      <c r="J298" s="65" t="e">
        <v>#N/A</v>
      </c>
      <c r="K298" s="66"/>
      <c r="L298" s="66"/>
      <c r="M298" s="66"/>
      <c r="N298" s="66"/>
      <c r="O298" s="127" t="s">
        <v>6559</v>
      </c>
      <c r="P298" s="59" t="e">
        <v>#N/A</v>
      </c>
      <c r="Q298" s="67" t="e">
        <v>#N/A</v>
      </c>
      <c r="R298" s="68" t="e">
        <v>#N/A</v>
      </c>
      <c r="S298" s="62" t="e">
        <v>#N/A</v>
      </c>
      <c r="T298" s="62" t="e">
        <v>#N/A</v>
      </c>
      <c r="U298" s="63">
        <v>0.0</v>
      </c>
      <c r="V298" s="69" t="e">
        <v>#N/A</v>
      </c>
      <c r="W298" s="70" t="e">
        <v>#N/A</v>
      </c>
      <c r="X298" s="64" t="s">
        <v>6764</v>
      </c>
      <c r="Y298" s="64" t="s">
        <v>6764</v>
      </c>
      <c r="Z298" s="66" t="s">
        <v>6597</v>
      </c>
      <c r="AA298" s="71"/>
    </row>
    <row r="299" ht="15.75" hidden="1" customHeight="1">
      <c r="A299" s="56" t="s">
        <v>6764</v>
      </c>
      <c r="B299" s="56" t="s">
        <v>6764</v>
      </c>
      <c r="C299" s="57"/>
      <c r="D299" s="127" t="s">
        <v>6559</v>
      </c>
      <c r="E299" s="59" t="s">
        <v>6764</v>
      </c>
      <c r="F299" s="60"/>
      <c r="G299" s="61" t="s">
        <v>6764</v>
      </c>
      <c r="H299" s="83"/>
      <c r="I299" s="89" t="e">
        <v>#N/A</v>
      </c>
      <c r="J299" s="65" t="e">
        <v>#N/A</v>
      </c>
      <c r="K299" s="66"/>
      <c r="L299" s="66"/>
      <c r="M299" s="66"/>
      <c r="N299" s="66"/>
      <c r="O299" s="127" t="s">
        <v>6559</v>
      </c>
      <c r="P299" s="59" t="e">
        <v>#N/A</v>
      </c>
      <c r="Q299" s="67" t="e">
        <v>#N/A</v>
      </c>
      <c r="R299" s="68" t="e">
        <v>#N/A</v>
      </c>
      <c r="S299" s="62" t="e">
        <v>#N/A</v>
      </c>
      <c r="T299" s="62" t="e">
        <v>#N/A</v>
      </c>
      <c r="U299" s="63">
        <v>0.0</v>
      </c>
      <c r="V299" s="69" t="e">
        <v>#N/A</v>
      </c>
      <c r="W299" s="70" t="e">
        <v>#N/A</v>
      </c>
      <c r="X299" s="64" t="s">
        <v>6764</v>
      </c>
      <c r="Y299" s="64" t="s">
        <v>6764</v>
      </c>
      <c r="Z299" s="66" t="s">
        <v>6597</v>
      </c>
      <c r="AA299" s="71"/>
    </row>
    <row r="300" ht="15.75" hidden="1" customHeight="1">
      <c r="A300" s="56" t="s">
        <v>6764</v>
      </c>
      <c r="B300" s="56" t="s">
        <v>6764</v>
      </c>
      <c r="C300" s="57"/>
      <c r="D300" s="127" t="s">
        <v>6559</v>
      </c>
      <c r="E300" s="59" t="s">
        <v>6764</v>
      </c>
      <c r="F300" s="60"/>
      <c r="G300" s="61" t="s">
        <v>6764</v>
      </c>
      <c r="H300" s="83"/>
      <c r="I300" s="89" t="e">
        <v>#N/A</v>
      </c>
      <c r="J300" s="65" t="e">
        <v>#N/A</v>
      </c>
      <c r="K300" s="66"/>
      <c r="L300" s="66"/>
      <c r="M300" s="66"/>
      <c r="N300" s="66"/>
      <c r="O300" s="127" t="s">
        <v>6559</v>
      </c>
      <c r="P300" s="59" t="e">
        <v>#N/A</v>
      </c>
      <c r="Q300" s="67" t="e">
        <v>#N/A</v>
      </c>
      <c r="R300" s="68" t="e">
        <v>#N/A</v>
      </c>
      <c r="S300" s="62" t="e">
        <v>#N/A</v>
      </c>
      <c r="T300" s="62" t="e">
        <v>#N/A</v>
      </c>
      <c r="U300" s="63">
        <v>0.0</v>
      </c>
      <c r="V300" s="69" t="e">
        <v>#N/A</v>
      </c>
      <c r="W300" s="70" t="e">
        <v>#N/A</v>
      </c>
      <c r="X300" s="64" t="s">
        <v>6764</v>
      </c>
      <c r="Y300" s="64" t="s">
        <v>6764</v>
      </c>
      <c r="Z300" s="66" t="s">
        <v>6597</v>
      </c>
      <c r="AA300" s="71"/>
    </row>
    <row r="301" ht="15.75" hidden="1" customHeight="1">
      <c r="A301" s="56" t="s">
        <v>6764</v>
      </c>
      <c r="B301" s="56" t="s">
        <v>6764</v>
      </c>
      <c r="C301" s="57"/>
      <c r="D301" s="127" t="s">
        <v>6559</v>
      </c>
      <c r="E301" s="59" t="s">
        <v>6764</v>
      </c>
      <c r="F301" s="60"/>
      <c r="G301" s="61" t="s">
        <v>6764</v>
      </c>
      <c r="H301" s="83"/>
      <c r="I301" s="89" t="e">
        <v>#N/A</v>
      </c>
      <c r="J301" s="65" t="e">
        <v>#N/A</v>
      </c>
      <c r="K301" s="66"/>
      <c r="L301" s="66"/>
      <c r="M301" s="66"/>
      <c r="N301" s="66"/>
      <c r="O301" s="127" t="s">
        <v>6559</v>
      </c>
      <c r="P301" s="59" t="e">
        <v>#N/A</v>
      </c>
      <c r="Q301" s="67" t="e">
        <v>#N/A</v>
      </c>
      <c r="R301" s="68" t="e">
        <v>#N/A</v>
      </c>
      <c r="S301" s="62" t="e">
        <v>#N/A</v>
      </c>
      <c r="T301" s="62" t="e">
        <v>#N/A</v>
      </c>
      <c r="U301" s="63">
        <v>0.0</v>
      </c>
      <c r="V301" s="69" t="e">
        <v>#N/A</v>
      </c>
      <c r="W301" s="70" t="e">
        <v>#N/A</v>
      </c>
      <c r="X301" s="64" t="s">
        <v>6764</v>
      </c>
      <c r="Y301" s="64" t="s">
        <v>6764</v>
      </c>
      <c r="Z301" s="66" t="s">
        <v>6597</v>
      </c>
      <c r="AA301" s="71"/>
    </row>
    <row r="302" ht="15.75" hidden="1" customHeight="1">
      <c r="A302" s="56" t="s">
        <v>6764</v>
      </c>
      <c r="B302" s="56" t="s">
        <v>6764</v>
      </c>
      <c r="C302" s="57"/>
      <c r="D302" s="127" t="s">
        <v>6559</v>
      </c>
      <c r="E302" s="59" t="s">
        <v>6764</v>
      </c>
      <c r="F302" s="60"/>
      <c r="G302" s="61" t="s">
        <v>6764</v>
      </c>
      <c r="H302" s="83"/>
      <c r="I302" s="89" t="e">
        <v>#N/A</v>
      </c>
      <c r="J302" s="65" t="e">
        <v>#N/A</v>
      </c>
      <c r="K302" s="66"/>
      <c r="L302" s="66"/>
      <c r="M302" s="66"/>
      <c r="N302" s="66"/>
      <c r="O302" s="127" t="s">
        <v>6559</v>
      </c>
      <c r="P302" s="59" t="e">
        <v>#N/A</v>
      </c>
      <c r="Q302" s="67" t="e">
        <v>#N/A</v>
      </c>
      <c r="R302" s="68" t="e">
        <v>#N/A</v>
      </c>
      <c r="S302" s="62" t="e">
        <v>#N/A</v>
      </c>
      <c r="T302" s="62" t="e">
        <v>#N/A</v>
      </c>
      <c r="U302" s="63">
        <v>0.0</v>
      </c>
      <c r="V302" s="69" t="e">
        <v>#N/A</v>
      </c>
      <c r="W302" s="70" t="e">
        <v>#N/A</v>
      </c>
      <c r="X302" s="64" t="s">
        <v>6764</v>
      </c>
      <c r="Y302" s="64" t="s">
        <v>6764</v>
      </c>
      <c r="Z302" s="66" t="s">
        <v>6597</v>
      </c>
      <c r="AA302" s="71"/>
    </row>
    <row r="303" ht="15.75" hidden="1" customHeight="1">
      <c r="A303" s="56" t="s">
        <v>6764</v>
      </c>
      <c r="B303" s="56" t="s">
        <v>6764</v>
      </c>
      <c r="C303" s="57"/>
      <c r="D303" s="127" t="s">
        <v>6559</v>
      </c>
      <c r="E303" s="59" t="s">
        <v>6764</v>
      </c>
      <c r="F303" s="60"/>
      <c r="G303" s="61" t="s">
        <v>6764</v>
      </c>
      <c r="H303" s="83"/>
      <c r="I303" s="89" t="e">
        <v>#N/A</v>
      </c>
      <c r="J303" s="65" t="e">
        <v>#N/A</v>
      </c>
      <c r="K303" s="66"/>
      <c r="L303" s="66"/>
      <c r="M303" s="66"/>
      <c r="N303" s="66"/>
      <c r="O303" s="127" t="s">
        <v>6559</v>
      </c>
      <c r="P303" s="59" t="e">
        <v>#N/A</v>
      </c>
      <c r="Q303" s="67" t="e">
        <v>#N/A</v>
      </c>
      <c r="R303" s="68" t="e">
        <v>#N/A</v>
      </c>
      <c r="S303" s="62" t="e">
        <v>#N/A</v>
      </c>
      <c r="T303" s="62" t="e">
        <v>#N/A</v>
      </c>
      <c r="U303" s="63">
        <v>0.0</v>
      </c>
      <c r="V303" s="69" t="e">
        <v>#N/A</v>
      </c>
      <c r="W303" s="70" t="e">
        <v>#N/A</v>
      </c>
      <c r="X303" s="64" t="s">
        <v>6764</v>
      </c>
      <c r="Y303" s="64" t="s">
        <v>6764</v>
      </c>
      <c r="Z303" s="66" t="s">
        <v>6597</v>
      </c>
      <c r="AA303" s="71"/>
    </row>
    <row r="304" ht="15.75" hidden="1" customHeight="1">
      <c r="A304" s="56" t="s">
        <v>6764</v>
      </c>
      <c r="B304" s="56" t="s">
        <v>6764</v>
      </c>
      <c r="C304" s="57"/>
      <c r="D304" s="127" t="s">
        <v>6559</v>
      </c>
      <c r="E304" s="59" t="s">
        <v>6764</v>
      </c>
      <c r="F304" s="60"/>
      <c r="G304" s="61" t="s">
        <v>6764</v>
      </c>
      <c r="H304" s="83"/>
      <c r="I304" s="89" t="e">
        <v>#N/A</v>
      </c>
      <c r="J304" s="65" t="e">
        <v>#N/A</v>
      </c>
      <c r="K304" s="66"/>
      <c r="L304" s="66"/>
      <c r="M304" s="66"/>
      <c r="N304" s="66"/>
      <c r="O304" s="127" t="s">
        <v>6559</v>
      </c>
      <c r="P304" s="59" t="e">
        <v>#N/A</v>
      </c>
      <c r="Q304" s="67" t="e">
        <v>#N/A</v>
      </c>
      <c r="R304" s="68" t="e">
        <v>#N/A</v>
      </c>
      <c r="S304" s="62" t="e">
        <v>#N/A</v>
      </c>
      <c r="T304" s="62" t="e">
        <v>#N/A</v>
      </c>
      <c r="U304" s="63">
        <v>0.0</v>
      </c>
      <c r="V304" s="69" t="e">
        <v>#N/A</v>
      </c>
      <c r="W304" s="70" t="e">
        <v>#N/A</v>
      </c>
      <c r="X304" s="64" t="s">
        <v>6764</v>
      </c>
      <c r="Y304" s="64" t="s">
        <v>6764</v>
      </c>
      <c r="Z304" s="66" t="s">
        <v>6597</v>
      </c>
      <c r="AA304" s="71"/>
    </row>
    <row r="305" ht="15.75" hidden="1" customHeight="1">
      <c r="A305" s="56" t="s">
        <v>6764</v>
      </c>
      <c r="B305" s="56" t="s">
        <v>6764</v>
      </c>
      <c r="C305" s="57"/>
      <c r="D305" s="127" t="s">
        <v>6559</v>
      </c>
      <c r="E305" s="59" t="s">
        <v>6764</v>
      </c>
      <c r="F305" s="60"/>
      <c r="G305" s="61" t="s">
        <v>6764</v>
      </c>
      <c r="H305" s="83"/>
      <c r="I305" s="89" t="e">
        <v>#N/A</v>
      </c>
      <c r="J305" s="65" t="e">
        <v>#N/A</v>
      </c>
      <c r="K305" s="66"/>
      <c r="L305" s="66"/>
      <c r="M305" s="66"/>
      <c r="N305" s="66"/>
      <c r="O305" s="127" t="s">
        <v>6559</v>
      </c>
      <c r="P305" s="59" t="e">
        <v>#N/A</v>
      </c>
      <c r="Q305" s="67" t="e">
        <v>#N/A</v>
      </c>
      <c r="R305" s="68" t="e">
        <v>#N/A</v>
      </c>
      <c r="S305" s="62" t="e">
        <v>#N/A</v>
      </c>
      <c r="T305" s="62" t="e">
        <v>#N/A</v>
      </c>
      <c r="U305" s="63">
        <v>0.0</v>
      </c>
      <c r="V305" s="69" t="e">
        <v>#N/A</v>
      </c>
      <c r="W305" s="70" t="e">
        <v>#N/A</v>
      </c>
      <c r="X305" s="64" t="s">
        <v>6764</v>
      </c>
      <c r="Y305" s="64" t="s">
        <v>6764</v>
      </c>
      <c r="Z305" s="66" t="s">
        <v>6597</v>
      </c>
      <c r="AA305" s="71"/>
    </row>
    <row r="306" ht="15.75" hidden="1" customHeight="1">
      <c r="A306" s="56" t="s">
        <v>6764</v>
      </c>
      <c r="B306" s="56" t="s">
        <v>6764</v>
      </c>
      <c r="C306" s="57"/>
      <c r="D306" s="127" t="s">
        <v>6559</v>
      </c>
      <c r="E306" s="59" t="s">
        <v>6764</v>
      </c>
      <c r="F306" s="60"/>
      <c r="G306" s="61" t="s">
        <v>6764</v>
      </c>
      <c r="H306" s="83"/>
      <c r="I306" s="89" t="e">
        <v>#N/A</v>
      </c>
      <c r="J306" s="65" t="e">
        <v>#N/A</v>
      </c>
      <c r="K306" s="66"/>
      <c r="L306" s="66"/>
      <c r="M306" s="66"/>
      <c r="N306" s="66"/>
      <c r="O306" s="127" t="s">
        <v>6559</v>
      </c>
      <c r="P306" s="59" t="e">
        <v>#N/A</v>
      </c>
      <c r="Q306" s="67" t="e">
        <v>#N/A</v>
      </c>
      <c r="R306" s="68" t="e">
        <v>#N/A</v>
      </c>
      <c r="S306" s="62" t="e">
        <v>#N/A</v>
      </c>
      <c r="T306" s="62" t="e">
        <v>#N/A</v>
      </c>
      <c r="U306" s="63">
        <v>0.0</v>
      </c>
      <c r="V306" s="69" t="e">
        <v>#N/A</v>
      </c>
      <c r="W306" s="70" t="e">
        <v>#N/A</v>
      </c>
      <c r="X306" s="64" t="s">
        <v>6764</v>
      </c>
      <c r="Y306" s="64" t="s">
        <v>6764</v>
      </c>
      <c r="Z306" s="66" t="s">
        <v>6597</v>
      </c>
      <c r="AA306" s="71"/>
    </row>
    <row r="307" ht="15.75" hidden="1" customHeight="1">
      <c r="A307" s="56" t="s">
        <v>6764</v>
      </c>
      <c r="B307" s="56" t="s">
        <v>6764</v>
      </c>
      <c r="C307" s="57"/>
      <c r="D307" s="127" t="s">
        <v>6559</v>
      </c>
      <c r="E307" s="59" t="s">
        <v>6764</v>
      </c>
      <c r="F307" s="60"/>
      <c r="G307" s="61" t="s">
        <v>6764</v>
      </c>
      <c r="H307" s="83"/>
      <c r="I307" s="89" t="e">
        <v>#N/A</v>
      </c>
      <c r="J307" s="65" t="e">
        <v>#N/A</v>
      </c>
      <c r="K307" s="66"/>
      <c r="L307" s="66"/>
      <c r="M307" s="66"/>
      <c r="N307" s="66"/>
      <c r="O307" s="127" t="s">
        <v>6559</v>
      </c>
      <c r="P307" s="59" t="e">
        <v>#N/A</v>
      </c>
      <c r="Q307" s="67" t="e">
        <v>#N/A</v>
      </c>
      <c r="R307" s="68" t="e">
        <v>#N/A</v>
      </c>
      <c r="S307" s="62" t="e">
        <v>#N/A</v>
      </c>
      <c r="T307" s="62" t="e">
        <v>#N/A</v>
      </c>
      <c r="U307" s="63">
        <v>0.0</v>
      </c>
      <c r="V307" s="69" t="e">
        <v>#N/A</v>
      </c>
      <c r="W307" s="70" t="e">
        <v>#N/A</v>
      </c>
      <c r="X307" s="64" t="s">
        <v>6764</v>
      </c>
      <c r="Y307" s="64" t="s">
        <v>6764</v>
      </c>
      <c r="Z307" s="66" t="s">
        <v>6597</v>
      </c>
      <c r="AA307" s="71"/>
    </row>
    <row r="308" ht="15.75" hidden="1" customHeight="1">
      <c r="A308" s="56" t="s">
        <v>6764</v>
      </c>
      <c r="B308" s="56" t="s">
        <v>6764</v>
      </c>
      <c r="C308" s="57"/>
      <c r="D308" s="127" t="s">
        <v>6559</v>
      </c>
      <c r="E308" s="59" t="s">
        <v>6764</v>
      </c>
      <c r="F308" s="60"/>
      <c r="G308" s="61" t="s">
        <v>6764</v>
      </c>
      <c r="H308" s="83"/>
      <c r="I308" s="89" t="e">
        <v>#N/A</v>
      </c>
      <c r="J308" s="65" t="e">
        <v>#N/A</v>
      </c>
      <c r="K308" s="66"/>
      <c r="L308" s="66"/>
      <c r="M308" s="66"/>
      <c r="N308" s="66"/>
      <c r="O308" s="127" t="s">
        <v>6559</v>
      </c>
      <c r="P308" s="59" t="e">
        <v>#N/A</v>
      </c>
      <c r="Q308" s="67" t="e">
        <v>#N/A</v>
      </c>
      <c r="R308" s="68" t="e">
        <v>#N/A</v>
      </c>
      <c r="S308" s="62" t="e">
        <v>#N/A</v>
      </c>
      <c r="T308" s="62" t="e">
        <v>#N/A</v>
      </c>
      <c r="U308" s="63">
        <v>0.0</v>
      </c>
      <c r="V308" s="69" t="e">
        <v>#N/A</v>
      </c>
      <c r="W308" s="70" t="e">
        <v>#N/A</v>
      </c>
      <c r="X308" s="64" t="s">
        <v>6764</v>
      </c>
      <c r="Y308" s="64" t="s">
        <v>6764</v>
      </c>
      <c r="Z308" s="66" t="s">
        <v>6597</v>
      </c>
      <c r="AA308" s="71"/>
    </row>
    <row r="309" ht="15.75" hidden="1" customHeight="1">
      <c r="A309" s="56" t="s">
        <v>6764</v>
      </c>
      <c r="B309" s="56" t="s">
        <v>6764</v>
      </c>
      <c r="C309" s="57"/>
      <c r="D309" s="127" t="s">
        <v>6559</v>
      </c>
      <c r="E309" s="59" t="s">
        <v>6764</v>
      </c>
      <c r="F309" s="60"/>
      <c r="G309" s="61" t="s">
        <v>6764</v>
      </c>
      <c r="H309" s="83"/>
      <c r="I309" s="89" t="e">
        <v>#N/A</v>
      </c>
      <c r="J309" s="65" t="e">
        <v>#N/A</v>
      </c>
      <c r="K309" s="66"/>
      <c r="L309" s="66"/>
      <c r="M309" s="66"/>
      <c r="N309" s="66"/>
      <c r="O309" s="127" t="s">
        <v>6559</v>
      </c>
      <c r="P309" s="59" t="e">
        <v>#N/A</v>
      </c>
      <c r="Q309" s="67" t="e">
        <v>#N/A</v>
      </c>
      <c r="R309" s="68" t="e">
        <v>#N/A</v>
      </c>
      <c r="S309" s="62" t="e">
        <v>#N/A</v>
      </c>
      <c r="T309" s="62" t="e">
        <v>#N/A</v>
      </c>
      <c r="U309" s="63">
        <v>0.0</v>
      </c>
      <c r="V309" s="69" t="e">
        <v>#N/A</v>
      </c>
      <c r="W309" s="70" t="e">
        <v>#N/A</v>
      </c>
      <c r="X309" s="64" t="s">
        <v>6764</v>
      </c>
      <c r="Y309" s="64" t="s">
        <v>6764</v>
      </c>
      <c r="Z309" s="66" t="s">
        <v>6597</v>
      </c>
      <c r="AA309" s="71"/>
    </row>
    <row r="310" ht="15.75" hidden="1" customHeight="1">
      <c r="A310" s="56" t="s">
        <v>6764</v>
      </c>
      <c r="B310" s="56" t="s">
        <v>6764</v>
      </c>
      <c r="C310" s="57"/>
      <c r="D310" s="127" t="s">
        <v>6559</v>
      </c>
      <c r="E310" s="59" t="s">
        <v>6764</v>
      </c>
      <c r="F310" s="60"/>
      <c r="G310" s="61" t="s">
        <v>6764</v>
      </c>
      <c r="H310" s="83"/>
      <c r="I310" s="89" t="e">
        <v>#N/A</v>
      </c>
      <c r="J310" s="65" t="e">
        <v>#N/A</v>
      </c>
      <c r="K310" s="66"/>
      <c r="L310" s="66"/>
      <c r="M310" s="66"/>
      <c r="N310" s="66"/>
      <c r="O310" s="127" t="s">
        <v>6559</v>
      </c>
      <c r="P310" s="59" t="e">
        <v>#N/A</v>
      </c>
      <c r="Q310" s="67" t="e">
        <v>#N/A</v>
      </c>
      <c r="R310" s="68" t="e">
        <v>#N/A</v>
      </c>
      <c r="S310" s="62" t="e">
        <v>#N/A</v>
      </c>
      <c r="T310" s="62" t="e">
        <v>#N/A</v>
      </c>
      <c r="U310" s="63">
        <v>0.0</v>
      </c>
      <c r="V310" s="69" t="e">
        <v>#N/A</v>
      </c>
      <c r="W310" s="70" t="e">
        <v>#N/A</v>
      </c>
      <c r="X310" s="64" t="s">
        <v>6764</v>
      </c>
      <c r="Y310" s="64" t="s">
        <v>6764</v>
      </c>
      <c r="Z310" s="66" t="s">
        <v>6597</v>
      </c>
      <c r="AA310" s="71"/>
    </row>
    <row r="311" ht="15.75" hidden="1" customHeight="1">
      <c r="A311" s="56" t="s">
        <v>6764</v>
      </c>
      <c r="B311" s="56" t="s">
        <v>6764</v>
      </c>
      <c r="C311" s="57"/>
      <c r="D311" s="127" t="s">
        <v>6559</v>
      </c>
      <c r="E311" s="59" t="s">
        <v>6764</v>
      </c>
      <c r="F311" s="60"/>
      <c r="G311" s="61" t="s">
        <v>6764</v>
      </c>
      <c r="H311" s="83"/>
      <c r="I311" s="89" t="e">
        <v>#N/A</v>
      </c>
      <c r="J311" s="65" t="e">
        <v>#N/A</v>
      </c>
      <c r="K311" s="66"/>
      <c r="L311" s="66"/>
      <c r="M311" s="66"/>
      <c r="N311" s="66"/>
      <c r="O311" s="127" t="s">
        <v>6559</v>
      </c>
      <c r="P311" s="59" t="e">
        <v>#N/A</v>
      </c>
      <c r="Q311" s="67" t="e">
        <v>#N/A</v>
      </c>
      <c r="R311" s="68" t="e">
        <v>#N/A</v>
      </c>
      <c r="S311" s="62" t="e">
        <v>#N/A</v>
      </c>
      <c r="T311" s="62" t="e">
        <v>#N/A</v>
      </c>
      <c r="U311" s="63">
        <v>0.0</v>
      </c>
      <c r="V311" s="69" t="e">
        <v>#N/A</v>
      </c>
      <c r="W311" s="70" t="e">
        <v>#N/A</v>
      </c>
      <c r="X311" s="64" t="s">
        <v>6764</v>
      </c>
      <c r="Y311" s="64" t="s">
        <v>6764</v>
      </c>
      <c r="Z311" s="66" t="s">
        <v>6597</v>
      </c>
      <c r="AA311" s="71"/>
    </row>
    <row r="312" ht="15.75" hidden="1" customHeight="1">
      <c r="A312" s="56" t="s">
        <v>6764</v>
      </c>
      <c r="B312" s="56" t="s">
        <v>6764</v>
      </c>
      <c r="C312" s="57"/>
      <c r="D312" s="127" t="s">
        <v>6559</v>
      </c>
      <c r="E312" s="59" t="s">
        <v>6764</v>
      </c>
      <c r="F312" s="60"/>
      <c r="G312" s="61" t="s">
        <v>6764</v>
      </c>
      <c r="H312" s="83"/>
      <c r="I312" s="89" t="e">
        <v>#N/A</v>
      </c>
      <c r="J312" s="65" t="e">
        <v>#N/A</v>
      </c>
      <c r="K312" s="66"/>
      <c r="L312" s="66"/>
      <c r="M312" s="66"/>
      <c r="N312" s="66"/>
      <c r="O312" s="127" t="s">
        <v>6559</v>
      </c>
      <c r="P312" s="59" t="e">
        <v>#N/A</v>
      </c>
      <c r="Q312" s="67" t="e">
        <v>#N/A</v>
      </c>
      <c r="R312" s="68" t="e">
        <v>#N/A</v>
      </c>
      <c r="S312" s="62" t="e">
        <v>#N/A</v>
      </c>
      <c r="T312" s="62" t="e">
        <v>#N/A</v>
      </c>
      <c r="U312" s="63">
        <v>0.0</v>
      </c>
      <c r="V312" s="69" t="e">
        <v>#N/A</v>
      </c>
      <c r="W312" s="70" t="e">
        <v>#N/A</v>
      </c>
      <c r="X312" s="64" t="s">
        <v>6764</v>
      </c>
      <c r="Y312" s="64" t="s">
        <v>6764</v>
      </c>
      <c r="Z312" s="66" t="s">
        <v>6597</v>
      </c>
      <c r="AA312" s="71"/>
    </row>
    <row r="313" ht="15.75" hidden="1" customHeight="1">
      <c r="A313" s="56" t="s">
        <v>6764</v>
      </c>
      <c r="B313" s="56" t="s">
        <v>6764</v>
      </c>
      <c r="C313" s="57"/>
      <c r="D313" s="127" t="s">
        <v>6559</v>
      </c>
      <c r="E313" s="59" t="s">
        <v>6764</v>
      </c>
      <c r="F313" s="60"/>
      <c r="G313" s="61" t="s">
        <v>6764</v>
      </c>
      <c r="H313" s="83"/>
      <c r="I313" s="89" t="e">
        <v>#N/A</v>
      </c>
      <c r="J313" s="65" t="e">
        <v>#N/A</v>
      </c>
      <c r="K313" s="66"/>
      <c r="L313" s="66"/>
      <c r="M313" s="66"/>
      <c r="N313" s="66"/>
      <c r="O313" s="127" t="s">
        <v>6559</v>
      </c>
      <c r="P313" s="59" t="e">
        <v>#N/A</v>
      </c>
      <c r="Q313" s="67" t="e">
        <v>#N/A</v>
      </c>
      <c r="R313" s="68" t="e">
        <v>#N/A</v>
      </c>
      <c r="S313" s="62" t="e">
        <v>#N/A</v>
      </c>
      <c r="T313" s="62" t="e">
        <v>#N/A</v>
      </c>
      <c r="U313" s="63">
        <v>0.0</v>
      </c>
      <c r="V313" s="69" t="e">
        <v>#N/A</v>
      </c>
      <c r="W313" s="70" t="e">
        <v>#N/A</v>
      </c>
      <c r="X313" s="64" t="s">
        <v>6764</v>
      </c>
      <c r="Y313" s="64" t="s">
        <v>6764</v>
      </c>
      <c r="Z313" s="66" t="s">
        <v>6597</v>
      </c>
      <c r="AA313" s="71"/>
    </row>
    <row r="314" ht="15.75" hidden="1" customHeight="1">
      <c r="A314" s="56" t="s">
        <v>6764</v>
      </c>
      <c r="B314" s="56" t="s">
        <v>6764</v>
      </c>
      <c r="C314" s="57"/>
      <c r="D314" s="127" t="s">
        <v>6559</v>
      </c>
      <c r="E314" s="59" t="s">
        <v>6764</v>
      </c>
      <c r="F314" s="60"/>
      <c r="G314" s="61" t="s">
        <v>6764</v>
      </c>
      <c r="H314" s="83"/>
      <c r="I314" s="89" t="e">
        <v>#N/A</v>
      </c>
      <c r="J314" s="65" t="e">
        <v>#N/A</v>
      </c>
      <c r="K314" s="66"/>
      <c r="L314" s="66"/>
      <c r="M314" s="66"/>
      <c r="N314" s="66"/>
      <c r="O314" s="127" t="s">
        <v>6559</v>
      </c>
      <c r="P314" s="59" t="e">
        <v>#N/A</v>
      </c>
      <c r="Q314" s="67" t="e">
        <v>#N/A</v>
      </c>
      <c r="R314" s="68" t="e">
        <v>#N/A</v>
      </c>
      <c r="S314" s="62" t="e">
        <v>#N/A</v>
      </c>
      <c r="T314" s="62" t="e">
        <v>#N/A</v>
      </c>
      <c r="U314" s="63">
        <v>0.0</v>
      </c>
      <c r="V314" s="69" t="e">
        <v>#N/A</v>
      </c>
      <c r="W314" s="70" t="e">
        <v>#N/A</v>
      </c>
      <c r="X314" s="64" t="s">
        <v>6764</v>
      </c>
      <c r="Y314" s="64" t="s">
        <v>6764</v>
      </c>
      <c r="Z314" s="66" t="s">
        <v>6597</v>
      </c>
      <c r="AA314" s="71"/>
    </row>
    <row r="315" ht="15.75" hidden="1" customHeight="1">
      <c r="A315" s="56" t="s">
        <v>6764</v>
      </c>
      <c r="B315" s="56" t="s">
        <v>6764</v>
      </c>
      <c r="C315" s="57"/>
      <c r="D315" s="127" t="s">
        <v>6559</v>
      </c>
      <c r="E315" s="59" t="s">
        <v>6764</v>
      </c>
      <c r="F315" s="60"/>
      <c r="G315" s="61" t="s">
        <v>6764</v>
      </c>
      <c r="H315" s="83"/>
      <c r="I315" s="89" t="e">
        <v>#N/A</v>
      </c>
      <c r="J315" s="65" t="e">
        <v>#N/A</v>
      </c>
      <c r="K315" s="66"/>
      <c r="L315" s="66"/>
      <c r="M315" s="66"/>
      <c r="N315" s="66"/>
      <c r="O315" s="127" t="s">
        <v>6559</v>
      </c>
      <c r="P315" s="59" t="e">
        <v>#N/A</v>
      </c>
      <c r="Q315" s="67" t="e">
        <v>#N/A</v>
      </c>
      <c r="R315" s="68" t="e">
        <v>#N/A</v>
      </c>
      <c r="S315" s="62" t="e">
        <v>#N/A</v>
      </c>
      <c r="T315" s="62" t="e">
        <v>#N/A</v>
      </c>
      <c r="U315" s="63">
        <v>0.0</v>
      </c>
      <c r="V315" s="69" t="e">
        <v>#N/A</v>
      </c>
      <c r="W315" s="70" t="e">
        <v>#N/A</v>
      </c>
      <c r="X315" s="64" t="s">
        <v>6764</v>
      </c>
      <c r="Y315" s="64" t="s">
        <v>6764</v>
      </c>
      <c r="Z315" s="66" t="s">
        <v>6597</v>
      </c>
      <c r="AA315" s="71"/>
    </row>
    <row r="316" ht="15.75" hidden="1" customHeight="1">
      <c r="A316" s="56" t="s">
        <v>6764</v>
      </c>
      <c r="B316" s="56" t="s">
        <v>6764</v>
      </c>
      <c r="C316" s="57"/>
      <c r="D316" s="127" t="s">
        <v>6559</v>
      </c>
      <c r="E316" s="59" t="s">
        <v>6764</v>
      </c>
      <c r="F316" s="60"/>
      <c r="G316" s="61" t="s">
        <v>6764</v>
      </c>
      <c r="H316" s="83"/>
      <c r="I316" s="89" t="e">
        <v>#N/A</v>
      </c>
      <c r="J316" s="65" t="e">
        <v>#N/A</v>
      </c>
      <c r="K316" s="66"/>
      <c r="L316" s="66"/>
      <c r="M316" s="66"/>
      <c r="N316" s="66"/>
      <c r="O316" s="127" t="s">
        <v>6559</v>
      </c>
      <c r="P316" s="59" t="e">
        <v>#N/A</v>
      </c>
      <c r="Q316" s="67" t="e">
        <v>#N/A</v>
      </c>
      <c r="R316" s="68" t="e">
        <v>#N/A</v>
      </c>
      <c r="S316" s="62" t="e">
        <v>#N/A</v>
      </c>
      <c r="T316" s="62" t="e">
        <v>#N/A</v>
      </c>
      <c r="U316" s="63">
        <v>0.0</v>
      </c>
      <c r="V316" s="69" t="e">
        <v>#N/A</v>
      </c>
      <c r="W316" s="70" t="e">
        <v>#N/A</v>
      </c>
      <c r="X316" s="64" t="s">
        <v>6764</v>
      </c>
      <c r="Y316" s="64" t="s">
        <v>6764</v>
      </c>
      <c r="Z316" s="66" t="s">
        <v>6597</v>
      </c>
      <c r="AA316" s="71"/>
    </row>
    <row r="317" ht="15.75" hidden="1" customHeight="1">
      <c r="A317" s="56" t="s">
        <v>6764</v>
      </c>
      <c r="B317" s="56" t="s">
        <v>6764</v>
      </c>
      <c r="C317" s="57"/>
      <c r="D317" s="127" t="s">
        <v>6559</v>
      </c>
      <c r="E317" s="59" t="s">
        <v>6764</v>
      </c>
      <c r="F317" s="60"/>
      <c r="G317" s="61" t="s">
        <v>6764</v>
      </c>
      <c r="H317" s="83"/>
      <c r="I317" s="89" t="e">
        <v>#N/A</v>
      </c>
      <c r="J317" s="65" t="e">
        <v>#N/A</v>
      </c>
      <c r="K317" s="66"/>
      <c r="L317" s="66"/>
      <c r="M317" s="66"/>
      <c r="N317" s="66"/>
      <c r="O317" s="127" t="s">
        <v>6559</v>
      </c>
      <c r="P317" s="59" t="e">
        <v>#N/A</v>
      </c>
      <c r="Q317" s="67" t="e">
        <v>#N/A</v>
      </c>
      <c r="R317" s="68" t="e">
        <v>#N/A</v>
      </c>
      <c r="S317" s="62" t="e">
        <v>#N/A</v>
      </c>
      <c r="T317" s="62" t="e">
        <v>#N/A</v>
      </c>
      <c r="U317" s="63">
        <v>0.0</v>
      </c>
      <c r="V317" s="69" t="e">
        <v>#N/A</v>
      </c>
      <c r="W317" s="70" t="e">
        <v>#N/A</v>
      </c>
      <c r="X317" s="64" t="s">
        <v>6764</v>
      </c>
      <c r="Y317" s="64" t="s">
        <v>6764</v>
      </c>
      <c r="Z317" s="66" t="s">
        <v>6597</v>
      </c>
      <c r="AA317" s="71"/>
    </row>
    <row r="318" ht="15.75" hidden="1" customHeight="1">
      <c r="A318" s="56" t="s">
        <v>6764</v>
      </c>
      <c r="B318" s="56" t="s">
        <v>6764</v>
      </c>
      <c r="C318" s="57"/>
      <c r="D318" s="127" t="s">
        <v>6559</v>
      </c>
      <c r="E318" s="59" t="s">
        <v>6764</v>
      </c>
      <c r="F318" s="60"/>
      <c r="G318" s="61" t="s">
        <v>6764</v>
      </c>
      <c r="H318" s="83"/>
      <c r="I318" s="89" t="e">
        <v>#N/A</v>
      </c>
      <c r="J318" s="65" t="e">
        <v>#N/A</v>
      </c>
      <c r="K318" s="66"/>
      <c r="L318" s="66"/>
      <c r="M318" s="66"/>
      <c r="N318" s="66"/>
      <c r="O318" s="127" t="s">
        <v>6559</v>
      </c>
      <c r="P318" s="59" t="e">
        <v>#N/A</v>
      </c>
      <c r="Q318" s="67" t="e">
        <v>#N/A</v>
      </c>
      <c r="R318" s="68" t="e">
        <v>#N/A</v>
      </c>
      <c r="S318" s="62" t="e">
        <v>#N/A</v>
      </c>
      <c r="T318" s="62" t="e">
        <v>#N/A</v>
      </c>
      <c r="U318" s="63">
        <v>0.0</v>
      </c>
      <c r="V318" s="69" t="e">
        <v>#N/A</v>
      </c>
      <c r="W318" s="70" t="e">
        <v>#N/A</v>
      </c>
      <c r="X318" s="64" t="s">
        <v>6764</v>
      </c>
      <c r="Y318" s="64" t="s">
        <v>6764</v>
      </c>
      <c r="Z318" s="66" t="s">
        <v>6597</v>
      </c>
      <c r="AA318" s="71"/>
    </row>
    <row r="319" ht="15.75" hidden="1" customHeight="1">
      <c r="A319" s="56" t="s">
        <v>6764</v>
      </c>
      <c r="B319" s="56" t="s">
        <v>6764</v>
      </c>
      <c r="C319" s="57"/>
      <c r="D319" s="127" t="s">
        <v>6559</v>
      </c>
      <c r="E319" s="59" t="s">
        <v>6764</v>
      </c>
      <c r="F319" s="60"/>
      <c r="G319" s="61" t="s">
        <v>6764</v>
      </c>
      <c r="H319" s="83"/>
      <c r="I319" s="89" t="e">
        <v>#N/A</v>
      </c>
      <c r="J319" s="65" t="e">
        <v>#N/A</v>
      </c>
      <c r="K319" s="66"/>
      <c r="L319" s="66"/>
      <c r="M319" s="66"/>
      <c r="N319" s="66"/>
      <c r="O319" s="127" t="s">
        <v>6559</v>
      </c>
      <c r="P319" s="59" t="e">
        <v>#N/A</v>
      </c>
      <c r="Q319" s="67" t="e">
        <v>#N/A</v>
      </c>
      <c r="R319" s="68" t="e">
        <v>#N/A</v>
      </c>
      <c r="S319" s="62" t="e">
        <v>#N/A</v>
      </c>
      <c r="T319" s="62" t="e">
        <v>#N/A</v>
      </c>
      <c r="U319" s="63">
        <v>0.0</v>
      </c>
      <c r="V319" s="69" t="e">
        <v>#N/A</v>
      </c>
      <c r="W319" s="70" t="e">
        <v>#N/A</v>
      </c>
      <c r="X319" s="64" t="s">
        <v>6764</v>
      </c>
      <c r="Y319" s="64" t="s">
        <v>6764</v>
      </c>
      <c r="Z319" s="66" t="s">
        <v>6597</v>
      </c>
      <c r="AA319" s="71"/>
    </row>
    <row r="320" ht="15.75" hidden="1" customHeight="1">
      <c r="A320" s="56" t="s">
        <v>6764</v>
      </c>
      <c r="B320" s="56" t="s">
        <v>6764</v>
      </c>
      <c r="C320" s="57"/>
      <c r="D320" s="127" t="s">
        <v>6559</v>
      </c>
      <c r="E320" s="59" t="s">
        <v>6764</v>
      </c>
      <c r="F320" s="60"/>
      <c r="G320" s="61" t="s">
        <v>6764</v>
      </c>
      <c r="H320" s="83"/>
      <c r="I320" s="89" t="e">
        <v>#N/A</v>
      </c>
      <c r="J320" s="65" t="e">
        <v>#N/A</v>
      </c>
      <c r="K320" s="66"/>
      <c r="L320" s="66"/>
      <c r="M320" s="66"/>
      <c r="N320" s="66"/>
      <c r="O320" s="127" t="s">
        <v>6559</v>
      </c>
      <c r="P320" s="59" t="e">
        <v>#N/A</v>
      </c>
      <c r="Q320" s="67" t="e">
        <v>#N/A</v>
      </c>
      <c r="R320" s="68" t="e">
        <v>#N/A</v>
      </c>
      <c r="S320" s="62" t="e">
        <v>#N/A</v>
      </c>
      <c r="T320" s="62" t="e">
        <v>#N/A</v>
      </c>
      <c r="U320" s="63">
        <v>0.0</v>
      </c>
      <c r="V320" s="69" t="e">
        <v>#N/A</v>
      </c>
      <c r="W320" s="70" t="e">
        <v>#N/A</v>
      </c>
      <c r="X320" s="64" t="s">
        <v>6764</v>
      </c>
      <c r="Y320" s="64" t="s">
        <v>6764</v>
      </c>
      <c r="Z320" s="66" t="s">
        <v>6597</v>
      </c>
      <c r="AA320" s="71"/>
    </row>
    <row r="321" ht="15.75" hidden="1" customHeight="1">
      <c r="A321" s="56" t="s">
        <v>6764</v>
      </c>
      <c r="B321" s="56" t="s">
        <v>6764</v>
      </c>
      <c r="C321" s="57"/>
      <c r="D321" s="127" t="s">
        <v>6559</v>
      </c>
      <c r="E321" s="59" t="s">
        <v>6764</v>
      </c>
      <c r="F321" s="60"/>
      <c r="G321" s="61" t="s">
        <v>6764</v>
      </c>
      <c r="H321" s="83"/>
      <c r="I321" s="89" t="e">
        <v>#N/A</v>
      </c>
      <c r="J321" s="65" t="e">
        <v>#N/A</v>
      </c>
      <c r="K321" s="66"/>
      <c r="L321" s="66"/>
      <c r="M321" s="66"/>
      <c r="N321" s="66"/>
      <c r="O321" s="127" t="s">
        <v>6559</v>
      </c>
      <c r="P321" s="59" t="e">
        <v>#N/A</v>
      </c>
      <c r="Q321" s="67" t="e">
        <v>#N/A</v>
      </c>
      <c r="R321" s="68" t="e">
        <v>#N/A</v>
      </c>
      <c r="S321" s="62" t="e">
        <v>#N/A</v>
      </c>
      <c r="T321" s="62" t="e">
        <v>#N/A</v>
      </c>
      <c r="U321" s="63">
        <v>0.0</v>
      </c>
      <c r="V321" s="69" t="e">
        <v>#N/A</v>
      </c>
      <c r="W321" s="70" t="e">
        <v>#N/A</v>
      </c>
      <c r="X321" s="64" t="s">
        <v>6764</v>
      </c>
      <c r="Y321" s="64" t="s">
        <v>6764</v>
      </c>
      <c r="Z321" s="66" t="s">
        <v>6597</v>
      </c>
      <c r="AA321" s="71"/>
    </row>
    <row r="322" ht="15.75" hidden="1" customHeight="1">
      <c r="A322" s="56" t="s">
        <v>6764</v>
      </c>
      <c r="B322" s="56" t="s">
        <v>6764</v>
      </c>
      <c r="C322" s="57"/>
      <c r="D322" s="127" t="s">
        <v>6559</v>
      </c>
      <c r="E322" s="59" t="s">
        <v>6764</v>
      </c>
      <c r="F322" s="60"/>
      <c r="G322" s="61" t="s">
        <v>6764</v>
      </c>
      <c r="H322" s="83"/>
      <c r="I322" s="89" t="e">
        <v>#N/A</v>
      </c>
      <c r="J322" s="65" t="e">
        <v>#N/A</v>
      </c>
      <c r="K322" s="66"/>
      <c r="L322" s="66"/>
      <c r="M322" s="66"/>
      <c r="N322" s="66"/>
      <c r="O322" s="127" t="s">
        <v>6559</v>
      </c>
      <c r="P322" s="59" t="e">
        <v>#N/A</v>
      </c>
      <c r="Q322" s="67" t="e">
        <v>#N/A</v>
      </c>
      <c r="R322" s="68" t="e">
        <v>#N/A</v>
      </c>
      <c r="S322" s="62" t="e">
        <v>#N/A</v>
      </c>
      <c r="T322" s="62" t="e">
        <v>#N/A</v>
      </c>
      <c r="U322" s="63">
        <v>0.0</v>
      </c>
      <c r="V322" s="69" t="e">
        <v>#N/A</v>
      </c>
      <c r="W322" s="70" t="e">
        <v>#N/A</v>
      </c>
      <c r="X322" s="64" t="s">
        <v>6764</v>
      </c>
      <c r="Y322" s="64" t="s">
        <v>6764</v>
      </c>
      <c r="Z322" s="66" t="s">
        <v>6597</v>
      </c>
      <c r="AA322" s="71"/>
    </row>
    <row r="323" ht="15.75" hidden="1" customHeight="1">
      <c r="A323" s="56" t="s">
        <v>6764</v>
      </c>
      <c r="B323" s="56" t="s">
        <v>6764</v>
      </c>
      <c r="C323" s="57"/>
      <c r="D323" s="127" t="s">
        <v>6559</v>
      </c>
      <c r="E323" s="59" t="s">
        <v>6764</v>
      </c>
      <c r="F323" s="60"/>
      <c r="G323" s="61" t="s">
        <v>6764</v>
      </c>
      <c r="H323" s="83"/>
      <c r="I323" s="89" t="e">
        <v>#N/A</v>
      </c>
      <c r="J323" s="65" t="e">
        <v>#N/A</v>
      </c>
      <c r="K323" s="66"/>
      <c r="L323" s="66"/>
      <c r="M323" s="66"/>
      <c r="N323" s="66"/>
      <c r="O323" s="127" t="s">
        <v>6559</v>
      </c>
      <c r="P323" s="59" t="e">
        <v>#N/A</v>
      </c>
      <c r="Q323" s="67" t="e">
        <v>#N/A</v>
      </c>
      <c r="R323" s="68" t="e">
        <v>#N/A</v>
      </c>
      <c r="S323" s="62" t="e">
        <v>#N/A</v>
      </c>
      <c r="T323" s="62" t="e">
        <v>#N/A</v>
      </c>
      <c r="U323" s="63">
        <v>0.0</v>
      </c>
      <c r="V323" s="69" t="e">
        <v>#N/A</v>
      </c>
      <c r="W323" s="70" t="e">
        <v>#N/A</v>
      </c>
      <c r="X323" s="64" t="s">
        <v>6764</v>
      </c>
      <c r="Y323" s="64" t="s">
        <v>6764</v>
      </c>
      <c r="Z323" s="66" t="s">
        <v>6597</v>
      </c>
      <c r="AA323" s="71"/>
    </row>
    <row r="324" ht="15.75" hidden="1" customHeight="1">
      <c r="A324" s="56" t="s">
        <v>6764</v>
      </c>
      <c r="B324" s="56" t="s">
        <v>6764</v>
      </c>
      <c r="C324" s="57"/>
      <c r="D324" s="127" t="s">
        <v>6559</v>
      </c>
      <c r="E324" s="59" t="s">
        <v>6764</v>
      </c>
      <c r="F324" s="60"/>
      <c r="G324" s="61" t="s">
        <v>6764</v>
      </c>
      <c r="H324" s="83"/>
      <c r="I324" s="89" t="e">
        <v>#N/A</v>
      </c>
      <c r="J324" s="65" t="e">
        <v>#N/A</v>
      </c>
      <c r="K324" s="66"/>
      <c r="L324" s="66"/>
      <c r="M324" s="66"/>
      <c r="N324" s="66"/>
      <c r="O324" s="127" t="s">
        <v>6559</v>
      </c>
      <c r="P324" s="59" t="e">
        <v>#N/A</v>
      </c>
      <c r="Q324" s="67" t="e">
        <v>#N/A</v>
      </c>
      <c r="R324" s="68" t="e">
        <v>#N/A</v>
      </c>
      <c r="S324" s="62" t="e">
        <v>#N/A</v>
      </c>
      <c r="T324" s="62" t="e">
        <v>#N/A</v>
      </c>
      <c r="U324" s="63">
        <v>0.0</v>
      </c>
      <c r="V324" s="69" t="e">
        <v>#N/A</v>
      </c>
      <c r="W324" s="70" t="e">
        <v>#N/A</v>
      </c>
      <c r="X324" s="64" t="s">
        <v>6764</v>
      </c>
      <c r="Y324" s="64" t="s">
        <v>6764</v>
      </c>
      <c r="Z324" s="66" t="s">
        <v>6597</v>
      </c>
      <c r="AA324" s="71"/>
    </row>
    <row r="325" ht="15.75" hidden="1" customHeight="1">
      <c r="A325" s="56" t="s">
        <v>6764</v>
      </c>
      <c r="B325" s="56" t="s">
        <v>6764</v>
      </c>
      <c r="C325" s="57"/>
      <c r="D325" s="127" t="s">
        <v>6559</v>
      </c>
      <c r="E325" s="59" t="s">
        <v>6764</v>
      </c>
      <c r="F325" s="60"/>
      <c r="G325" s="61" t="s">
        <v>6764</v>
      </c>
      <c r="H325" s="83"/>
      <c r="I325" s="89" t="e">
        <v>#N/A</v>
      </c>
      <c r="J325" s="65" t="e">
        <v>#N/A</v>
      </c>
      <c r="K325" s="66"/>
      <c r="L325" s="66"/>
      <c r="M325" s="66"/>
      <c r="N325" s="66"/>
      <c r="O325" s="127" t="s">
        <v>6559</v>
      </c>
      <c r="P325" s="59" t="e">
        <v>#N/A</v>
      </c>
      <c r="Q325" s="67" t="e">
        <v>#N/A</v>
      </c>
      <c r="R325" s="68" t="e">
        <v>#N/A</v>
      </c>
      <c r="S325" s="62" t="e">
        <v>#N/A</v>
      </c>
      <c r="T325" s="62" t="e">
        <v>#N/A</v>
      </c>
      <c r="U325" s="63">
        <v>0.0</v>
      </c>
      <c r="V325" s="69" t="e">
        <v>#N/A</v>
      </c>
      <c r="W325" s="70" t="e">
        <v>#N/A</v>
      </c>
      <c r="X325" s="64" t="s">
        <v>6764</v>
      </c>
      <c r="Y325" s="64" t="s">
        <v>6764</v>
      </c>
      <c r="Z325" s="66" t="s">
        <v>6597</v>
      </c>
      <c r="AA325" s="71"/>
    </row>
    <row r="326" ht="15.75" hidden="1" customHeight="1">
      <c r="A326" s="56" t="s">
        <v>6764</v>
      </c>
      <c r="B326" s="56" t="s">
        <v>6764</v>
      </c>
      <c r="C326" s="57"/>
      <c r="D326" s="127" t="s">
        <v>6559</v>
      </c>
      <c r="E326" s="59" t="s">
        <v>6764</v>
      </c>
      <c r="F326" s="60"/>
      <c r="G326" s="61" t="s">
        <v>6764</v>
      </c>
      <c r="H326" s="83"/>
      <c r="I326" s="89" t="e">
        <v>#N/A</v>
      </c>
      <c r="J326" s="65" t="e">
        <v>#N/A</v>
      </c>
      <c r="K326" s="66"/>
      <c r="L326" s="66"/>
      <c r="M326" s="66"/>
      <c r="N326" s="66"/>
      <c r="O326" s="127" t="s">
        <v>6559</v>
      </c>
      <c r="P326" s="59" t="e">
        <v>#N/A</v>
      </c>
      <c r="Q326" s="67" t="e">
        <v>#N/A</v>
      </c>
      <c r="R326" s="68" t="e">
        <v>#N/A</v>
      </c>
      <c r="S326" s="62" t="e">
        <v>#N/A</v>
      </c>
      <c r="T326" s="62" t="e">
        <v>#N/A</v>
      </c>
      <c r="U326" s="63">
        <v>0.0</v>
      </c>
      <c r="V326" s="69" t="e">
        <v>#N/A</v>
      </c>
      <c r="W326" s="70" t="e">
        <v>#N/A</v>
      </c>
      <c r="X326" s="64" t="s">
        <v>6764</v>
      </c>
      <c r="Y326" s="64" t="s">
        <v>6764</v>
      </c>
      <c r="Z326" s="66" t="s">
        <v>6597</v>
      </c>
      <c r="AA326" s="71"/>
    </row>
    <row r="327" ht="15.75" hidden="1" customHeight="1">
      <c r="A327" s="56" t="s">
        <v>6764</v>
      </c>
      <c r="B327" s="56" t="s">
        <v>6764</v>
      </c>
      <c r="C327" s="57"/>
      <c r="D327" s="127" t="s">
        <v>6559</v>
      </c>
      <c r="E327" s="59" t="s">
        <v>6764</v>
      </c>
      <c r="F327" s="60"/>
      <c r="G327" s="61" t="s">
        <v>6764</v>
      </c>
      <c r="H327" s="83"/>
      <c r="I327" s="89" t="e">
        <v>#N/A</v>
      </c>
      <c r="J327" s="65" t="e">
        <v>#N/A</v>
      </c>
      <c r="K327" s="66"/>
      <c r="L327" s="66"/>
      <c r="M327" s="66"/>
      <c r="N327" s="66"/>
      <c r="O327" s="127" t="s">
        <v>6559</v>
      </c>
      <c r="P327" s="59" t="e">
        <v>#N/A</v>
      </c>
      <c r="Q327" s="67" t="e">
        <v>#N/A</v>
      </c>
      <c r="R327" s="68" t="e">
        <v>#N/A</v>
      </c>
      <c r="S327" s="62" t="e">
        <v>#N/A</v>
      </c>
      <c r="T327" s="62" t="e">
        <v>#N/A</v>
      </c>
      <c r="U327" s="63">
        <v>0.0</v>
      </c>
      <c r="V327" s="69" t="e">
        <v>#N/A</v>
      </c>
      <c r="W327" s="70" t="e">
        <v>#N/A</v>
      </c>
      <c r="X327" s="64" t="s">
        <v>6764</v>
      </c>
      <c r="Y327" s="64" t="s">
        <v>6764</v>
      </c>
      <c r="Z327" s="66" t="s">
        <v>6597</v>
      </c>
      <c r="AA327" s="71"/>
    </row>
    <row r="328" ht="15.75" hidden="1" customHeight="1">
      <c r="A328" s="56" t="s">
        <v>6764</v>
      </c>
      <c r="B328" s="56" t="s">
        <v>6764</v>
      </c>
      <c r="C328" s="57"/>
      <c r="D328" s="127" t="s">
        <v>6559</v>
      </c>
      <c r="E328" s="59" t="s">
        <v>6764</v>
      </c>
      <c r="F328" s="60"/>
      <c r="G328" s="61" t="s">
        <v>6764</v>
      </c>
      <c r="H328" s="83"/>
      <c r="I328" s="89" t="e">
        <v>#N/A</v>
      </c>
      <c r="J328" s="65" t="e">
        <v>#N/A</v>
      </c>
      <c r="K328" s="66"/>
      <c r="L328" s="66"/>
      <c r="M328" s="66"/>
      <c r="N328" s="66"/>
      <c r="O328" s="127" t="s">
        <v>6559</v>
      </c>
      <c r="P328" s="59" t="e">
        <v>#N/A</v>
      </c>
      <c r="Q328" s="67" t="e">
        <v>#N/A</v>
      </c>
      <c r="R328" s="68" t="e">
        <v>#N/A</v>
      </c>
      <c r="S328" s="62" t="e">
        <v>#N/A</v>
      </c>
      <c r="T328" s="62" t="e">
        <v>#N/A</v>
      </c>
      <c r="U328" s="63">
        <v>0.0</v>
      </c>
      <c r="V328" s="69" t="e">
        <v>#N/A</v>
      </c>
      <c r="W328" s="70" t="e">
        <v>#N/A</v>
      </c>
      <c r="X328" s="64" t="s">
        <v>6764</v>
      </c>
      <c r="Y328" s="64" t="s">
        <v>6764</v>
      </c>
      <c r="Z328" s="66" t="s">
        <v>6597</v>
      </c>
      <c r="AA328" s="71"/>
    </row>
    <row r="329" ht="15.75" hidden="1" customHeight="1">
      <c r="A329" s="56" t="s">
        <v>6764</v>
      </c>
      <c r="B329" s="56" t="s">
        <v>6764</v>
      </c>
      <c r="C329" s="57"/>
      <c r="D329" s="127" t="s">
        <v>6559</v>
      </c>
      <c r="E329" s="59" t="s">
        <v>6764</v>
      </c>
      <c r="F329" s="60"/>
      <c r="G329" s="61" t="s">
        <v>6764</v>
      </c>
      <c r="H329" s="83"/>
      <c r="I329" s="89" t="e">
        <v>#N/A</v>
      </c>
      <c r="J329" s="65" t="e">
        <v>#N/A</v>
      </c>
      <c r="K329" s="66"/>
      <c r="L329" s="66"/>
      <c r="M329" s="66"/>
      <c r="N329" s="66"/>
      <c r="O329" s="127" t="s">
        <v>6559</v>
      </c>
      <c r="P329" s="59" t="e">
        <v>#N/A</v>
      </c>
      <c r="Q329" s="67" t="e">
        <v>#N/A</v>
      </c>
      <c r="R329" s="68" t="e">
        <v>#N/A</v>
      </c>
      <c r="S329" s="62" t="e">
        <v>#N/A</v>
      </c>
      <c r="T329" s="62" t="e">
        <v>#N/A</v>
      </c>
      <c r="U329" s="63">
        <v>0.0</v>
      </c>
      <c r="V329" s="69" t="e">
        <v>#N/A</v>
      </c>
      <c r="W329" s="70" t="e">
        <v>#N/A</v>
      </c>
      <c r="X329" s="64" t="s">
        <v>6764</v>
      </c>
      <c r="Y329" s="64" t="s">
        <v>6764</v>
      </c>
      <c r="Z329" s="66" t="s">
        <v>6597</v>
      </c>
      <c r="AA329" s="71"/>
    </row>
    <row r="330" ht="15.75" hidden="1" customHeight="1">
      <c r="A330" s="56" t="s">
        <v>6764</v>
      </c>
      <c r="B330" s="56" t="s">
        <v>6764</v>
      </c>
      <c r="C330" s="57"/>
      <c r="D330" s="127" t="s">
        <v>6559</v>
      </c>
      <c r="E330" s="59" t="s">
        <v>6764</v>
      </c>
      <c r="F330" s="60"/>
      <c r="G330" s="61" t="s">
        <v>6764</v>
      </c>
      <c r="H330" s="83"/>
      <c r="I330" s="89" t="e">
        <v>#N/A</v>
      </c>
      <c r="J330" s="65" t="e">
        <v>#N/A</v>
      </c>
      <c r="K330" s="66"/>
      <c r="L330" s="66"/>
      <c r="M330" s="66"/>
      <c r="N330" s="66"/>
      <c r="O330" s="127" t="s">
        <v>6559</v>
      </c>
      <c r="P330" s="59" t="e">
        <v>#N/A</v>
      </c>
      <c r="Q330" s="67" t="e">
        <v>#N/A</v>
      </c>
      <c r="R330" s="68" t="e">
        <v>#N/A</v>
      </c>
      <c r="S330" s="62" t="e">
        <v>#N/A</v>
      </c>
      <c r="T330" s="62" t="e">
        <v>#N/A</v>
      </c>
      <c r="U330" s="63">
        <v>0.0</v>
      </c>
      <c r="V330" s="69" t="e">
        <v>#N/A</v>
      </c>
      <c r="W330" s="70" t="e">
        <v>#N/A</v>
      </c>
      <c r="X330" s="64" t="s">
        <v>6764</v>
      </c>
      <c r="Y330" s="64" t="s">
        <v>6764</v>
      </c>
      <c r="Z330" s="66" t="s">
        <v>6597</v>
      </c>
      <c r="AA330" s="71"/>
    </row>
    <row r="331" ht="15.75" hidden="1" customHeight="1">
      <c r="A331" s="56" t="s">
        <v>6764</v>
      </c>
      <c r="B331" s="56" t="s">
        <v>6764</v>
      </c>
      <c r="C331" s="57"/>
      <c r="D331" s="127" t="s">
        <v>6559</v>
      </c>
      <c r="E331" s="59" t="s">
        <v>6764</v>
      </c>
      <c r="F331" s="60"/>
      <c r="G331" s="61" t="s">
        <v>6764</v>
      </c>
      <c r="H331" s="83"/>
      <c r="I331" s="89" t="e">
        <v>#N/A</v>
      </c>
      <c r="J331" s="65" t="e">
        <v>#N/A</v>
      </c>
      <c r="K331" s="66"/>
      <c r="L331" s="66"/>
      <c r="M331" s="66"/>
      <c r="N331" s="66"/>
      <c r="O331" s="127" t="s">
        <v>6559</v>
      </c>
      <c r="P331" s="59" t="e">
        <v>#N/A</v>
      </c>
      <c r="Q331" s="67" t="e">
        <v>#N/A</v>
      </c>
      <c r="R331" s="68" t="e">
        <v>#N/A</v>
      </c>
      <c r="S331" s="62" t="e">
        <v>#N/A</v>
      </c>
      <c r="T331" s="62" t="e">
        <v>#N/A</v>
      </c>
      <c r="U331" s="63">
        <v>0.0</v>
      </c>
      <c r="V331" s="69" t="e">
        <v>#N/A</v>
      </c>
      <c r="W331" s="70" t="e">
        <v>#N/A</v>
      </c>
      <c r="X331" s="64" t="s">
        <v>6764</v>
      </c>
      <c r="Y331" s="64" t="s">
        <v>6764</v>
      </c>
      <c r="Z331" s="66" t="s">
        <v>6597</v>
      </c>
      <c r="AA331" s="71"/>
    </row>
    <row r="332" ht="15.75" hidden="1" customHeight="1">
      <c r="A332" s="56" t="s">
        <v>6764</v>
      </c>
      <c r="B332" s="56" t="s">
        <v>6764</v>
      </c>
      <c r="C332" s="57"/>
      <c r="D332" s="127" t="s">
        <v>6559</v>
      </c>
      <c r="E332" s="59" t="s">
        <v>6764</v>
      </c>
      <c r="F332" s="60"/>
      <c r="G332" s="61" t="s">
        <v>6764</v>
      </c>
      <c r="H332" s="83"/>
      <c r="I332" s="89" t="e">
        <v>#N/A</v>
      </c>
      <c r="J332" s="65" t="e">
        <v>#N/A</v>
      </c>
      <c r="K332" s="66"/>
      <c r="L332" s="66"/>
      <c r="M332" s="66"/>
      <c r="N332" s="66"/>
      <c r="O332" s="127" t="s">
        <v>6559</v>
      </c>
      <c r="P332" s="59" t="e">
        <v>#N/A</v>
      </c>
      <c r="Q332" s="67" t="e">
        <v>#N/A</v>
      </c>
      <c r="R332" s="68" t="e">
        <v>#N/A</v>
      </c>
      <c r="S332" s="62" t="e">
        <v>#N/A</v>
      </c>
      <c r="T332" s="62" t="e">
        <v>#N/A</v>
      </c>
      <c r="U332" s="63">
        <v>0.0</v>
      </c>
      <c r="V332" s="69" t="e">
        <v>#N/A</v>
      </c>
      <c r="W332" s="70" t="e">
        <v>#N/A</v>
      </c>
      <c r="X332" s="64" t="s">
        <v>6764</v>
      </c>
      <c r="Y332" s="64" t="s">
        <v>6764</v>
      </c>
      <c r="Z332" s="66" t="s">
        <v>6597</v>
      </c>
      <c r="AA332" s="71"/>
    </row>
    <row r="333" ht="15.75" hidden="1" customHeight="1">
      <c r="A333" s="56" t="s">
        <v>6764</v>
      </c>
      <c r="B333" s="56" t="s">
        <v>6764</v>
      </c>
      <c r="C333" s="57"/>
      <c r="D333" s="127" t="s">
        <v>6559</v>
      </c>
      <c r="E333" s="59" t="s">
        <v>6764</v>
      </c>
      <c r="F333" s="60"/>
      <c r="G333" s="61" t="s">
        <v>6764</v>
      </c>
      <c r="H333" s="83"/>
      <c r="I333" s="89" t="e">
        <v>#N/A</v>
      </c>
      <c r="J333" s="65" t="e">
        <v>#N/A</v>
      </c>
      <c r="K333" s="66"/>
      <c r="L333" s="66"/>
      <c r="M333" s="66"/>
      <c r="N333" s="66"/>
      <c r="O333" s="127" t="s">
        <v>6559</v>
      </c>
      <c r="P333" s="59" t="e">
        <v>#N/A</v>
      </c>
      <c r="Q333" s="67" t="e">
        <v>#N/A</v>
      </c>
      <c r="R333" s="68" t="e">
        <v>#N/A</v>
      </c>
      <c r="S333" s="62" t="e">
        <v>#N/A</v>
      </c>
      <c r="T333" s="62" t="e">
        <v>#N/A</v>
      </c>
      <c r="U333" s="63">
        <v>0.0</v>
      </c>
      <c r="V333" s="69" t="e">
        <v>#N/A</v>
      </c>
      <c r="W333" s="70" t="e">
        <v>#N/A</v>
      </c>
      <c r="X333" s="64" t="s">
        <v>6764</v>
      </c>
      <c r="Y333" s="64" t="s">
        <v>6764</v>
      </c>
      <c r="Z333" s="66" t="s">
        <v>6597</v>
      </c>
      <c r="AA333" s="71"/>
    </row>
    <row r="334" ht="15.75" hidden="1" customHeight="1">
      <c r="A334" s="56" t="s">
        <v>6764</v>
      </c>
      <c r="B334" s="56" t="s">
        <v>6764</v>
      </c>
      <c r="C334" s="57"/>
      <c r="D334" s="127" t="s">
        <v>6559</v>
      </c>
      <c r="E334" s="59" t="s">
        <v>6764</v>
      </c>
      <c r="F334" s="60"/>
      <c r="G334" s="61" t="s">
        <v>6764</v>
      </c>
      <c r="H334" s="83"/>
      <c r="I334" s="89" t="e">
        <v>#N/A</v>
      </c>
      <c r="J334" s="65" t="e">
        <v>#N/A</v>
      </c>
      <c r="K334" s="66"/>
      <c r="L334" s="66"/>
      <c r="M334" s="66"/>
      <c r="N334" s="66"/>
      <c r="O334" s="127" t="s">
        <v>6559</v>
      </c>
      <c r="P334" s="59" t="e">
        <v>#N/A</v>
      </c>
      <c r="Q334" s="67" t="e">
        <v>#N/A</v>
      </c>
      <c r="R334" s="68" t="e">
        <v>#N/A</v>
      </c>
      <c r="S334" s="62" t="e">
        <v>#N/A</v>
      </c>
      <c r="T334" s="62" t="e">
        <v>#N/A</v>
      </c>
      <c r="U334" s="63">
        <v>0.0</v>
      </c>
      <c r="V334" s="69" t="e">
        <v>#N/A</v>
      </c>
      <c r="W334" s="70" t="e">
        <v>#N/A</v>
      </c>
      <c r="X334" s="64" t="s">
        <v>6764</v>
      </c>
      <c r="Y334" s="64" t="s">
        <v>6764</v>
      </c>
      <c r="Z334" s="66" t="s">
        <v>6597</v>
      </c>
      <c r="AA334" s="71"/>
    </row>
    <row r="335" ht="15.75" hidden="1" customHeight="1">
      <c r="A335" s="56" t="s">
        <v>6764</v>
      </c>
      <c r="B335" s="56" t="s">
        <v>6764</v>
      </c>
      <c r="C335" s="57"/>
      <c r="D335" s="127" t="s">
        <v>6559</v>
      </c>
      <c r="E335" s="59" t="s">
        <v>6764</v>
      </c>
      <c r="F335" s="60"/>
      <c r="G335" s="61" t="s">
        <v>6764</v>
      </c>
      <c r="H335" s="83"/>
      <c r="I335" s="89" t="e">
        <v>#N/A</v>
      </c>
      <c r="J335" s="65" t="e">
        <v>#N/A</v>
      </c>
      <c r="K335" s="66"/>
      <c r="L335" s="66"/>
      <c r="M335" s="66"/>
      <c r="N335" s="66"/>
      <c r="O335" s="127" t="s">
        <v>6559</v>
      </c>
      <c r="P335" s="59" t="e">
        <v>#N/A</v>
      </c>
      <c r="Q335" s="67" t="e">
        <v>#N/A</v>
      </c>
      <c r="R335" s="68" t="e">
        <v>#N/A</v>
      </c>
      <c r="S335" s="62" t="e">
        <v>#N/A</v>
      </c>
      <c r="T335" s="62" t="e">
        <v>#N/A</v>
      </c>
      <c r="U335" s="63">
        <v>0.0</v>
      </c>
      <c r="V335" s="69" t="e">
        <v>#N/A</v>
      </c>
      <c r="W335" s="70" t="e">
        <v>#N/A</v>
      </c>
      <c r="X335" s="64" t="s">
        <v>6764</v>
      </c>
      <c r="Y335" s="64" t="s">
        <v>6764</v>
      </c>
      <c r="Z335" s="66" t="s">
        <v>6597</v>
      </c>
      <c r="AA335" s="71"/>
    </row>
    <row r="336" ht="15.75" hidden="1" customHeight="1">
      <c r="A336" s="56" t="s">
        <v>6764</v>
      </c>
      <c r="B336" s="56" t="s">
        <v>6764</v>
      </c>
      <c r="C336" s="57"/>
      <c r="D336" s="127" t="s">
        <v>6559</v>
      </c>
      <c r="E336" s="59" t="s">
        <v>6764</v>
      </c>
      <c r="F336" s="60"/>
      <c r="G336" s="61" t="s">
        <v>6764</v>
      </c>
      <c r="H336" s="83"/>
      <c r="I336" s="89" t="e">
        <v>#N/A</v>
      </c>
      <c r="J336" s="65" t="e">
        <v>#N/A</v>
      </c>
      <c r="K336" s="66"/>
      <c r="L336" s="66"/>
      <c r="M336" s="66"/>
      <c r="N336" s="66"/>
      <c r="O336" s="127" t="s">
        <v>6559</v>
      </c>
      <c r="P336" s="59" t="e">
        <v>#N/A</v>
      </c>
      <c r="Q336" s="67" t="e">
        <v>#N/A</v>
      </c>
      <c r="R336" s="68" t="e">
        <v>#N/A</v>
      </c>
      <c r="S336" s="62" t="e">
        <v>#N/A</v>
      </c>
      <c r="T336" s="62" t="e">
        <v>#N/A</v>
      </c>
      <c r="U336" s="63">
        <v>0.0</v>
      </c>
      <c r="V336" s="69" t="e">
        <v>#N/A</v>
      </c>
      <c r="W336" s="70" t="e">
        <v>#N/A</v>
      </c>
      <c r="X336" s="64" t="s">
        <v>6764</v>
      </c>
      <c r="Y336" s="64" t="s">
        <v>6764</v>
      </c>
      <c r="Z336" s="66" t="s">
        <v>6597</v>
      </c>
      <c r="AA336" s="71"/>
    </row>
    <row r="337" ht="15.75" hidden="1" customHeight="1">
      <c r="A337" s="56" t="s">
        <v>6764</v>
      </c>
      <c r="B337" s="56" t="s">
        <v>6764</v>
      </c>
      <c r="C337" s="57"/>
      <c r="D337" s="127" t="s">
        <v>6559</v>
      </c>
      <c r="E337" s="59" t="s">
        <v>6764</v>
      </c>
      <c r="F337" s="60"/>
      <c r="G337" s="61" t="s">
        <v>6764</v>
      </c>
      <c r="H337" s="83"/>
      <c r="I337" s="89" t="e">
        <v>#N/A</v>
      </c>
      <c r="J337" s="65" t="e">
        <v>#N/A</v>
      </c>
      <c r="K337" s="66"/>
      <c r="L337" s="66"/>
      <c r="M337" s="66"/>
      <c r="N337" s="66"/>
      <c r="O337" s="127" t="s">
        <v>6559</v>
      </c>
      <c r="P337" s="59" t="e">
        <v>#N/A</v>
      </c>
      <c r="Q337" s="67" t="e">
        <v>#N/A</v>
      </c>
      <c r="R337" s="68" t="e">
        <v>#N/A</v>
      </c>
      <c r="S337" s="62" t="e">
        <v>#N/A</v>
      </c>
      <c r="T337" s="62" t="e">
        <v>#N/A</v>
      </c>
      <c r="U337" s="63">
        <v>0.0</v>
      </c>
      <c r="V337" s="69" t="e">
        <v>#N/A</v>
      </c>
      <c r="W337" s="70" t="e">
        <v>#N/A</v>
      </c>
      <c r="X337" s="64" t="s">
        <v>6764</v>
      </c>
      <c r="Y337" s="64" t="s">
        <v>6764</v>
      </c>
      <c r="Z337" s="66" t="s">
        <v>6597</v>
      </c>
      <c r="AA337" s="71"/>
    </row>
    <row r="338" ht="15.75" hidden="1" customHeight="1">
      <c r="A338" s="56" t="s">
        <v>6764</v>
      </c>
      <c r="B338" s="56" t="s">
        <v>6764</v>
      </c>
      <c r="C338" s="57"/>
      <c r="D338" s="127" t="s">
        <v>6559</v>
      </c>
      <c r="E338" s="59" t="s">
        <v>6764</v>
      </c>
      <c r="F338" s="60"/>
      <c r="G338" s="61" t="s">
        <v>6764</v>
      </c>
      <c r="H338" s="83"/>
      <c r="I338" s="89" t="e">
        <v>#N/A</v>
      </c>
      <c r="J338" s="65" t="e">
        <v>#N/A</v>
      </c>
      <c r="K338" s="66"/>
      <c r="L338" s="66"/>
      <c r="M338" s="66"/>
      <c r="N338" s="66"/>
      <c r="O338" s="127" t="s">
        <v>6559</v>
      </c>
      <c r="P338" s="59" t="e">
        <v>#N/A</v>
      </c>
      <c r="Q338" s="67" t="e">
        <v>#N/A</v>
      </c>
      <c r="R338" s="68" t="e">
        <v>#N/A</v>
      </c>
      <c r="S338" s="62" t="e">
        <v>#N/A</v>
      </c>
      <c r="T338" s="62" t="e">
        <v>#N/A</v>
      </c>
      <c r="U338" s="63">
        <v>0.0</v>
      </c>
      <c r="V338" s="69" t="e">
        <v>#N/A</v>
      </c>
      <c r="W338" s="70" t="e">
        <v>#N/A</v>
      </c>
      <c r="X338" s="64" t="s">
        <v>6764</v>
      </c>
      <c r="Y338" s="64" t="s">
        <v>6764</v>
      </c>
      <c r="Z338" s="66" t="s">
        <v>6597</v>
      </c>
      <c r="AA338" s="71"/>
    </row>
    <row r="339" ht="15.75" hidden="1" customHeight="1">
      <c r="A339" s="56" t="s">
        <v>6764</v>
      </c>
      <c r="B339" s="56" t="s">
        <v>6764</v>
      </c>
      <c r="C339" s="57"/>
      <c r="D339" s="127" t="s">
        <v>6559</v>
      </c>
      <c r="E339" s="59" t="s">
        <v>6764</v>
      </c>
      <c r="F339" s="60"/>
      <c r="G339" s="61" t="s">
        <v>6764</v>
      </c>
      <c r="H339" s="83"/>
      <c r="I339" s="89" t="e">
        <v>#N/A</v>
      </c>
      <c r="J339" s="65" t="e">
        <v>#N/A</v>
      </c>
      <c r="K339" s="66"/>
      <c r="L339" s="66"/>
      <c r="M339" s="66"/>
      <c r="N339" s="66"/>
      <c r="O339" s="127" t="s">
        <v>6559</v>
      </c>
      <c r="P339" s="59" t="e">
        <v>#N/A</v>
      </c>
      <c r="Q339" s="67" t="e">
        <v>#N/A</v>
      </c>
      <c r="R339" s="68" t="e">
        <v>#N/A</v>
      </c>
      <c r="S339" s="62" t="e">
        <v>#N/A</v>
      </c>
      <c r="T339" s="62" t="e">
        <v>#N/A</v>
      </c>
      <c r="U339" s="63">
        <v>0.0</v>
      </c>
      <c r="V339" s="69" t="e">
        <v>#N/A</v>
      </c>
      <c r="W339" s="70" t="e">
        <v>#N/A</v>
      </c>
      <c r="X339" s="64" t="s">
        <v>6764</v>
      </c>
      <c r="Y339" s="64" t="s">
        <v>6764</v>
      </c>
      <c r="Z339" s="66" t="s">
        <v>6597</v>
      </c>
      <c r="AA339" s="71"/>
    </row>
    <row r="340" ht="15.75" hidden="1" customHeight="1">
      <c r="A340" s="56" t="s">
        <v>6764</v>
      </c>
      <c r="B340" s="56" t="s">
        <v>6764</v>
      </c>
      <c r="C340" s="57"/>
      <c r="D340" s="127" t="s">
        <v>6559</v>
      </c>
      <c r="E340" s="59" t="s">
        <v>6764</v>
      </c>
      <c r="F340" s="60"/>
      <c r="G340" s="61" t="s">
        <v>6764</v>
      </c>
      <c r="H340" s="83"/>
      <c r="I340" s="89" t="e">
        <v>#N/A</v>
      </c>
      <c r="J340" s="65" t="e">
        <v>#N/A</v>
      </c>
      <c r="K340" s="66"/>
      <c r="L340" s="66"/>
      <c r="M340" s="66"/>
      <c r="N340" s="66"/>
      <c r="O340" s="127" t="s">
        <v>6559</v>
      </c>
      <c r="P340" s="59" t="e">
        <v>#N/A</v>
      </c>
      <c r="Q340" s="67" t="e">
        <v>#N/A</v>
      </c>
      <c r="R340" s="68" t="e">
        <v>#N/A</v>
      </c>
      <c r="S340" s="62" t="e">
        <v>#N/A</v>
      </c>
      <c r="T340" s="62" t="e">
        <v>#N/A</v>
      </c>
      <c r="U340" s="63">
        <v>0.0</v>
      </c>
      <c r="V340" s="69" t="e">
        <v>#N/A</v>
      </c>
      <c r="W340" s="70" t="e">
        <v>#N/A</v>
      </c>
      <c r="X340" s="64" t="s">
        <v>6764</v>
      </c>
      <c r="Y340" s="64" t="s">
        <v>6764</v>
      </c>
      <c r="Z340" s="66" t="s">
        <v>6597</v>
      </c>
      <c r="AA340" s="71"/>
    </row>
    <row r="341" ht="15.75" hidden="1" customHeight="1">
      <c r="A341" s="56" t="s">
        <v>6764</v>
      </c>
      <c r="B341" s="56" t="s">
        <v>6764</v>
      </c>
      <c r="C341" s="57"/>
      <c r="D341" s="127" t="s">
        <v>6559</v>
      </c>
      <c r="E341" s="59" t="s">
        <v>6764</v>
      </c>
      <c r="F341" s="60"/>
      <c r="G341" s="61" t="s">
        <v>6764</v>
      </c>
      <c r="H341" s="83"/>
      <c r="I341" s="89" t="e">
        <v>#N/A</v>
      </c>
      <c r="J341" s="65" t="e">
        <v>#N/A</v>
      </c>
      <c r="K341" s="66"/>
      <c r="L341" s="66"/>
      <c r="M341" s="66"/>
      <c r="N341" s="66"/>
      <c r="O341" s="127" t="s">
        <v>6559</v>
      </c>
      <c r="P341" s="59" t="e">
        <v>#N/A</v>
      </c>
      <c r="Q341" s="67" t="e">
        <v>#N/A</v>
      </c>
      <c r="R341" s="68" t="e">
        <v>#N/A</v>
      </c>
      <c r="S341" s="62" t="e">
        <v>#N/A</v>
      </c>
      <c r="T341" s="62" t="e">
        <v>#N/A</v>
      </c>
      <c r="U341" s="63">
        <v>0.0</v>
      </c>
      <c r="V341" s="69" t="e">
        <v>#N/A</v>
      </c>
      <c r="W341" s="70" t="e">
        <v>#N/A</v>
      </c>
      <c r="X341" s="64" t="s">
        <v>6764</v>
      </c>
      <c r="Y341" s="64" t="s">
        <v>6764</v>
      </c>
      <c r="Z341" s="66" t="s">
        <v>6597</v>
      </c>
      <c r="AA341" s="71"/>
    </row>
    <row r="342" ht="15.75" hidden="1" customHeight="1">
      <c r="A342" s="56" t="s">
        <v>6764</v>
      </c>
      <c r="B342" s="56" t="s">
        <v>6764</v>
      </c>
      <c r="C342" s="57"/>
      <c r="D342" s="127" t="s">
        <v>6559</v>
      </c>
      <c r="E342" s="59" t="s">
        <v>6764</v>
      </c>
      <c r="F342" s="60"/>
      <c r="G342" s="61" t="s">
        <v>6764</v>
      </c>
      <c r="H342" s="83"/>
      <c r="I342" s="89" t="e">
        <v>#N/A</v>
      </c>
      <c r="J342" s="65" t="e">
        <v>#N/A</v>
      </c>
      <c r="K342" s="66"/>
      <c r="L342" s="66"/>
      <c r="M342" s="66"/>
      <c r="N342" s="66"/>
      <c r="O342" s="127" t="s">
        <v>6559</v>
      </c>
      <c r="P342" s="59" t="e">
        <v>#N/A</v>
      </c>
      <c r="Q342" s="67" t="e">
        <v>#N/A</v>
      </c>
      <c r="R342" s="68" t="e">
        <v>#N/A</v>
      </c>
      <c r="S342" s="62" t="e">
        <v>#N/A</v>
      </c>
      <c r="T342" s="62" t="e">
        <v>#N/A</v>
      </c>
      <c r="U342" s="63">
        <v>0.0</v>
      </c>
      <c r="V342" s="69" t="e">
        <v>#N/A</v>
      </c>
      <c r="W342" s="70" t="e">
        <v>#N/A</v>
      </c>
      <c r="X342" s="64" t="s">
        <v>6764</v>
      </c>
      <c r="Y342" s="64" t="s">
        <v>6764</v>
      </c>
      <c r="Z342" s="66" t="s">
        <v>6597</v>
      </c>
      <c r="AA342" s="71"/>
    </row>
    <row r="343" ht="15.75" hidden="1" customHeight="1">
      <c r="A343" s="56" t="s">
        <v>6764</v>
      </c>
      <c r="B343" s="56" t="s">
        <v>6764</v>
      </c>
      <c r="C343" s="57"/>
      <c r="D343" s="127" t="s">
        <v>6559</v>
      </c>
      <c r="E343" s="59" t="s">
        <v>6764</v>
      </c>
      <c r="F343" s="60"/>
      <c r="G343" s="61" t="s">
        <v>6764</v>
      </c>
      <c r="H343" s="83"/>
      <c r="I343" s="89" t="e">
        <v>#N/A</v>
      </c>
      <c r="J343" s="65" t="e">
        <v>#N/A</v>
      </c>
      <c r="K343" s="66"/>
      <c r="L343" s="66"/>
      <c r="M343" s="66"/>
      <c r="N343" s="66"/>
      <c r="O343" s="127" t="s">
        <v>6559</v>
      </c>
      <c r="P343" s="59" t="e">
        <v>#N/A</v>
      </c>
      <c r="Q343" s="67" t="e">
        <v>#N/A</v>
      </c>
      <c r="R343" s="68" t="e">
        <v>#N/A</v>
      </c>
      <c r="S343" s="62" t="e">
        <v>#N/A</v>
      </c>
      <c r="T343" s="62" t="e">
        <v>#N/A</v>
      </c>
      <c r="U343" s="63">
        <v>0.0</v>
      </c>
      <c r="V343" s="69" t="e">
        <v>#N/A</v>
      </c>
      <c r="W343" s="70" t="e">
        <v>#N/A</v>
      </c>
      <c r="X343" s="64" t="s">
        <v>6764</v>
      </c>
      <c r="Y343" s="64" t="s">
        <v>6764</v>
      </c>
      <c r="Z343" s="66" t="s">
        <v>6597</v>
      </c>
      <c r="AA343" s="71"/>
    </row>
    <row r="344" ht="15.75" hidden="1" customHeight="1">
      <c r="A344" s="56" t="s">
        <v>6764</v>
      </c>
      <c r="B344" s="56" t="s">
        <v>6764</v>
      </c>
      <c r="C344" s="57"/>
      <c r="D344" s="127" t="s">
        <v>6559</v>
      </c>
      <c r="E344" s="59" t="s">
        <v>6764</v>
      </c>
      <c r="F344" s="60"/>
      <c r="G344" s="61" t="s">
        <v>6764</v>
      </c>
      <c r="H344" s="83"/>
      <c r="I344" s="89" t="e">
        <v>#N/A</v>
      </c>
      <c r="J344" s="65" t="e">
        <v>#N/A</v>
      </c>
      <c r="K344" s="66"/>
      <c r="L344" s="66"/>
      <c r="M344" s="66"/>
      <c r="N344" s="66"/>
      <c r="O344" s="127" t="s">
        <v>6559</v>
      </c>
      <c r="P344" s="59" t="e">
        <v>#N/A</v>
      </c>
      <c r="Q344" s="67" t="e">
        <v>#N/A</v>
      </c>
      <c r="R344" s="68" t="e">
        <v>#N/A</v>
      </c>
      <c r="S344" s="62" t="e">
        <v>#N/A</v>
      </c>
      <c r="T344" s="62" t="e">
        <v>#N/A</v>
      </c>
      <c r="U344" s="63">
        <v>0.0</v>
      </c>
      <c r="V344" s="69" t="e">
        <v>#N/A</v>
      </c>
      <c r="W344" s="70" t="e">
        <v>#N/A</v>
      </c>
      <c r="X344" s="64" t="s">
        <v>6764</v>
      </c>
      <c r="Y344" s="64" t="s">
        <v>6764</v>
      </c>
      <c r="Z344" s="66" t="s">
        <v>6597</v>
      </c>
      <c r="AA344" s="71"/>
    </row>
    <row r="345" ht="15.75" hidden="1" customHeight="1">
      <c r="A345" s="56" t="s">
        <v>6764</v>
      </c>
      <c r="B345" s="56" t="s">
        <v>6764</v>
      </c>
      <c r="C345" s="57"/>
      <c r="D345" s="127" t="s">
        <v>6559</v>
      </c>
      <c r="E345" s="59" t="s">
        <v>6764</v>
      </c>
      <c r="F345" s="60"/>
      <c r="G345" s="61" t="s">
        <v>6764</v>
      </c>
      <c r="H345" s="83"/>
      <c r="I345" s="89" t="e">
        <v>#N/A</v>
      </c>
      <c r="J345" s="65" t="e">
        <v>#N/A</v>
      </c>
      <c r="K345" s="66"/>
      <c r="L345" s="66"/>
      <c r="M345" s="66"/>
      <c r="N345" s="66"/>
      <c r="O345" s="127" t="s">
        <v>6559</v>
      </c>
      <c r="P345" s="59" t="e">
        <v>#N/A</v>
      </c>
      <c r="Q345" s="67" t="e">
        <v>#N/A</v>
      </c>
      <c r="R345" s="68" t="e">
        <v>#N/A</v>
      </c>
      <c r="S345" s="62" t="e">
        <v>#N/A</v>
      </c>
      <c r="T345" s="62" t="e">
        <v>#N/A</v>
      </c>
      <c r="U345" s="63">
        <v>0.0</v>
      </c>
      <c r="V345" s="69" t="e">
        <v>#N/A</v>
      </c>
      <c r="W345" s="70" t="e">
        <v>#N/A</v>
      </c>
      <c r="X345" s="64" t="s">
        <v>6764</v>
      </c>
      <c r="Y345" s="64" t="s">
        <v>6764</v>
      </c>
      <c r="Z345" s="66" t="s">
        <v>6597</v>
      </c>
      <c r="AA345" s="71"/>
    </row>
    <row r="346" ht="15.75" hidden="1" customHeight="1">
      <c r="A346" s="56" t="s">
        <v>6764</v>
      </c>
      <c r="B346" s="56" t="s">
        <v>6764</v>
      </c>
      <c r="C346" s="57"/>
      <c r="D346" s="127" t="s">
        <v>6559</v>
      </c>
      <c r="E346" s="59" t="s">
        <v>6764</v>
      </c>
      <c r="F346" s="60"/>
      <c r="G346" s="61" t="s">
        <v>6764</v>
      </c>
      <c r="H346" s="83"/>
      <c r="I346" s="89" t="e">
        <v>#N/A</v>
      </c>
      <c r="J346" s="65" t="e">
        <v>#N/A</v>
      </c>
      <c r="K346" s="66"/>
      <c r="L346" s="66"/>
      <c r="M346" s="66"/>
      <c r="N346" s="66"/>
      <c r="O346" s="127" t="s">
        <v>6559</v>
      </c>
      <c r="P346" s="59" t="e">
        <v>#N/A</v>
      </c>
      <c r="Q346" s="67" t="e">
        <v>#N/A</v>
      </c>
      <c r="R346" s="68" t="e">
        <v>#N/A</v>
      </c>
      <c r="S346" s="62" t="e">
        <v>#N/A</v>
      </c>
      <c r="T346" s="62" t="e">
        <v>#N/A</v>
      </c>
      <c r="U346" s="63">
        <v>0.0</v>
      </c>
      <c r="V346" s="69" t="e">
        <v>#N/A</v>
      </c>
      <c r="W346" s="70" t="e">
        <v>#N/A</v>
      </c>
      <c r="X346" s="64" t="s">
        <v>6764</v>
      </c>
      <c r="Y346" s="64" t="s">
        <v>6764</v>
      </c>
      <c r="Z346" s="66" t="s">
        <v>6597</v>
      </c>
      <c r="AA346" s="71"/>
    </row>
    <row r="347" ht="15.75" hidden="1" customHeight="1">
      <c r="A347" s="56" t="s">
        <v>6764</v>
      </c>
      <c r="B347" s="56" t="s">
        <v>6764</v>
      </c>
      <c r="C347" s="57"/>
      <c r="D347" s="127" t="s">
        <v>6559</v>
      </c>
      <c r="E347" s="59" t="s">
        <v>6764</v>
      </c>
      <c r="F347" s="60"/>
      <c r="G347" s="61" t="s">
        <v>6764</v>
      </c>
      <c r="H347" s="83"/>
      <c r="I347" s="89" t="e">
        <v>#N/A</v>
      </c>
      <c r="J347" s="65" t="e">
        <v>#N/A</v>
      </c>
      <c r="K347" s="66"/>
      <c r="L347" s="66"/>
      <c r="M347" s="66"/>
      <c r="N347" s="66"/>
      <c r="O347" s="127" t="s">
        <v>6559</v>
      </c>
      <c r="P347" s="59" t="e">
        <v>#N/A</v>
      </c>
      <c r="Q347" s="67" t="e">
        <v>#N/A</v>
      </c>
      <c r="R347" s="68" t="e">
        <v>#N/A</v>
      </c>
      <c r="S347" s="62" t="e">
        <v>#N/A</v>
      </c>
      <c r="T347" s="62" t="e">
        <v>#N/A</v>
      </c>
      <c r="U347" s="63">
        <v>0.0</v>
      </c>
      <c r="V347" s="69" t="e">
        <v>#N/A</v>
      </c>
      <c r="W347" s="70" t="e">
        <v>#N/A</v>
      </c>
      <c r="X347" s="64" t="s">
        <v>6764</v>
      </c>
      <c r="Y347" s="64" t="s">
        <v>6764</v>
      </c>
      <c r="Z347" s="66" t="s">
        <v>6597</v>
      </c>
      <c r="AA347" s="71"/>
    </row>
    <row r="348" ht="15.75" hidden="1" customHeight="1">
      <c r="A348" s="56" t="s">
        <v>6764</v>
      </c>
      <c r="B348" s="56" t="s">
        <v>6764</v>
      </c>
      <c r="C348" s="57"/>
      <c r="D348" s="127" t="s">
        <v>6559</v>
      </c>
      <c r="E348" s="59" t="s">
        <v>6764</v>
      </c>
      <c r="F348" s="60"/>
      <c r="G348" s="61" t="s">
        <v>6764</v>
      </c>
      <c r="H348" s="83"/>
      <c r="I348" s="89" t="e">
        <v>#N/A</v>
      </c>
      <c r="J348" s="65" t="e">
        <v>#N/A</v>
      </c>
      <c r="K348" s="66"/>
      <c r="L348" s="66"/>
      <c r="M348" s="66"/>
      <c r="N348" s="66"/>
      <c r="O348" s="127" t="s">
        <v>6559</v>
      </c>
      <c r="P348" s="59" t="e">
        <v>#N/A</v>
      </c>
      <c r="Q348" s="67" t="e">
        <v>#N/A</v>
      </c>
      <c r="R348" s="68" t="e">
        <v>#N/A</v>
      </c>
      <c r="S348" s="62" t="e">
        <v>#N/A</v>
      </c>
      <c r="T348" s="62" t="e">
        <v>#N/A</v>
      </c>
      <c r="U348" s="63">
        <v>0.0</v>
      </c>
      <c r="V348" s="69" t="e">
        <v>#N/A</v>
      </c>
      <c r="W348" s="70" t="e">
        <v>#N/A</v>
      </c>
      <c r="X348" s="64" t="s">
        <v>6764</v>
      </c>
      <c r="Y348" s="64" t="s">
        <v>6764</v>
      </c>
      <c r="Z348" s="66" t="s">
        <v>6597</v>
      </c>
      <c r="AA348" s="71"/>
    </row>
    <row r="349" ht="15.75" hidden="1" customHeight="1">
      <c r="A349" s="56" t="s">
        <v>6764</v>
      </c>
      <c r="B349" s="56" t="s">
        <v>6764</v>
      </c>
      <c r="C349" s="57"/>
      <c r="D349" s="127" t="s">
        <v>6559</v>
      </c>
      <c r="E349" s="59" t="s">
        <v>6764</v>
      </c>
      <c r="F349" s="60"/>
      <c r="G349" s="61" t="s">
        <v>6764</v>
      </c>
      <c r="H349" s="83"/>
      <c r="I349" s="89" t="e">
        <v>#N/A</v>
      </c>
      <c r="J349" s="65" t="e">
        <v>#N/A</v>
      </c>
      <c r="K349" s="66"/>
      <c r="L349" s="66"/>
      <c r="M349" s="66"/>
      <c r="N349" s="66"/>
      <c r="O349" s="127" t="s">
        <v>6559</v>
      </c>
      <c r="P349" s="59" t="e">
        <v>#N/A</v>
      </c>
      <c r="Q349" s="67" t="e">
        <v>#N/A</v>
      </c>
      <c r="R349" s="68" t="e">
        <v>#N/A</v>
      </c>
      <c r="S349" s="62" t="e">
        <v>#N/A</v>
      </c>
      <c r="T349" s="62" t="e">
        <v>#N/A</v>
      </c>
      <c r="U349" s="63">
        <v>0.0</v>
      </c>
      <c r="V349" s="69" t="e">
        <v>#N/A</v>
      </c>
      <c r="W349" s="70" t="e">
        <v>#N/A</v>
      </c>
      <c r="X349" s="64" t="s">
        <v>6764</v>
      </c>
      <c r="Y349" s="64" t="s">
        <v>6764</v>
      </c>
      <c r="Z349" s="66" t="s">
        <v>6597</v>
      </c>
      <c r="AA349" s="71"/>
    </row>
    <row r="350" ht="15.75" hidden="1" customHeight="1">
      <c r="A350" s="56" t="s">
        <v>6764</v>
      </c>
      <c r="B350" s="56" t="s">
        <v>6764</v>
      </c>
      <c r="C350" s="57"/>
      <c r="D350" s="127" t="s">
        <v>6559</v>
      </c>
      <c r="E350" s="59" t="s">
        <v>6764</v>
      </c>
      <c r="F350" s="60"/>
      <c r="G350" s="61" t="s">
        <v>6764</v>
      </c>
      <c r="H350" s="83"/>
      <c r="I350" s="89" t="e">
        <v>#N/A</v>
      </c>
      <c r="J350" s="65" t="e">
        <v>#N/A</v>
      </c>
      <c r="K350" s="66"/>
      <c r="L350" s="66"/>
      <c r="M350" s="66"/>
      <c r="N350" s="66"/>
      <c r="O350" s="127" t="s">
        <v>6559</v>
      </c>
      <c r="P350" s="59" t="e">
        <v>#N/A</v>
      </c>
      <c r="Q350" s="67" t="e">
        <v>#N/A</v>
      </c>
      <c r="R350" s="68" t="e">
        <v>#N/A</v>
      </c>
      <c r="S350" s="62" t="e">
        <v>#N/A</v>
      </c>
      <c r="T350" s="62" t="e">
        <v>#N/A</v>
      </c>
      <c r="U350" s="63">
        <v>0.0</v>
      </c>
      <c r="V350" s="69" t="e">
        <v>#N/A</v>
      </c>
      <c r="W350" s="70" t="e">
        <v>#N/A</v>
      </c>
      <c r="X350" s="64" t="s">
        <v>6764</v>
      </c>
      <c r="Y350" s="64" t="s">
        <v>6764</v>
      </c>
      <c r="Z350" s="66" t="s">
        <v>6597</v>
      </c>
      <c r="AA350" s="71"/>
    </row>
    <row r="351" ht="15.75" hidden="1" customHeight="1">
      <c r="A351" s="56" t="s">
        <v>6764</v>
      </c>
      <c r="B351" s="56" t="s">
        <v>6764</v>
      </c>
      <c r="C351" s="57"/>
      <c r="D351" s="127" t="s">
        <v>6559</v>
      </c>
      <c r="E351" s="59" t="s">
        <v>6764</v>
      </c>
      <c r="F351" s="60"/>
      <c r="G351" s="61" t="s">
        <v>6764</v>
      </c>
      <c r="H351" s="83"/>
      <c r="I351" s="89" t="e">
        <v>#N/A</v>
      </c>
      <c r="J351" s="65" t="e">
        <v>#N/A</v>
      </c>
      <c r="K351" s="66"/>
      <c r="L351" s="66"/>
      <c r="M351" s="66"/>
      <c r="N351" s="66"/>
      <c r="O351" s="127" t="s">
        <v>6559</v>
      </c>
      <c r="P351" s="59" t="e">
        <v>#N/A</v>
      </c>
      <c r="Q351" s="67" t="e">
        <v>#N/A</v>
      </c>
      <c r="R351" s="68" t="e">
        <v>#N/A</v>
      </c>
      <c r="S351" s="62" t="e">
        <v>#N/A</v>
      </c>
      <c r="T351" s="62" t="e">
        <v>#N/A</v>
      </c>
      <c r="U351" s="63">
        <v>0.0</v>
      </c>
      <c r="V351" s="69" t="e">
        <v>#N/A</v>
      </c>
      <c r="W351" s="70" t="e">
        <v>#N/A</v>
      </c>
      <c r="X351" s="64" t="s">
        <v>6764</v>
      </c>
      <c r="Y351" s="64" t="s">
        <v>6764</v>
      </c>
      <c r="Z351" s="66" t="s">
        <v>6597</v>
      </c>
      <c r="AA351" s="71"/>
    </row>
    <row r="352" ht="15.75" hidden="1" customHeight="1">
      <c r="A352" s="56" t="s">
        <v>6764</v>
      </c>
      <c r="B352" s="56" t="s">
        <v>6764</v>
      </c>
      <c r="C352" s="57"/>
      <c r="D352" s="127" t="s">
        <v>6559</v>
      </c>
      <c r="E352" s="59" t="s">
        <v>6764</v>
      </c>
      <c r="F352" s="60"/>
      <c r="G352" s="61" t="s">
        <v>6764</v>
      </c>
      <c r="H352" s="83"/>
      <c r="I352" s="89" t="e">
        <v>#N/A</v>
      </c>
      <c r="J352" s="65" t="e">
        <v>#N/A</v>
      </c>
      <c r="K352" s="66"/>
      <c r="L352" s="66"/>
      <c r="M352" s="66"/>
      <c r="N352" s="66"/>
      <c r="O352" s="127" t="s">
        <v>6559</v>
      </c>
      <c r="P352" s="59" t="e">
        <v>#N/A</v>
      </c>
      <c r="Q352" s="67" t="e">
        <v>#N/A</v>
      </c>
      <c r="R352" s="68" t="e">
        <v>#N/A</v>
      </c>
      <c r="S352" s="62" t="e">
        <v>#N/A</v>
      </c>
      <c r="T352" s="62" t="e">
        <v>#N/A</v>
      </c>
      <c r="U352" s="63">
        <v>0.0</v>
      </c>
      <c r="V352" s="69" t="e">
        <v>#N/A</v>
      </c>
      <c r="W352" s="70" t="e">
        <v>#N/A</v>
      </c>
      <c r="X352" s="64" t="s">
        <v>6764</v>
      </c>
      <c r="Y352" s="64" t="s">
        <v>6764</v>
      </c>
      <c r="Z352" s="66" t="s">
        <v>6597</v>
      </c>
      <c r="AA352" s="71"/>
    </row>
    <row r="353" ht="15.75" hidden="1" customHeight="1">
      <c r="A353" s="56" t="s">
        <v>6764</v>
      </c>
      <c r="B353" s="56" t="s">
        <v>6764</v>
      </c>
      <c r="C353" s="57"/>
      <c r="D353" s="127" t="s">
        <v>6559</v>
      </c>
      <c r="E353" s="59" t="s">
        <v>6764</v>
      </c>
      <c r="F353" s="60"/>
      <c r="G353" s="61" t="s">
        <v>6764</v>
      </c>
      <c r="H353" s="83"/>
      <c r="I353" s="89" t="e">
        <v>#N/A</v>
      </c>
      <c r="J353" s="65" t="e">
        <v>#N/A</v>
      </c>
      <c r="K353" s="66"/>
      <c r="L353" s="66"/>
      <c r="M353" s="66"/>
      <c r="N353" s="66"/>
      <c r="O353" s="127" t="s">
        <v>6559</v>
      </c>
      <c r="P353" s="59" t="e">
        <v>#N/A</v>
      </c>
      <c r="Q353" s="67" t="e">
        <v>#N/A</v>
      </c>
      <c r="R353" s="68" t="e">
        <v>#N/A</v>
      </c>
      <c r="S353" s="62" t="e">
        <v>#N/A</v>
      </c>
      <c r="T353" s="62" t="e">
        <v>#N/A</v>
      </c>
      <c r="U353" s="63">
        <v>0.0</v>
      </c>
      <c r="V353" s="69" t="e">
        <v>#N/A</v>
      </c>
      <c r="W353" s="70" t="e">
        <v>#N/A</v>
      </c>
      <c r="X353" s="64" t="s">
        <v>6764</v>
      </c>
      <c r="Y353" s="64" t="s">
        <v>6764</v>
      </c>
      <c r="Z353" s="66" t="s">
        <v>6597</v>
      </c>
      <c r="AA353" s="71"/>
    </row>
    <row r="354" ht="15.75" hidden="1" customHeight="1">
      <c r="A354" s="56" t="s">
        <v>6764</v>
      </c>
      <c r="B354" s="56" t="s">
        <v>6764</v>
      </c>
      <c r="C354" s="57"/>
      <c r="D354" s="127" t="s">
        <v>6559</v>
      </c>
      <c r="E354" s="59" t="s">
        <v>6764</v>
      </c>
      <c r="F354" s="60"/>
      <c r="G354" s="61" t="s">
        <v>6764</v>
      </c>
      <c r="H354" s="83"/>
      <c r="I354" s="89" t="e">
        <v>#N/A</v>
      </c>
      <c r="J354" s="65" t="e">
        <v>#N/A</v>
      </c>
      <c r="K354" s="66"/>
      <c r="L354" s="66"/>
      <c r="M354" s="66"/>
      <c r="N354" s="66"/>
      <c r="O354" s="127" t="s">
        <v>6559</v>
      </c>
      <c r="P354" s="59" t="e">
        <v>#N/A</v>
      </c>
      <c r="Q354" s="67" t="e">
        <v>#N/A</v>
      </c>
      <c r="R354" s="68" t="e">
        <v>#N/A</v>
      </c>
      <c r="S354" s="62" t="e">
        <v>#N/A</v>
      </c>
      <c r="T354" s="62" t="e">
        <v>#N/A</v>
      </c>
      <c r="U354" s="63">
        <v>0.0</v>
      </c>
      <c r="V354" s="69" t="e">
        <v>#N/A</v>
      </c>
      <c r="W354" s="70" t="e">
        <v>#N/A</v>
      </c>
      <c r="X354" s="64" t="s">
        <v>6764</v>
      </c>
      <c r="Y354" s="64" t="s">
        <v>6764</v>
      </c>
      <c r="Z354" s="66" t="s">
        <v>6597</v>
      </c>
      <c r="AA354" s="71"/>
    </row>
    <row r="355" ht="15.75" hidden="1" customHeight="1">
      <c r="A355" s="56" t="s">
        <v>6764</v>
      </c>
      <c r="B355" s="56" t="s">
        <v>6764</v>
      </c>
      <c r="C355" s="57"/>
      <c r="D355" s="127" t="s">
        <v>6559</v>
      </c>
      <c r="E355" s="59" t="s">
        <v>6764</v>
      </c>
      <c r="F355" s="60"/>
      <c r="G355" s="61" t="s">
        <v>6764</v>
      </c>
      <c r="H355" s="83"/>
      <c r="I355" s="89" t="e">
        <v>#N/A</v>
      </c>
      <c r="J355" s="65" t="e">
        <v>#N/A</v>
      </c>
      <c r="K355" s="66"/>
      <c r="L355" s="66"/>
      <c r="M355" s="66"/>
      <c r="N355" s="66"/>
      <c r="O355" s="127" t="s">
        <v>6559</v>
      </c>
      <c r="P355" s="59" t="e">
        <v>#N/A</v>
      </c>
      <c r="Q355" s="67" t="e">
        <v>#N/A</v>
      </c>
      <c r="R355" s="68" t="e">
        <v>#N/A</v>
      </c>
      <c r="S355" s="62" t="e">
        <v>#N/A</v>
      </c>
      <c r="T355" s="62" t="e">
        <v>#N/A</v>
      </c>
      <c r="U355" s="63">
        <v>0.0</v>
      </c>
      <c r="V355" s="69" t="e">
        <v>#N/A</v>
      </c>
      <c r="W355" s="70" t="e">
        <v>#N/A</v>
      </c>
      <c r="X355" s="64" t="s">
        <v>6764</v>
      </c>
      <c r="Y355" s="64" t="s">
        <v>6764</v>
      </c>
      <c r="Z355" s="66" t="s">
        <v>6597</v>
      </c>
      <c r="AA355" s="71"/>
    </row>
    <row r="356" ht="15.75" hidden="1" customHeight="1">
      <c r="A356" s="56" t="s">
        <v>6764</v>
      </c>
      <c r="B356" s="56" t="s">
        <v>6764</v>
      </c>
      <c r="C356" s="57"/>
      <c r="D356" s="127" t="s">
        <v>6559</v>
      </c>
      <c r="E356" s="59" t="s">
        <v>6764</v>
      </c>
      <c r="F356" s="60"/>
      <c r="G356" s="61" t="s">
        <v>6764</v>
      </c>
      <c r="H356" s="83"/>
      <c r="I356" s="89" t="e">
        <v>#N/A</v>
      </c>
      <c r="J356" s="65" t="e">
        <v>#N/A</v>
      </c>
      <c r="K356" s="66"/>
      <c r="L356" s="66"/>
      <c r="M356" s="66"/>
      <c r="N356" s="66"/>
      <c r="O356" s="127" t="s">
        <v>6559</v>
      </c>
      <c r="P356" s="59" t="e">
        <v>#N/A</v>
      </c>
      <c r="Q356" s="67" t="e">
        <v>#N/A</v>
      </c>
      <c r="R356" s="68" t="e">
        <v>#N/A</v>
      </c>
      <c r="S356" s="62" t="e">
        <v>#N/A</v>
      </c>
      <c r="T356" s="62" t="e">
        <v>#N/A</v>
      </c>
      <c r="U356" s="63">
        <v>0.0</v>
      </c>
      <c r="V356" s="69" t="e">
        <v>#N/A</v>
      </c>
      <c r="W356" s="70" t="e">
        <v>#N/A</v>
      </c>
      <c r="X356" s="64" t="s">
        <v>6764</v>
      </c>
      <c r="Y356" s="64" t="s">
        <v>6764</v>
      </c>
      <c r="Z356" s="66" t="s">
        <v>6597</v>
      </c>
      <c r="AA356" s="71"/>
    </row>
    <row r="357" ht="15.75" hidden="1" customHeight="1">
      <c r="A357" s="56" t="s">
        <v>6764</v>
      </c>
      <c r="B357" s="56" t="s">
        <v>6764</v>
      </c>
      <c r="C357" s="57"/>
      <c r="D357" s="127" t="s">
        <v>6559</v>
      </c>
      <c r="E357" s="59" t="s">
        <v>6764</v>
      </c>
      <c r="F357" s="60"/>
      <c r="G357" s="61" t="s">
        <v>6764</v>
      </c>
      <c r="H357" s="83"/>
      <c r="I357" s="89" t="e">
        <v>#N/A</v>
      </c>
      <c r="J357" s="65" t="e">
        <v>#N/A</v>
      </c>
      <c r="K357" s="66"/>
      <c r="L357" s="66"/>
      <c r="M357" s="66"/>
      <c r="N357" s="66"/>
      <c r="O357" s="127" t="s">
        <v>6559</v>
      </c>
      <c r="P357" s="59" t="e">
        <v>#N/A</v>
      </c>
      <c r="Q357" s="67" t="e">
        <v>#N/A</v>
      </c>
      <c r="R357" s="68" t="e">
        <v>#N/A</v>
      </c>
      <c r="S357" s="62" t="e">
        <v>#N/A</v>
      </c>
      <c r="T357" s="62" t="e">
        <v>#N/A</v>
      </c>
      <c r="U357" s="63">
        <v>0.0</v>
      </c>
      <c r="V357" s="69" t="e">
        <v>#N/A</v>
      </c>
      <c r="W357" s="70" t="e">
        <v>#N/A</v>
      </c>
      <c r="X357" s="64" t="s">
        <v>6764</v>
      </c>
      <c r="Y357" s="64" t="s">
        <v>6764</v>
      </c>
      <c r="Z357" s="66" t="s">
        <v>6597</v>
      </c>
      <c r="AA357" s="71"/>
    </row>
    <row r="358" ht="15.75" hidden="1" customHeight="1">
      <c r="A358" s="56" t="s">
        <v>6764</v>
      </c>
      <c r="B358" s="56" t="s">
        <v>6764</v>
      </c>
      <c r="C358" s="57"/>
      <c r="D358" s="127" t="s">
        <v>6559</v>
      </c>
      <c r="E358" s="59" t="s">
        <v>6764</v>
      </c>
      <c r="F358" s="60"/>
      <c r="G358" s="61" t="s">
        <v>6764</v>
      </c>
      <c r="H358" s="83"/>
      <c r="I358" s="89" t="e">
        <v>#N/A</v>
      </c>
      <c r="J358" s="65" t="e">
        <v>#N/A</v>
      </c>
      <c r="K358" s="66"/>
      <c r="L358" s="66"/>
      <c r="M358" s="66"/>
      <c r="N358" s="66"/>
      <c r="O358" s="127" t="s">
        <v>6559</v>
      </c>
      <c r="P358" s="59" t="e">
        <v>#N/A</v>
      </c>
      <c r="Q358" s="67" t="e">
        <v>#N/A</v>
      </c>
      <c r="R358" s="68" t="e">
        <v>#N/A</v>
      </c>
      <c r="S358" s="62" t="e">
        <v>#N/A</v>
      </c>
      <c r="T358" s="62" t="e">
        <v>#N/A</v>
      </c>
      <c r="U358" s="63">
        <v>0.0</v>
      </c>
      <c r="V358" s="69" t="e">
        <v>#N/A</v>
      </c>
      <c r="W358" s="70" t="e">
        <v>#N/A</v>
      </c>
      <c r="X358" s="64" t="s">
        <v>6764</v>
      </c>
      <c r="Y358" s="64" t="s">
        <v>6764</v>
      </c>
      <c r="Z358" s="66" t="s">
        <v>6597</v>
      </c>
      <c r="AA358" s="71"/>
    </row>
    <row r="359" ht="15.75" hidden="1" customHeight="1">
      <c r="A359" s="56" t="s">
        <v>6764</v>
      </c>
      <c r="B359" s="56" t="s">
        <v>6764</v>
      </c>
      <c r="C359" s="57"/>
      <c r="D359" s="127" t="s">
        <v>6559</v>
      </c>
      <c r="E359" s="59" t="s">
        <v>6764</v>
      </c>
      <c r="F359" s="60"/>
      <c r="G359" s="61" t="s">
        <v>6764</v>
      </c>
      <c r="H359" s="83"/>
      <c r="I359" s="89" t="e">
        <v>#N/A</v>
      </c>
      <c r="J359" s="65" t="e">
        <v>#N/A</v>
      </c>
      <c r="K359" s="66"/>
      <c r="L359" s="66"/>
      <c r="M359" s="66"/>
      <c r="N359" s="66"/>
      <c r="O359" s="127" t="s">
        <v>6559</v>
      </c>
      <c r="P359" s="59" t="e">
        <v>#N/A</v>
      </c>
      <c r="Q359" s="67" t="e">
        <v>#N/A</v>
      </c>
      <c r="R359" s="68" t="e">
        <v>#N/A</v>
      </c>
      <c r="S359" s="62" t="e">
        <v>#N/A</v>
      </c>
      <c r="T359" s="62" t="e">
        <v>#N/A</v>
      </c>
      <c r="U359" s="63">
        <v>0.0</v>
      </c>
      <c r="V359" s="69" t="e">
        <v>#N/A</v>
      </c>
      <c r="W359" s="70" t="e">
        <v>#N/A</v>
      </c>
      <c r="X359" s="64" t="s">
        <v>6764</v>
      </c>
      <c r="Y359" s="64" t="s">
        <v>6764</v>
      </c>
      <c r="Z359" s="66" t="s">
        <v>6597</v>
      </c>
      <c r="AA359" s="71"/>
    </row>
    <row r="360" ht="15.75" hidden="1" customHeight="1">
      <c r="A360" s="56" t="s">
        <v>6764</v>
      </c>
      <c r="B360" s="56" t="s">
        <v>6764</v>
      </c>
      <c r="C360" s="57"/>
      <c r="D360" s="127" t="s">
        <v>6559</v>
      </c>
      <c r="E360" s="59" t="s">
        <v>6764</v>
      </c>
      <c r="F360" s="60"/>
      <c r="G360" s="61" t="s">
        <v>6764</v>
      </c>
      <c r="H360" s="83"/>
      <c r="I360" s="89" t="e">
        <v>#N/A</v>
      </c>
      <c r="J360" s="65" t="e">
        <v>#N/A</v>
      </c>
      <c r="K360" s="66"/>
      <c r="L360" s="66"/>
      <c r="M360" s="66"/>
      <c r="N360" s="66"/>
      <c r="O360" s="127" t="s">
        <v>6559</v>
      </c>
      <c r="P360" s="59" t="e">
        <v>#N/A</v>
      </c>
      <c r="Q360" s="67" t="e">
        <v>#N/A</v>
      </c>
      <c r="R360" s="68" t="e">
        <v>#N/A</v>
      </c>
      <c r="S360" s="62" t="e">
        <v>#N/A</v>
      </c>
      <c r="T360" s="62" t="e">
        <v>#N/A</v>
      </c>
      <c r="U360" s="63">
        <v>0.0</v>
      </c>
      <c r="V360" s="69" t="e">
        <v>#N/A</v>
      </c>
      <c r="W360" s="70" t="e">
        <v>#N/A</v>
      </c>
      <c r="X360" s="64" t="s">
        <v>6764</v>
      </c>
      <c r="Y360" s="64" t="s">
        <v>6764</v>
      </c>
      <c r="Z360" s="66" t="s">
        <v>6597</v>
      </c>
      <c r="AA360" s="71"/>
    </row>
    <row r="361" ht="15.75" hidden="1" customHeight="1">
      <c r="A361" s="56" t="s">
        <v>6764</v>
      </c>
      <c r="B361" s="56" t="s">
        <v>6764</v>
      </c>
      <c r="C361" s="57"/>
      <c r="D361" s="127" t="s">
        <v>6559</v>
      </c>
      <c r="E361" s="59" t="s">
        <v>6764</v>
      </c>
      <c r="F361" s="60"/>
      <c r="G361" s="61" t="s">
        <v>6764</v>
      </c>
      <c r="H361" s="83"/>
      <c r="I361" s="89" t="e">
        <v>#N/A</v>
      </c>
      <c r="J361" s="65" t="e">
        <v>#N/A</v>
      </c>
      <c r="K361" s="66"/>
      <c r="L361" s="66"/>
      <c r="M361" s="66"/>
      <c r="N361" s="66"/>
      <c r="O361" s="127" t="s">
        <v>6559</v>
      </c>
      <c r="P361" s="59" t="e">
        <v>#N/A</v>
      </c>
      <c r="Q361" s="67" t="e">
        <v>#N/A</v>
      </c>
      <c r="R361" s="68" t="e">
        <v>#N/A</v>
      </c>
      <c r="S361" s="62" t="e">
        <v>#N/A</v>
      </c>
      <c r="T361" s="62" t="e">
        <v>#N/A</v>
      </c>
      <c r="U361" s="63">
        <v>0.0</v>
      </c>
      <c r="V361" s="69" t="e">
        <v>#N/A</v>
      </c>
      <c r="W361" s="70" t="e">
        <v>#N/A</v>
      </c>
      <c r="X361" s="64" t="s">
        <v>6764</v>
      </c>
      <c r="Y361" s="64" t="s">
        <v>6764</v>
      </c>
      <c r="Z361" s="66" t="s">
        <v>6597</v>
      </c>
      <c r="AA361" s="71"/>
    </row>
    <row r="362" ht="15.75" hidden="1" customHeight="1">
      <c r="A362" s="56" t="s">
        <v>6764</v>
      </c>
      <c r="B362" s="56" t="s">
        <v>6764</v>
      </c>
      <c r="C362" s="57"/>
      <c r="D362" s="127" t="s">
        <v>6559</v>
      </c>
      <c r="E362" s="59" t="s">
        <v>6764</v>
      </c>
      <c r="F362" s="60"/>
      <c r="G362" s="61" t="s">
        <v>6764</v>
      </c>
      <c r="H362" s="83"/>
      <c r="I362" s="89" t="e">
        <v>#N/A</v>
      </c>
      <c r="J362" s="65" t="e">
        <v>#N/A</v>
      </c>
      <c r="K362" s="66"/>
      <c r="L362" s="66"/>
      <c r="M362" s="66"/>
      <c r="N362" s="66"/>
      <c r="O362" s="127" t="s">
        <v>6559</v>
      </c>
      <c r="P362" s="59" t="e">
        <v>#N/A</v>
      </c>
      <c r="Q362" s="67" t="e">
        <v>#N/A</v>
      </c>
      <c r="R362" s="68" t="e">
        <v>#N/A</v>
      </c>
      <c r="S362" s="62" t="e">
        <v>#N/A</v>
      </c>
      <c r="T362" s="62" t="e">
        <v>#N/A</v>
      </c>
      <c r="U362" s="63">
        <v>0.0</v>
      </c>
      <c r="V362" s="69" t="e">
        <v>#N/A</v>
      </c>
      <c r="W362" s="70" t="e">
        <v>#N/A</v>
      </c>
      <c r="X362" s="64" t="s">
        <v>6764</v>
      </c>
      <c r="Y362" s="64" t="s">
        <v>6764</v>
      </c>
      <c r="Z362" s="66" t="s">
        <v>6597</v>
      </c>
      <c r="AA362" s="71"/>
    </row>
    <row r="363" ht="15.75" hidden="1" customHeight="1">
      <c r="A363" s="56" t="s">
        <v>6764</v>
      </c>
      <c r="B363" s="56" t="s">
        <v>6764</v>
      </c>
      <c r="C363" s="57"/>
      <c r="D363" s="127" t="s">
        <v>6559</v>
      </c>
      <c r="E363" s="59" t="s">
        <v>6764</v>
      </c>
      <c r="F363" s="60"/>
      <c r="G363" s="61" t="s">
        <v>6764</v>
      </c>
      <c r="H363" s="83"/>
      <c r="I363" s="89" t="e">
        <v>#N/A</v>
      </c>
      <c r="J363" s="65" t="e">
        <v>#N/A</v>
      </c>
      <c r="K363" s="66"/>
      <c r="L363" s="66"/>
      <c r="M363" s="66"/>
      <c r="N363" s="66"/>
      <c r="O363" s="127" t="s">
        <v>6559</v>
      </c>
      <c r="P363" s="59" t="e">
        <v>#N/A</v>
      </c>
      <c r="Q363" s="67" t="e">
        <v>#N/A</v>
      </c>
      <c r="R363" s="68" t="e">
        <v>#N/A</v>
      </c>
      <c r="S363" s="62" t="e">
        <v>#N/A</v>
      </c>
      <c r="T363" s="62" t="e">
        <v>#N/A</v>
      </c>
      <c r="U363" s="63">
        <v>0.0</v>
      </c>
      <c r="V363" s="69" t="e">
        <v>#N/A</v>
      </c>
      <c r="W363" s="70" t="e">
        <v>#N/A</v>
      </c>
      <c r="X363" s="64" t="s">
        <v>6764</v>
      </c>
      <c r="Y363" s="64" t="s">
        <v>6764</v>
      </c>
      <c r="Z363" s="66" t="s">
        <v>6597</v>
      </c>
      <c r="AA363" s="71"/>
    </row>
    <row r="364" ht="15.75" hidden="1" customHeight="1">
      <c r="A364" s="56" t="s">
        <v>6764</v>
      </c>
      <c r="B364" s="56" t="s">
        <v>6764</v>
      </c>
      <c r="C364" s="57"/>
      <c r="D364" s="127" t="s">
        <v>6559</v>
      </c>
      <c r="E364" s="59" t="s">
        <v>6764</v>
      </c>
      <c r="F364" s="60"/>
      <c r="G364" s="61" t="s">
        <v>6764</v>
      </c>
      <c r="H364" s="83"/>
      <c r="I364" s="89" t="e">
        <v>#N/A</v>
      </c>
      <c r="J364" s="65" t="e">
        <v>#N/A</v>
      </c>
      <c r="K364" s="66"/>
      <c r="L364" s="66"/>
      <c r="M364" s="66"/>
      <c r="N364" s="66"/>
      <c r="O364" s="127" t="s">
        <v>6559</v>
      </c>
      <c r="P364" s="59" t="e">
        <v>#N/A</v>
      </c>
      <c r="Q364" s="67" t="e">
        <v>#N/A</v>
      </c>
      <c r="R364" s="68" t="e">
        <v>#N/A</v>
      </c>
      <c r="S364" s="62" t="e">
        <v>#N/A</v>
      </c>
      <c r="T364" s="62" t="e">
        <v>#N/A</v>
      </c>
      <c r="U364" s="63">
        <v>0.0</v>
      </c>
      <c r="V364" s="69" t="e">
        <v>#N/A</v>
      </c>
      <c r="W364" s="70" t="e">
        <v>#N/A</v>
      </c>
      <c r="X364" s="64" t="s">
        <v>6764</v>
      </c>
      <c r="Y364" s="64" t="s">
        <v>6764</v>
      </c>
      <c r="Z364" s="66" t="s">
        <v>6597</v>
      </c>
      <c r="AA364" s="71"/>
    </row>
    <row r="365" ht="15.75" hidden="1" customHeight="1">
      <c r="A365" s="56" t="s">
        <v>6764</v>
      </c>
      <c r="B365" s="56" t="s">
        <v>6764</v>
      </c>
      <c r="C365" s="57"/>
      <c r="D365" s="127" t="s">
        <v>6559</v>
      </c>
      <c r="E365" s="59" t="s">
        <v>6764</v>
      </c>
      <c r="F365" s="60"/>
      <c r="G365" s="61" t="s">
        <v>6764</v>
      </c>
      <c r="H365" s="83"/>
      <c r="I365" s="89" t="e">
        <v>#N/A</v>
      </c>
      <c r="J365" s="65" t="e">
        <v>#N/A</v>
      </c>
      <c r="K365" s="66"/>
      <c r="L365" s="66"/>
      <c r="M365" s="66"/>
      <c r="N365" s="66"/>
      <c r="O365" s="127" t="s">
        <v>6559</v>
      </c>
      <c r="P365" s="59" t="e">
        <v>#N/A</v>
      </c>
      <c r="Q365" s="67" t="e">
        <v>#N/A</v>
      </c>
      <c r="R365" s="68" t="e">
        <v>#N/A</v>
      </c>
      <c r="S365" s="62" t="e">
        <v>#N/A</v>
      </c>
      <c r="T365" s="62" t="e">
        <v>#N/A</v>
      </c>
      <c r="U365" s="63">
        <v>0.0</v>
      </c>
      <c r="V365" s="69" t="e">
        <v>#N/A</v>
      </c>
      <c r="W365" s="70" t="e">
        <v>#N/A</v>
      </c>
      <c r="X365" s="64" t="s">
        <v>6764</v>
      </c>
      <c r="Y365" s="64" t="s">
        <v>6764</v>
      </c>
      <c r="Z365" s="66" t="s">
        <v>6597</v>
      </c>
      <c r="AA365" s="71"/>
    </row>
    <row r="366" ht="15.75" hidden="1" customHeight="1">
      <c r="A366" s="56" t="s">
        <v>6764</v>
      </c>
      <c r="B366" s="56" t="s">
        <v>6764</v>
      </c>
      <c r="C366" s="57"/>
      <c r="D366" s="127" t="s">
        <v>6559</v>
      </c>
      <c r="E366" s="59" t="s">
        <v>6764</v>
      </c>
      <c r="F366" s="60"/>
      <c r="G366" s="61" t="s">
        <v>6764</v>
      </c>
      <c r="H366" s="83"/>
      <c r="I366" s="89" t="e">
        <v>#N/A</v>
      </c>
      <c r="J366" s="65" t="e">
        <v>#N/A</v>
      </c>
      <c r="K366" s="66"/>
      <c r="L366" s="66"/>
      <c r="M366" s="66"/>
      <c r="N366" s="66"/>
      <c r="O366" s="127" t="s">
        <v>6559</v>
      </c>
      <c r="P366" s="59" t="e">
        <v>#N/A</v>
      </c>
      <c r="Q366" s="67" t="e">
        <v>#N/A</v>
      </c>
      <c r="R366" s="68" t="e">
        <v>#N/A</v>
      </c>
      <c r="S366" s="62" t="e">
        <v>#N/A</v>
      </c>
      <c r="T366" s="62" t="e">
        <v>#N/A</v>
      </c>
      <c r="U366" s="63">
        <v>0.0</v>
      </c>
      <c r="V366" s="69" t="e">
        <v>#N/A</v>
      </c>
      <c r="W366" s="70" t="e">
        <v>#N/A</v>
      </c>
      <c r="X366" s="64" t="s">
        <v>6764</v>
      </c>
      <c r="Y366" s="64" t="s">
        <v>6764</v>
      </c>
      <c r="Z366" s="66" t="s">
        <v>6597</v>
      </c>
      <c r="AA366" s="71"/>
    </row>
    <row r="367" ht="15.75" hidden="1" customHeight="1">
      <c r="A367" s="56" t="s">
        <v>6764</v>
      </c>
      <c r="B367" s="56" t="s">
        <v>6764</v>
      </c>
      <c r="C367" s="57"/>
      <c r="D367" s="127" t="s">
        <v>6559</v>
      </c>
      <c r="E367" s="59" t="s">
        <v>6764</v>
      </c>
      <c r="F367" s="60"/>
      <c r="G367" s="61" t="s">
        <v>6764</v>
      </c>
      <c r="H367" s="83"/>
      <c r="I367" s="89" t="e">
        <v>#N/A</v>
      </c>
      <c r="J367" s="65" t="e">
        <v>#N/A</v>
      </c>
      <c r="K367" s="66"/>
      <c r="L367" s="66"/>
      <c r="M367" s="66"/>
      <c r="N367" s="66"/>
      <c r="O367" s="127" t="s">
        <v>6559</v>
      </c>
      <c r="P367" s="59" t="e">
        <v>#N/A</v>
      </c>
      <c r="Q367" s="67" t="e">
        <v>#N/A</v>
      </c>
      <c r="R367" s="68" t="e">
        <v>#N/A</v>
      </c>
      <c r="S367" s="62" t="e">
        <v>#N/A</v>
      </c>
      <c r="T367" s="62" t="e">
        <v>#N/A</v>
      </c>
      <c r="U367" s="63">
        <v>0.0</v>
      </c>
      <c r="V367" s="69" t="e">
        <v>#N/A</v>
      </c>
      <c r="W367" s="70" t="e">
        <v>#N/A</v>
      </c>
      <c r="X367" s="64" t="s">
        <v>6764</v>
      </c>
      <c r="Y367" s="64" t="s">
        <v>6764</v>
      </c>
      <c r="Z367" s="66" t="s">
        <v>6597</v>
      </c>
      <c r="AA367" s="71"/>
    </row>
    <row r="368" ht="15.75" hidden="1" customHeight="1">
      <c r="A368" s="56" t="s">
        <v>6764</v>
      </c>
      <c r="B368" s="56" t="s">
        <v>6764</v>
      </c>
      <c r="C368" s="57"/>
      <c r="D368" s="127" t="s">
        <v>6559</v>
      </c>
      <c r="E368" s="59" t="s">
        <v>6764</v>
      </c>
      <c r="F368" s="60"/>
      <c r="G368" s="61" t="s">
        <v>6764</v>
      </c>
      <c r="H368" s="83"/>
      <c r="I368" s="89" t="e">
        <v>#N/A</v>
      </c>
      <c r="J368" s="65" t="e">
        <v>#N/A</v>
      </c>
      <c r="K368" s="66"/>
      <c r="L368" s="66"/>
      <c r="M368" s="66"/>
      <c r="N368" s="66"/>
      <c r="O368" s="127" t="s">
        <v>6559</v>
      </c>
      <c r="P368" s="59" t="e">
        <v>#N/A</v>
      </c>
      <c r="Q368" s="67" t="e">
        <v>#N/A</v>
      </c>
      <c r="R368" s="68" t="e">
        <v>#N/A</v>
      </c>
      <c r="S368" s="62" t="e">
        <v>#N/A</v>
      </c>
      <c r="T368" s="62" t="e">
        <v>#N/A</v>
      </c>
      <c r="U368" s="63">
        <v>0.0</v>
      </c>
      <c r="V368" s="69" t="e">
        <v>#N/A</v>
      </c>
      <c r="W368" s="70" t="e">
        <v>#N/A</v>
      </c>
      <c r="X368" s="64" t="s">
        <v>6764</v>
      </c>
      <c r="Y368" s="64" t="s">
        <v>6764</v>
      </c>
      <c r="Z368" s="66" t="s">
        <v>6597</v>
      </c>
      <c r="AA368" s="71"/>
    </row>
    <row r="369" ht="15.75" hidden="1" customHeight="1">
      <c r="A369" s="56" t="s">
        <v>6764</v>
      </c>
      <c r="B369" s="56" t="s">
        <v>6764</v>
      </c>
      <c r="C369" s="57"/>
      <c r="D369" s="127" t="s">
        <v>6559</v>
      </c>
      <c r="E369" s="59" t="s">
        <v>6764</v>
      </c>
      <c r="F369" s="60"/>
      <c r="G369" s="61" t="s">
        <v>6764</v>
      </c>
      <c r="H369" s="83"/>
      <c r="I369" s="89" t="e">
        <v>#N/A</v>
      </c>
      <c r="J369" s="65" t="e">
        <v>#N/A</v>
      </c>
      <c r="K369" s="66"/>
      <c r="L369" s="66"/>
      <c r="M369" s="66"/>
      <c r="N369" s="66"/>
      <c r="O369" s="127" t="s">
        <v>6559</v>
      </c>
      <c r="P369" s="59" t="e">
        <v>#N/A</v>
      </c>
      <c r="Q369" s="67" t="e">
        <v>#N/A</v>
      </c>
      <c r="R369" s="68" t="e">
        <v>#N/A</v>
      </c>
      <c r="S369" s="62" t="e">
        <v>#N/A</v>
      </c>
      <c r="T369" s="62" t="e">
        <v>#N/A</v>
      </c>
      <c r="U369" s="63">
        <v>0.0</v>
      </c>
      <c r="V369" s="69" t="e">
        <v>#N/A</v>
      </c>
      <c r="W369" s="70" t="e">
        <v>#N/A</v>
      </c>
      <c r="X369" s="64" t="s">
        <v>6764</v>
      </c>
      <c r="Y369" s="64" t="s">
        <v>6764</v>
      </c>
      <c r="Z369" s="66" t="s">
        <v>6597</v>
      </c>
      <c r="AA369" s="71"/>
    </row>
    <row r="370" ht="15.75" hidden="1" customHeight="1">
      <c r="A370" s="56" t="s">
        <v>6764</v>
      </c>
      <c r="B370" s="56" t="s">
        <v>6764</v>
      </c>
      <c r="C370" s="57"/>
      <c r="D370" s="127" t="s">
        <v>6559</v>
      </c>
      <c r="E370" s="59" t="s">
        <v>6764</v>
      </c>
      <c r="F370" s="60"/>
      <c r="G370" s="61" t="s">
        <v>6764</v>
      </c>
      <c r="H370" s="83"/>
      <c r="I370" s="89" t="e">
        <v>#N/A</v>
      </c>
      <c r="J370" s="65" t="e">
        <v>#N/A</v>
      </c>
      <c r="K370" s="66"/>
      <c r="L370" s="66"/>
      <c r="M370" s="66"/>
      <c r="N370" s="66"/>
      <c r="O370" s="127" t="s">
        <v>6559</v>
      </c>
      <c r="P370" s="59" t="e">
        <v>#N/A</v>
      </c>
      <c r="Q370" s="67" t="e">
        <v>#N/A</v>
      </c>
      <c r="R370" s="68" t="e">
        <v>#N/A</v>
      </c>
      <c r="S370" s="62" t="e">
        <v>#N/A</v>
      </c>
      <c r="T370" s="62" t="e">
        <v>#N/A</v>
      </c>
      <c r="U370" s="63">
        <v>0.0</v>
      </c>
      <c r="V370" s="69" t="e">
        <v>#N/A</v>
      </c>
      <c r="W370" s="70" t="e">
        <v>#N/A</v>
      </c>
      <c r="X370" s="64" t="s">
        <v>6764</v>
      </c>
      <c r="Y370" s="64" t="s">
        <v>6764</v>
      </c>
      <c r="Z370" s="66" t="s">
        <v>6597</v>
      </c>
      <c r="AA370" s="71"/>
    </row>
    <row r="371" ht="15.75" hidden="1" customHeight="1">
      <c r="A371" s="56" t="s">
        <v>6764</v>
      </c>
      <c r="B371" s="56" t="s">
        <v>6764</v>
      </c>
      <c r="C371" s="57"/>
      <c r="D371" s="127" t="s">
        <v>6559</v>
      </c>
      <c r="E371" s="59" t="s">
        <v>6764</v>
      </c>
      <c r="F371" s="60"/>
      <c r="G371" s="61" t="s">
        <v>6764</v>
      </c>
      <c r="H371" s="83"/>
      <c r="I371" s="89" t="e">
        <v>#N/A</v>
      </c>
      <c r="J371" s="65" t="e">
        <v>#N/A</v>
      </c>
      <c r="K371" s="66"/>
      <c r="L371" s="66"/>
      <c r="M371" s="66"/>
      <c r="N371" s="66"/>
      <c r="O371" s="127" t="s">
        <v>6559</v>
      </c>
      <c r="P371" s="59" t="e">
        <v>#N/A</v>
      </c>
      <c r="Q371" s="67" t="e">
        <v>#N/A</v>
      </c>
      <c r="R371" s="68" t="e">
        <v>#N/A</v>
      </c>
      <c r="S371" s="62" t="e">
        <v>#N/A</v>
      </c>
      <c r="T371" s="62" t="e">
        <v>#N/A</v>
      </c>
      <c r="U371" s="63">
        <v>0.0</v>
      </c>
      <c r="V371" s="69" t="e">
        <v>#N/A</v>
      </c>
      <c r="W371" s="70" t="e">
        <v>#N/A</v>
      </c>
      <c r="X371" s="64" t="s">
        <v>6764</v>
      </c>
      <c r="Y371" s="64" t="s">
        <v>6764</v>
      </c>
      <c r="Z371" s="66" t="s">
        <v>6597</v>
      </c>
      <c r="AA371" s="71"/>
    </row>
    <row r="372" ht="15.75" hidden="1" customHeight="1">
      <c r="A372" s="56" t="s">
        <v>6764</v>
      </c>
      <c r="B372" s="56" t="s">
        <v>6764</v>
      </c>
      <c r="C372" s="57"/>
      <c r="D372" s="127" t="s">
        <v>6559</v>
      </c>
      <c r="E372" s="59" t="s">
        <v>6764</v>
      </c>
      <c r="F372" s="60"/>
      <c r="G372" s="61" t="s">
        <v>6764</v>
      </c>
      <c r="H372" s="83"/>
      <c r="I372" s="89" t="e">
        <v>#N/A</v>
      </c>
      <c r="J372" s="65" t="e">
        <v>#N/A</v>
      </c>
      <c r="K372" s="66"/>
      <c r="L372" s="66"/>
      <c r="M372" s="66"/>
      <c r="N372" s="66"/>
      <c r="O372" s="127" t="s">
        <v>6559</v>
      </c>
      <c r="P372" s="59" t="e">
        <v>#N/A</v>
      </c>
      <c r="Q372" s="67" t="e">
        <v>#N/A</v>
      </c>
      <c r="R372" s="68" t="e">
        <v>#N/A</v>
      </c>
      <c r="S372" s="62" t="e">
        <v>#N/A</v>
      </c>
      <c r="T372" s="62" t="e">
        <v>#N/A</v>
      </c>
      <c r="U372" s="63">
        <v>0.0</v>
      </c>
      <c r="V372" s="69" t="e">
        <v>#N/A</v>
      </c>
      <c r="W372" s="70" t="e">
        <v>#N/A</v>
      </c>
      <c r="X372" s="64" t="s">
        <v>6764</v>
      </c>
      <c r="Y372" s="64" t="s">
        <v>6764</v>
      </c>
      <c r="Z372" s="66" t="s">
        <v>6597</v>
      </c>
      <c r="AA372" s="71"/>
    </row>
    <row r="373" ht="15.75" hidden="1" customHeight="1">
      <c r="A373" s="56" t="s">
        <v>6764</v>
      </c>
      <c r="B373" s="56" t="s">
        <v>6764</v>
      </c>
      <c r="C373" s="57"/>
      <c r="D373" s="127" t="s">
        <v>6559</v>
      </c>
      <c r="E373" s="59" t="s">
        <v>6764</v>
      </c>
      <c r="F373" s="60"/>
      <c r="G373" s="61" t="s">
        <v>6764</v>
      </c>
      <c r="H373" s="83"/>
      <c r="I373" s="89" t="e">
        <v>#N/A</v>
      </c>
      <c r="J373" s="65" t="e">
        <v>#N/A</v>
      </c>
      <c r="K373" s="66"/>
      <c r="L373" s="66"/>
      <c r="M373" s="66"/>
      <c r="N373" s="66"/>
      <c r="O373" s="127" t="s">
        <v>6559</v>
      </c>
      <c r="P373" s="59" t="e">
        <v>#N/A</v>
      </c>
      <c r="Q373" s="67" t="e">
        <v>#N/A</v>
      </c>
      <c r="R373" s="68" t="e">
        <v>#N/A</v>
      </c>
      <c r="S373" s="62" t="e">
        <v>#N/A</v>
      </c>
      <c r="T373" s="62" t="e">
        <v>#N/A</v>
      </c>
      <c r="U373" s="63">
        <v>0.0</v>
      </c>
      <c r="V373" s="69" t="e">
        <v>#N/A</v>
      </c>
      <c r="W373" s="70" t="e">
        <v>#N/A</v>
      </c>
      <c r="X373" s="64" t="s">
        <v>6764</v>
      </c>
      <c r="Y373" s="64" t="s">
        <v>6764</v>
      </c>
      <c r="Z373" s="66" t="s">
        <v>6597</v>
      </c>
      <c r="AA373" s="71"/>
    </row>
    <row r="374" ht="15.75" hidden="1" customHeight="1">
      <c r="A374" s="56" t="s">
        <v>6764</v>
      </c>
      <c r="B374" s="56" t="s">
        <v>6764</v>
      </c>
      <c r="C374" s="57"/>
      <c r="D374" s="127" t="s">
        <v>6559</v>
      </c>
      <c r="E374" s="59" t="s">
        <v>6764</v>
      </c>
      <c r="F374" s="60"/>
      <c r="G374" s="61" t="s">
        <v>6764</v>
      </c>
      <c r="H374" s="83"/>
      <c r="I374" s="89" t="e">
        <v>#N/A</v>
      </c>
      <c r="J374" s="65" t="e">
        <v>#N/A</v>
      </c>
      <c r="K374" s="66"/>
      <c r="L374" s="66"/>
      <c r="M374" s="66"/>
      <c r="N374" s="66"/>
      <c r="O374" s="127" t="s">
        <v>6559</v>
      </c>
      <c r="P374" s="59" t="e">
        <v>#N/A</v>
      </c>
      <c r="Q374" s="67" t="e">
        <v>#N/A</v>
      </c>
      <c r="R374" s="68" t="e">
        <v>#N/A</v>
      </c>
      <c r="S374" s="62" t="e">
        <v>#N/A</v>
      </c>
      <c r="T374" s="62" t="e">
        <v>#N/A</v>
      </c>
      <c r="U374" s="63">
        <v>0.0</v>
      </c>
      <c r="V374" s="69" t="e">
        <v>#N/A</v>
      </c>
      <c r="W374" s="70" t="e">
        <v>#N/A</v>
      </c>
      <c r="X374" s="64" t="s">
        <v>6764</v>
      </c>
      <c r="Y374" s="64" t="s">
        <v>6764</v>
      </c>
      <c r="Z374" s="66" t="s">
        <v>6597</v>
      </c>
      <c r="AA374" s="71"/>
    </row>
    <row r="375" ht="15.75" hidden="1" customHeight="1">
      <c r="A375" s="56" t="s">
        <v>6764</v>
      </c>
      <c r="B375" s="56" t="s">
        <v>6764</v>
      </c>
      <c r="C375" s="57"/>
      <c r="D375" s="127" t="s">
        <v>6559</v>
      </c>
      <c r="E375" s="59" t="s">
        <v>6764</v>
      </c>
      <c r="F375" s="60"/>
      <c r="G375" s="61" t="s">
        <v>6764</v>
      </c>
      <c r="H375" s="83"/>
      <c r="I375" s="89" t="e">
        <v>#N/A</v>
      </c>
      <c r="J375" s="65" t="e">
        <v>#N/A</v>
      </c>
      <c r="K375" s="66"/>
      <c r="L375" s="66"/>
      <c r="M375" s="66"/>
      <c r="N375" s="66"/>
      <c r="O375" s="127" t="s">
        <v>6559</v>
      </c>
      <c r="P375" s="59" t="e">
        <v>#N/A</v>
      </c>
      <c r="Q375" s="67" t="e">
        <v>#N/A</v>
      </c>
      <c r="R375" s="68" t="e">
        <v>#N/A</v>
      </c>
      <c r="S375" s="62" t="e">
        <v>#N/A</v>
      </c>
      <c r="T375" s="62" t="e">
        <v>#N/A</v>
      </c>
      <c r="U375" s="63">
        <v>0.0</v>
      </c>
      <c r="V375" s="69" t="e">
        <v>#N/A</v>
      </c>
      <c r="W375" s="70" t="e">
        <v>#N/A</v>
      </c>
      <c r="X375" s="64" t="s">
        <v>6764</v>
      </c>
      <c r="Y375" s="64" t="s">
        <v>6764</v>
      </c>
      <c r="Z375" s="66" t="s">
        <v>6597</v>
      </c>
      <c r="AA375" s="71"/>
    </row>
    <row r="376" ht="15.75" hidden="1" customHeight="1">
      <c r="A376" s="56" t="s">
        <v>6764</v>
      </c>
      <c r="B376" s="56" t="s">
        <v>6764</v>
      </c>
      <c r="C376" s="57"/>
      <c r="D376" s="127" t="s">
        <v>6559</v>
      </c>
      <c r="E376" s="59" t="s">
        <v>6764</v>
      </c>
      <c r="F376" s="60"/>
      <c r="G376" s="61" t="s">
        <v>6764</v>
      </c>
      <c r="H376" s="83"/>
      <c r="I376" s="89" t="e">
        <v>#N/A</v>
      </c>
      <c r="J376" s="65" t="e">
        <v>#N/A</v>
      </c>
      <c r="K376" s="66"/>
      <c r="L376" s="66"/>
      <c r="M376" s="66"/>
      <c r="N376" s="66"/>
      <c r="O376" s="127" t="s">
        <v>6559</v>
      </c>
      <c r="P376" s="59" t="e">
        <v>#N/A</v>
      </c>
      <c r="Q376" s="67" t="e">
        <v>#N/A</v>
      </c>
      <c r="R376" s="68" t="e">
        <v>#N/A</v>
      </c>
      <c r="S376" s="62" t="e">
        <v>#N/A</v>
      </c>
      <c r="T376" s="62" t="e">
        <v>#N/A</v>
      </c>
      <c r="U376" s="63">
        <v>0.0</v>
      </c>
      <c r="V376" s="69" t="e">
        <v>#N/A</v>
      </c>
      <c r="W376" s="70" t="e">
        <v>#N/A</v>
      </c>
      <c r="X376" s="64" t="s">
        <v>6764</v>
      </c>
      <c r="Y376" s="64" t="s">
        <v>6764</v>
      </c>
      <c r="Z376" s="66" t="s">
        <v>6597</v>
      </c>
      <c r="AA376" s="71"/>
    </row>
    <row r="377" ht="15.75" hidden="1" customHeight="1">
      <c r="A377" s="56" t="s">
        <v>6764</v>
      </c>
      <c r="B377" s="56" t="s">
        <v>6764</v>
      </c>
      <c r="C377" s="57"/>
      <c r="D377" s="127" t="s">
        <v>6559</v>
      </c>
      <c r="E377" s="59" t="s">
        <v>6764</v>
      </c>
      <c r="F377" s="60"/>
      <c r="G377" s="61" t="s">
        <v>6764</v>
      </c>
      <c r="H377" s="83"/>
      <c r="I377" s="89" t="e">
        <v>#N/A</v>
      </c>
      <c r="J377" s="65" t="e">
        <v>#N/A</v>
      </c>
      <c r="K377" s="66"/>
      <c r="L377" s="66"/>
      <c r="M377" s="66"/>
      <c r="N377" s="66"/>
      <c r="O377" s="127" t="s">
        <v>6559</v>
      </c>
      <c r="P377" s="59" t="e">
        <v>#N/A</v>
      </c>
      <c r="Q377" s="67" t="e">
        <v>#N/A</v>
      </c>
      <c r="R377" s="68" t="e">
        <v>#N/A</v>
      </c>
      <c r="S377" s="62" t="e">
        <v>#N/A</v>
      </c>
      <c r="T377" s="62" t="e">
        <v>#N/A</v>
      </c>
      <c r="U377" s="63">
        <v>0.0</v>
      </c>
      <c r="V377" s="69" t="e">
        <v>#N/A</v>
      </c>
      <c r="W377" s="70" t="e">
        <v>#N/A</v>
      </c>
      <c r="X377" s="64" t="s">
        <v>6764</v>
      </c>
      <c r="Y377" s="64" t="s">
        <v>6764</v>
      </c>
      <c r="Z377" s="66" t="s">
        <v>6597</v>
      </c>
      <c r="AA377" s="71"/>
    </row>
    <row r="378" ht="15.75" hidden="1" customHeight="1">
      <c r="A378" s="56" t="s">
        <v>6764</v>
      </c>
      <c r="B378" s="56" t="s">
        <v>6764</v>
      </c>
      <c r="C378" s="57"/>
      <c r="D378" s="127" t="s">
        <v>6559</v>
      </c>
      <c r="E378" s="59" t="s">
        <v>6764</v>
      </c>
      <c r="F378" s="60"/>
      <c r="G378" s="61" t="s">
        <v>6764</v>
      </c>
      <c r="H378" s="83"/>
      <c r="I378" s="89" t="e">
        <v>#N/A</v>
      </c>
      <c r="J378" s="65" t="e">
        <v>#N/A</v>
      </c>
      <c r="K378" s="66"/>
      <c r="L378" s="66"/>
      <c r="M378" s="66"/>
      <c r="N378" s="66"/>
      <c r="O378" s="127" t="s">
        <v>6559</v>
      </c>
      <c r="P378" s="59" t="e">
        <v>#N/A</v>
      </c>
      <c r="Q378" s="67" t="e">
        <v>#N/A</v>
      </c>
      <c r="R378" s="68" t="e">
        <v>#N/A</v>
      </c>
      <c r="S378" s="62" t="e">
        <v>#N/A</v>
      </c>
      <c r="T378" s="62" t="e">
        <v>#N/A</v>
      </c>
      <c r="U378" s="63">
        <v>0.0</v>
      </c>
      <c r="V378" s="69" t="e">
        <v>#N/A</v>
      </c>
      <c r="W378" s="70" t="e">
        <v>#N/A</v>
      </c>
      <c r="X378" s="64" t="s">
        <v>6764</v>
      </c>
      <c r="Y378" s="64" t="s">
        <v>6764</v>
      </c>
      <c r="Z378" s="66" t="s">
        <v>6597</v>
      </c>
      <c r="AA378" s="71"/>
    </row>
    <row r="379" ht="15.75" hidden="1" customHeight="1">
      <c r="A379" s="56" t="s">
        <v>6764</v>
      </c>
      <c r="B379" s="56" t="s">
        <v>6764</v>
      </c>
      <c r="C379" s="57"/>
      <c r="D379" s="127" t="s">
        <v>6559</v>
      </c>
      <c r="E379" s="59" t="s">
        <v>6764</v>
      </c>
      <c r="F379" s="60"/>
      <c r="G379" s="61" t="s">
        <v>6764</v>
      </c>
      <c r="H379" s="83"/>
      <c r="I379" s="89" t="e">
        <v>#N/A</v>
      </c>
      <c r="J379" s="65" t="e">
        <v>#N/A</v>
      </c>
      <c r="K379" s="66"/>
      <c r="L379" s="66"/>
      <c r="M379" s="66"/>
      <c r="N379" s="66"/>
      <c r="O379" s="127" t="s">
        <v>6559</v>
      </c>
      <c r="P379" s="59" t="e">
        <v>#N/A</v>
      </c>
      <c r="Q379" s="67" t="e">
        <v>#N/A</v>
      </c>
      <c r="R379" s="68" t="e">
        <v>#N/A</v>
      </c>
      <c r="S379" s="62" t="e">
        <v>#N/A</v>
      </c>
      <c r="T379" s="62" t="e">
        <v>#N/A</v>
      </c>
      <c r="U379" s="63">
        <v>0.0</v>
      </c>
      <c r="V379" s="69" t="e">
        <v>#N/A</v>
      </c>
      <c r="W379" s="70" t="e">
        <v>#N/A</v>
      </c>
      <c r="X379" s="64" t="s">
        <v>6764</v>
      </c>
      <c r="Y379" s="64" t="s">
        <v>6764</v>
      </c>
      <c r="Z379" s="66" t="s">
        <v>6597</v>
      </c>
      <c r="AA379" s="71"/>
    </row>
    <row r="380" ht="15.75" hidden="1" customHeight="1">
      <c r="A380" s="56" t="s">
        <v>6764</v>
      </c>
      <c r="B380" s="56" t="s">
        <v>6764</v>
      </c>
      <c r="C380" s="57"/>
      <c r="D380" s="127" t="s">
        <v>6559</v>
      </c>
      <c r="E380" s="59" t="s">
        <v>6764</v>
      </c>
      <c r="F380" s="60"/>
      <c r="G380" s="61" t="s">
        <v>6764</v>
      </c>
      <c r="H380" s="83"/>
      <c r="I380" s="89" t="e">
        <v>#N/A</v>
      </c>
      <c r="J380" s="65" t="e">
        <v>#N/A</v>
      </c>
      <c r="K380" s="66"/>
      <c r="L380" s="66"/>
      <c r="M380" s="66"/>
      <c r="N380" s="66"/>
      <c r="O380" s="127" t="s">
        <v>6559</v>
      </c>
      <c r="P380" s="59" t="e">
        <v>#N/A</v>
      </c>
      <c r="Q380" s="67" t="e">
        <v>#N/A</v>
      </c>
      <c r="R380" s="68" t="e">
        <v>#N/A</v>
      </c>
      <c r="S380" s="62" t="e">
        <v>#N/A</v>
      </c>
      <c r="T380" s="62" t="e">
        <v>#N/A</v>
      </c>
      <c r="U380" s="63">
        <v>0.0</v>
      </c>
      <c r="V380" s="69" t="e">
        <v>#N/A</v>
      </c>
      <c r="W380" s="70" t="e">
        <v>#N/A</v>
      </c>
      <c r="X380" s="64" t="s">
        <v>6764</v>
      </c>
      <c r="Y380" s="64" t="s">
        <v>6764</v>
      </c>
      <c r="Z380" s="66" t="s">
        <v>6597</v>
      </c>
      <c r="AA380" s="71"/>
    </row>
    <row r="381" ht="15.75" hidden="1" customHeight="1">
      <c r="A381" s="56" t="s">
        <v>6764</v>
      </c>
      <c r="B381" s="56" t="s">
        <v>6764</v>
      </c>
      <c r="C381" s="57"/>
      <c r="D381" s="127" t="s">
        <v>6559</v>
      </c>
      <c r="E381" s="59" t="s">
        <v>6764</v>
      </c>
      <c r="F381" s="60"/>
      <c r="G381" s="61" t="s">
        <v>6764</v>
      </c>
      <c r="H381" s="83"/>
      <c r="I381" s="89" t="e">
        <v>#N/A</v>
      </c>
      <c r="J381" s="65" t="e">
        <v>#N/A</v>
      </c>
      <c r="K381" s="66"/>
      <c r="L381" s="66"/>
      <c r="M381" s="66"/>
      <c r="N381" s="66"/>
      <c r="O381" s="127" t="s">
        <v>6559</v>
      </c>
      <c r="P381" s="59" t="e">
        <v>#N/A</v>
      </c>
      <c r="Q381" s="67" t="e">
        <v>#N/A</v>
      </c>
      <c r="R381" s="68" t="e">
        <v>#N/A</v>
      </c>
      <c r="S381" s="62" t="e">
        <v>#N/A</v>
      </c>
      <c r="T381" s="62" t="e">
        <v>#N/A</v>
      </c>
      <c r="U381" s="63">
        <v>0.0</v>
      </c>
      <c r="V381" s="69" t="e">
        <v>#N/A</v>
      </c>
      <c r="W381" s="70" t="e">
        <v>#N/A</v>
      </c>
      <c r="X381" s="64" t="s">
        <v>6764</v>
      </c>
      <c r="Y381" s="64" t="s">
        <v>6764</v>
      </c>
      <c r="Z381" s="66" t="s">
        <v>6597</v>
      </c>
      <c r="AA381" s="71"/>
    </row>
    <row r="382" ht="15.75" hidden="1" customHeight="1">
      <c r="A382" s="56" t="s">
        <v>6764</v>
      </c>
      <c r="B382" s="56" t="s">
        <v>6764</v>
      </c>
      <c r="C382" s="57"/>
      <c r="D382" s="127" t="s">
        <v>6559</v>
      </c>
      <c r="E382" s="59" t="s">
        <v>6764</v>
      </c>
      <c r="F382" s="60"/>
      <c r="G382" s="61" t="s">
        <v>6764</v>
      </c>
      <c r="H382" s="83"/>
      <c r="I382" s="89" t="e">
        <v>#N/A</v>
      </c>
      <c r="J382" s="65" t="e">
        <v>#N/A</v>
      </c>
      <c r="K382" s="66"/>
      <c r="L382" s="66"/>
      <c r="M382" s="66"/>
      <c r="N382" s="66"/>
      <c r="O382" s="127" t="s">
        <v>6559</v>
      </c>
      <c r="P382" s="59" t="e">
        <v>#N/A</v>
      </c>
      <c r="Q382" s="67" t="e">
        <v>#N/A</v>
      </c>
      <c r="R382" s="68" t="e">
        <v>#N/A</v>
      </c>
      <c r="S382" s="62" t="e">
        <v>#N/A</v>
      </c>
      <c r="T382" s="62" t="e">
        <v>#N/A</v>
      </c>
      <c r="U382" s="63">
        <v>0.0</v>
      </c>
      <c r="V382" s="69" t="e">
        <v>#N/A</v>
      </c>
      <c r="W382" s="70" t="e">
        <v>#N/A</v>
      </c>
      <c r="X382" s="64" t="s">
        <v>6764</v>
      </c>
      <c r="Y382" s="64" t="s">
        <v>6764</v>
      </c>
      <c r="Z382" s="66" t="s">
        <v>6597</v>
      </c>
      <c r="AA382" s="71"/>
    </row>
    <row r="383" ht="15.75" hidden="1" customHeight="1">
      <c r="A383" s="56" t="s">
        <v>6764</v>
      </c>
      <c r="B383" s="56" t="s">
        <v>6764</v>
      </c>
      <c r="C383" s="57"/>
      <c r="D383" s="127" t="s">
        <v>6559</v>
      </c>
      <c r="E383" s="59" t="s">
        <v>6764</v>
      </c>
      <c r="F383" s="60"/>
      <c r="G383" s="61" t="s">
        <v>6764</v>
      </c>
      <c r="H383" s="83"/>
      <c r="I383" s="89" t="e">
        <v>#N/A</v>
      </c>
      <c r="J383" s="65" t="e">
        <v>#N/A</v>
      </c>
      <c r="K383" s="66"/>
      <c r="L383" s="66"/>
      <c r="M383" s="66"/>
      <c r="N383" s="66"/>
      <c r="O383" s="127" t="s">
        <v>6559</v>
      </c>
      <c r="P383" s="59" t="e">
        <v>#N/A</v>
      </c>
      <c r="Q383" s="67" t="e">
        <v>#N/A</v>
      </c>
      <c r="R383" s="68" t="e">
        <v>#N/A</v>
      </c>
      <c r="S383" s="62" t="e">
        <v>#N/A</v>
      </c>
      <c r="T383" s="62" t="e">
        <v>#N/A</v>
      </c>
      <c r="U383" s="63">
        <v>0.0</v>
      </c>
      <c r="V383" s="69" t="e">
        <v>#N/A</v>
      </c>
      <c r="W383" s="70" t="e">
        <v>#N/A</v>
      </c>
      <c r="X383" s="64" t="s">
        <v>6764</v>
      </c>
      <c r="Y383" s="64" t="s">
        <v>6764</v>
      </c>
      <c r="Z383" s="66" t="s">
        <v>6597</v>
      </c>
      <c r="AA383" s="71"/>
    </row>
    <row r="384" ht="15.75" hidden="1" customHeight="1">
      <c r="A384" s="56" t="s">
        <v>6764</v>
      </c>
      <c r="B384" s="56" t="s">
        <v>6764</v>
      </c>
      <c r="C384" s="57"/>
      <c r="D384" s="127" t="s">
        <v>6559</v>
      </c>
      <c r="E384" s="59" t="s">
        <v>6764</v>
      </c>
      <c r="F384" s="60"/>
      <c r="G384" s="61" t="s">
        <v>6764</v>
      </c>
      <c r="H384" s="83"/>
      <c r="I384" s="89" t="e">
        <v>#N/A</v>
      </c>
      <c r="J384" s="65" t="e">
        <v>#N/A</v>
      </c>
      <c r="K384" s="66"/>
      <c r="L384" s="66"/>
      <c r="M384" s="66"/>
      <c r="N384" s="66"/>
      <c r="O384" s="127" t="s">
        <v>6559</v>
      </c>
      <c r="P384" s="59" t="e">
        <v>#N/A</v>
      </c>
      <c r="Q384" s="67" t="e">
        <v>#N/A</v>
      </c>
      <c r="R384" s="68" t="e">
        <v>#N/A</v>
      </c>
      <c r="S384" s="62" t="e">
        <v>#N/A</v>
      </c>
      <c r="T384" s="62" t="e">
        <v>#N/A</v>
      </c>
      <c r="U384" s="63">
        <v>0.0</v>
      </c>
      <c r="V384" s="69" t="e">
        <v>#N/A</v>
      </c>
      <c r="W384" s="70" t="e">
        <v>#N/A</v>
      </c>
      <c r="X384" s="64" t="s">
        <v>6764</v>
      </c>
      <c r="Y384" s="64" t="s">
        <v>6764</v>
      </c>
      <c r="Z384" s="66" t="s">
        <v>6597</v>
      </c>
      <c r="AA384" s="71"/>
    </row>
    <row r="385" ht="15.75" hidden="1" customHeight="1">
      <c r="A385" s="56" t="s">
        <v>6764</v>
      </c>
      <c r="B385" s="56" t="s">
        <v>6764</v>
      </c>
      <c r="C385" s="57"/>
      <c r="D385" s="127" t="s">
        <v>6559</v>
      </c>
      <c r="E385" s="59" t="s">
        <v>6764</v>
      </c>
      <c r="F385" s="60"/>
      <c r="G385" s="61" t="s">
        <v>6764</v>
      </c>
      <c r="H385" s="83"/>
      <c r="I385" s="89" t="e">
        <v>#N/A</v>
      </c>
      <c r="J385" s="65" t="e">
        <v>#N/A</v>
      </c>
      <c r="K385" s="66"/>
      <c r="L385" s="66"/>
      <c r="M385" s="66"/>
      <c r="N385" s="66"/>
      <c r="O385" s="127" t="s">
        <v>6559</v>
      </c>
      <c r="P385" s="59" t="e">
        <v>#N/A</v>
      </c>
      <c r="Q385" s="67" t="e">
        <v>#N/A</v>
      </c>
      <c r="R385" s="68" t="e">
        <v>#N/A</v>
      </c>
      <c r="S385" s="62" t="e">
        <v>#N/A</v>
      </c>
      <c r="T385" s="62" t="e">
        <v>#N/A</v>
      </c>
      <c r="U385" s="63">
        <v>0.0</v>
      </c>
      <c r="V385" s="69" t="e">
        <v>#N/A</v>
      </c>
      <c r="W385" s="70" t="e">
        <v>#N/A</v>
      </c>
      <c r="X385" s="64" t="s">
        <v>6764</v>
      </c>
      <c r="Y385" s="64" t="s">
        <v>6764</v>
      </c>
      <c r="Z385" s="66" t="s">
        <v>6597</v>
      </c>
      <c r="AA385" s="71"/>
    </row>
    <row r="386" ht="15.75" hidden="1" customHeight="1">
      <c r="A386" s="56" t="s">
        <v>6764</v>
      </c>
      <c r="B386" s="56" t="s">
        <v>6764</v>
      </c>
      <c r="C386" s="57"/>
      <c r="D386" s="127" t="s">
        <v>6559</v>
      </c>
      <c r="E386" s="59" t="s">
        <v>6764</v>
      </c>
      <c r="F386" s="60"/>
      <c r="G386" s="61" t="s">
        <v>6764</v>
      </c>
      <c r="H386" s="83"/>
      <c r="I386" s="89" t="e">
        <v>#N/A</v>
      </c>
      <c r="J386" s="65" t="e">
        <v>#N/A</v>
      </c>
      <c r="K386" s="66"/>
      <c r="L386" s="66"/>
      <c r="M386" s="66"/>
      <c r="N386" s="66"/>
      <c r="O386" s="127" t="s">
        <v>6559</v>
      </c>
      <c r="P386" s="59" t="e">
        <v>#N/A</v>
      </c>
      <c r="Q386" s="67" t="e">
        <v>#N/A</v>
      </c>
      <c r="R386" s="68" t="e">
        <v>#N/A</v>
      </c>
      <c r="S386" s="62" t="e">
        <v>#N/A</v>
      </c>
      <c r="T386" s="62" t="e">
        <v>#N/A</v>
      </c>
      <c r="U386" s="63">
        <v>0.0</v>
      </c>
      <c r="V386" s="69" t="e">
        <v>#N/A</v>
      </c>
      <c r="W386" s="70" t="e">
        <v>#N/A</v>
      </c>
      <c r="X386" s="64" t="s">
        <v>6764</v>
      </c>
      <c r="Y386" s="64" t="s">
        <v>6764</v>
      </c>
      <c r="Z386" s="66" t="s">
        <v>6597</v>
      </c>
      <c r="AA386" s="71"/>
    </row>
    <row r="387" ht="15.75" hidden="1" customHeight="1">
      <c r="A387" s="56" t="s">
        <v>6764</v>
      </c>
      <c r="B387" s="56" t="s">
        <v>6764</v>
      </c>
      <c r="C387" s="57"/>
      <c r="D387" s="127" t="s">
        <v>6559</v>
      </c>
      <c r="E387" s="59" t="s">
        <v>6764</v>
      </c>
      <c r="F387" s="60"/>
      <c r="G387" s="61" t="s">
        <v>6764</v>
      </c>
      <c r="H387" s="83"/>
      <c r="I387" s="89" t="e">
        <v>#N/A</v>
      </c>
      <c r="J387" s="65" t="e">
        <v>#N/A</v>
      </c>
      <c r="K387" s="66"/>
      <c r="L387" s="66"/>
      <c r="M387" s="66"/>
      <c r="N387" s="66"/>
      <c r="O387" s="127" t="s">
        <v>6559</v>
      </c>
      <c r="P387" s="59" t="e">
        <v>#N/A</v>
      </c>
      <c r="Q387" s="67" t="e">
        <v>#N/A</v>
      </c>
      <c r="R387" s="68" t="e">
        <v>#N/A</v>
      </c>
      <c r="S387" s="62" t="e">
        <v>#N/A</v>
      </c>
      <c r="T387" s="62" t="e">
        <v>#N/A</v>
      </c>
      <c r="U387" s="63">
        <v>0.0</v>
      </c>
      <c r="V387" s="69" t="e">
        <v>#N/A</v>
      </c>
      <c r="W387" s="70" t="e">
        <v>#N/A</v>
      </c>
      <c r="X387" s="64" t="s">
        <v>6764</v>
      </c>
      <c r="Y387" s="64" t="s">
        <v>6764</v>
      </c>
      <c r="Z387" s="66" t="s">
        <v>6597</v>
      </c>
      <c r="AA387" s="71"/>
    </row>
    <row r="388" ht="15.75" hidden="1" customHeight="1">
      <c r="A388" s="56" t="s">
        <v>6764</v>
      </c>
      <c r="B388" s="56" t="s">
        <v>6764</v>
      </c>
      <c r="C388" s="57"/>
      <c r="D388" s="127" t="s">
        <v>6559</v>
      </c>
      <c r="E388" s="59" t="s">
        <v>6764</v>
      </c>
      <c r="F388" s="60"/>
      <c r="G388" s="61" t="s">
        <v>6764</v>
      </c>
      <c r="H388" s="83"/>
      <c r="I388" s="89" t="e">
        <v>#N/A</v>
      </c>
      <c r="J388" s="65" t="e">
        <v>#N/A</v>
      </c>
      <c r="K388" s="66"/>
      <c r="L388" s="66"/>
      <c r="M388" s="66"/>
      <c r="N388" s="66"/>
      <c r="O388" s="127" t="s">
        <v>6559</v>
      </c>
      <c r="P388" s="59" t="e">
        <v>#N/A</v>
      </c>
      <c r="Q388" s="67" t="e">
        <v>#N/A</v>
      </c>
      <c r="R388" s="68" t="e">
        <v>#N/A</v>
      </c>
      <c r="S388" s="62" t="e">
        <v>#N/A</v>
      </c>
      <c r="T388" s="62" t="e">
        <v>#N/A</v>
      </c>
      <c r="U388" s="63">
        <v>0.0</v>
      </c>
      <c r="V388" s="69" t="e">
        <v>#N/A</v>
      </c>
      <c r="W388" s="70" t="e">
        <v>#N/A</v>
      </c>
      <c r="X388" s="64" t="s">
        <v>6764</v>
      </c>
      <c r="Y388" s="64" t="s">
        <v>6764</v>
      </c>
      <c r="Z388" s="66" t="s">
        <v>6597</v>
      </c>
      <c r="AA388" s="71"/>
    </row>
    <row r="389" ht="15.75" hidden="1" customHeight="1">
      <c r="A389" s="56" t="s">
        <v>6764</v>
      </c>
      <c r="B389" s="56" t="s">
        <v>6764</v>
      </c>
      <c r="C389" s="57"/>
      <c r="D389" s="127" t="s">
        <v>6559</v>
      </c>
      <c r="E389" s="59" t="s">
        <v>6764</v>
      </c>
      <c r="F389" s="60"/>
      <c r="G389" s="61" t="s">
        <v>6764</v>
      </c>
      <c r="H389" s="83"/>
      <c r="I389" s="89" t="e">
        <v>#N/A</v>
      </c>
      <c r="J389" s="65" t="e">
        <v>#N/A</v>
      </c>
      <c r="K389" s="66"/>
      <c r="L389" s="66"/>
      <c r="M389" s="66"/>
      <c r="N389" s="66"/>
      <c r="O389" s="127" t="s">
        <v>6559</v>
      </c>
      <c r="P389" s="59" t="e">
        <v>#N/A</v>
      </c>
      <c r="Q389" s="67" t="e">
        <v>#N/A</v>
      </c>
      <c r="R389" s="68" t="e">
        <v>#N/A</v>
      </c>
      <c r="S389" s="62" t="e">
        <v>#N/A</v>
      </c>
      <c r="T389" s="62" t="e">
        <v>#N/A</v>
      </c>
      <c r="U389" s="63">
        <v>0.0</v>
      </c>
      <c r="V389" s="69" t="e">
        <v>#N/A</v>
      </c>
      <c r="W389" s="70" t="e">
        <v>#N/A</v>
      </c>
      <c r="X389" s="64" t="s">
        <v>6764</v>
      </c>
      <c r="Y389" s="64" t="s">
        <v>6764</v>
      </c>
      <c r="Z389" s="66" t="s">
        <v>6597</v>
      </c>
      <c r="AA389" s="71"/>
    </row>
    <row r="390" ht="15.75" hidden="1" customHeight="1">
      <c r="A390" s="56" t="s">
        <v>6764</v>
      </c>
      <c r="B390" s="56" t="s">
        <v>6764</v>
      </c>
      <c r="C390" s="57"/>
      <c r="D390" s="127" t="s">
        <v>6559</v>
      </c>
      <c r="E390" s="59" t="s">
        <v>6764</v>
      </c>
      <c r="F390" s="60"/>
      <c r="G390" s="61" t="s">
        <v>6764</v>
      </c>
      <c r="H390" s="83"/>
      <c r="I390" s="89" t="e">
        <v>#N/A</v>
      </c>
      <c r="J390" s="65" t="e">
        <v>#N/A</v>
      </c>
      <c r="K390" s="66"/>
      <c r="L390" s="66"/>
      <c r="M390" s="66"/>
      <c r="N390" s="66"/>
      <c r="O390" s="127" t="s">
        <v>6559</v>
      </c>
      <c r="P390" s="59" t="e">
        <v>#N/A</v>
      </c>
      <c r="Q390" s="67" t="e">
        <v>#N/A</v>
      </c>
      <c r="R390" s="68" t="e">
        <v>#N/A</v>
      </c>
      <c r="S390" s="62" t="e">
        <v>#N/A</v>
      </c>
      <c r="T390" s="62" t="e">
        <v>#N/A</v>
      </c>
      <c r="U390" s="63">
        <v>0.0</v>
      </c>
      <c r="V390" s="69" t="e">
        <v>#N/A</v>
      </c>
      <c r="W390" s="70" t="e">
        <v>#N/A</v>
      </c>
      <c r="X390" s="64" t="s">
        <v>6764</v>
      </c>
      <c r="Y390" s="64" t="s">
        <v>6764</v>
      </c>
      <c r="Z390" s="66" t="s">
        <v>6597</v>
      </c>
      <c r="AA390" s="71"/>
    </row>
    <row r="391" ht="15.75" hidden="1" customHeight="1">
      <c r="A391" s="56" t="s">
        <v>6764</v>
      </c>
      <c r="B391" s="56" t="s">
        <v>6764</v>
      </c>
      <c r="C391" s="57"/>
      <c r="D391" s="127" t="s">
        <v>6559</v>
      </c>
      <c r="E391" s="59" t="s">
        <v>6764</v>
      </c>
      <c r="F391" s="60"/>
      <c r="G391" s="61" t="s">
        <v>6764</v>
      </c>
      <c r="H391" s="83"/>
      <c r="I391" s="89" t="e">
        <v>#N/A</v>
      </c>
      <c r="J391" s="65" t="e">
        <v>#N/A</v>
      </c>
      <c r="K391" s="66"/>
      <c r="L391" s="66"/>
      <c r="M391" s="66"/>
      <c r="N391" s="66"/>
      <c r="O391" s="127" t="s">
        <v>6559</v>
      </c>
      <c r="P391" s="59" t="e">
        <v>#N/A</v>
      </c>
      <c r="Q391" s="67" t="e">
        <v>#N/A</v>
      </c>
      <c r="R391" s="68" t="e">
        <v>#N/A</v>
      </c>
      <c r="S391" s="62" t="e">
        <v>#N/A</v>
      </c>
      <c r="T391" s="62" t="e">
        <v>#N/A</v>
      </c>
      <c r="U391" s="63">
        <v>0.0</v>
      </c>
      <c r="V391" s="69" t="e">
        <v>#N/A</v>
      </c>
      <c r="W391" s="70" t="e">
        <v>#N/A</v>
      </c>
      <c r="X391" s="64" t="s">
        <v>6764</v>
      </c>
      <c r="Y391" s="64" t="s">
        <v>6764</v>
      </c>
      <c r="Z391" s="66" t="s">
        <v>6597</v>
      </c>
      <c r="AA391" s="71"/>
    </row>
    <row r="392" ht="15.75" hidden="1" customHeight="1">
      <c r="A392" s="56" t="s">
        <v>6764</v>
      </c>
      <c r="B392" s="56" t="s">
        <v>6764</v>
      </c>
      <c r="C392" s="57"/>
      <c r="D392" s="127" t="s">
        <v>6559</v>
      </c>
      <c r="E392" s="59" t="s">
        <v>6764</v>
      </c>
      <c r="F392" s="60"/>
      <c r="G392" s="61" t="s">
        <v>6764</v>
      </c>
      <c r="H392" s="83"/>
      <c r="I392" s="89" t="e">
        <v>#N/A</v>
      </c>
      <c r="J392" s="65" t="e">
        <v>#N/A</v>
      </c>
      <c r="K392" s="66"/>
      <c r="L392" s="66"/>
      <c r="M392" s="66"/>
      <c r="N392" s="66"/>
      <c r="O392" s="127" t="s">
        <v>6559</v>
      </c>
      <c r="P392" s="59" t="e">
        <v>#N/A</v>
      </c>
      <c r="Q392" s="67" t="e">
        <v>#N/A</v>
      </c>
      <c r="R392" s="68" t="e">
        <v>#N/A</v>
      </c>
      <c r="S392" s="62" t="e">
        <v>#N/A</v>
      </c>
      <c r="T392" s="62" t="e">
        <v>#N/A</v>
      </c>
      <c r="U392" s="63">
        <v>0.0</v>
      </c>
      <c r="V392" s="69" t="e">
        <v>#N/A</v>
      </c>
      <c r="W392" s="70" t="e">
        <v>#N/A</v>
      </c>
      <c r="X392" s="64" t="s">
        <v>6764</v>
      </c>
      <c r="Y392" s="64" t="s">
        <v>6764</v>
      </c>
      <c r="Z392" s="66" t="s">
        <v>6597</v>
      </c>
      <c r="AA392" s="71"/>
    </row>
    <row r="393" ht="15.75" hidden="1" customHeight="1">
      <c r="A393" s="56" t="s">
        <v>6764</v>
      </c>
      <c r="B393" s="56" t="s">
        <v>6764</v>
      </c>
      <c r="C393" s="57"/>
      <c r="D393" s="127" t="s">
        <v>6559</v>
      </c>
      <c r="E393" s="59" t="s">
        <v>6764</v>
      </c>
      <c r="F393" s="60"/>
      <c r="G393" s="61" t="s">
        <v>6764</v>
      </c>
      <c r="H393" s="83"/>
      <c r="I393" s="89" t="e">
        <v>#N/A</v>
      </c>
      <c r="J393" s="65" t="e">
        <v>#N/A</v>
      </c>
      <c r="K393" s="66"/>
      <c r="L393" s="66"/>
      <c r="M393" s="66"/>
      <c r="N393" s="66"/>
      <c r="O393" s="127" t="s">
        <v>6559</v>
      </c>
      <c r="P393" s="59" t="e">
        <v>#N/A</v>
      </c>
      <c r="Q393" s="67" t="e">
        <v>#N/A</v>
      </c>
      <c r="R393" s="68" t="e">
        <v>#N/A</v>
      </c>
      <c r="S393" s="62" t="e">
        <v>#N/A</v>
      </c>
      <c r="T393" s="62" t="e">
        <v>#N/A</v>
      </c>
      <c r="U393" s="63">
        <v>0.0</v>
      </c>
      <c r="V393" s="69" t="e">
        <v>#N/A</v>
      </c>
      <c r="W393" s="70" t="e">
        <v>#N/A</v>
      </c>
      <c r="X393" s="64" t="s">
        <v>6764</v>
      </c>
      <c r="Y393" s="64" t="s">
        <v>6764</v>
      </c>
      <c r="Z393" s="66" t="s">
        <v>6597</v>
      </c>
      <c r="AA393" s="71"/>
    </row>
    <row r="394" ht="15.75" hidden="1" customHeight="1">
      <c r="A394" s="56" t="s">
        <v>6764</v>
      </c>
      <c r="B394" s="56" t="s">
        <v>6764</v>
      </c>
      <c r="C394" s="57"/>
      <c r="D394" s="127" t="s">
        <v>6559</v>
      </c>
      <c r="E394" s="59" t="s">
        <v>6764</v>
      </c>
      <c r="F394" s="60"/>
      <c r="G394" s="61" t="s">
        <v>6764</v>
      </c>
      <c r="H394" s="83"/>
      <c r="I394" s="89" t="e">
        <v>#N/A</v>
      </c>
      <c r="J394" s="65" t="e">
        <v>#N/A</v>
      </c>
      <c r="K394" s="66"/>
      <c r="L394" s="66"/>
      <c r="M394" s="66"/>
      <c r="N394" s="66"/>
      <c r="O394" s="127" t="s">
        <v>6559</v>
      </c>
      <c r="P394" s="59" t="e">
        <v>#N/A</v>
      </c>
      <c r="Q394" s="67" t="e">
        <v>#N/A</v>
      </c>
      <c r="R394" s="68" t="e">
        <v>#N/A</v>
      </c>
      <c r="S394" s="62" t="e">
        <v>#N/A</v>
      </c>
      <c r="T394" s="62" t="e">
        <v>#N/A</v>
      </c>
      <c r="U394" s="63">
        <v>0.0</v>
      </c>
      <c r="V394" s="69" t="e">
        <v>#N/A</v>
      </c>
      <c r="W394" s="70" t="e">
        <v>#N/A</v>
      </c>
      <c r="X394" s="64" t="s">
        <v>6764</v>
      </c>
      <c r="Y394" s="64" t="s">
        <v>6764</v>
      </c>
      <c r="Z394" s="66" t="s">
        <v>6597</v>
      </c>
      <c r="AA394" s="71"/>
    </row>
    <row r="395" ht="15.75" hidden="1" customHeight="1">
      <c r="A395" s="56" t="s">
        <v>6764</v>
      </c>
      <c r="B395" s="56" t="s">
        <v>6764</v>
      </c>
      <c r="C395" s="57"/>
      <c r="D395" s="127" t="s">
        <v>6559</v>
      </c>
      <c r="E395" s="59" t="s">
        <v>6764</v>
      </c>
      <c r="F395" s="60"/>
      <c r="G395" s="61" t="s">
        <v>6764</v>
      </c>
      <c r="H395" s="83"/>
      <c r="I395" s="89" t="e">
        <v>#N/A</v>
      </c>
      <c r="J395" s="65" t="e">
        <v>#N/A</v>
      </c>
      <c r="K395" s="66"/>
      <c r="L395" s="66"/>
      <c r="M395" s="66"/>
      <c r="N395" s="66"/>
      <c r="O395" s="127" t="s">
        <v>6559</v>
      </c>
      <c r="P395" s="59" t="e">
        <v>#N/A</v>
      </c>
      <c r="Q395" s="67" t="e">
        <v>#N/A</v>
      </c>
      <c r="R395" s="68" t="e">
        <v>#N/A</v>
      </c>
      <c r="S395" s="62" t="e">
        <v>#N/A</v>
      </c>
      <c r="T395" s="62" t="e">
        <v>#N/A</v>
      </c>
      <c r="U395" s="63">
        <v>0.0</v>
      </c>
      <c r="V395" s="69" t="e">
        <v>#N/A</v>
      </c>
      <c r="W395" s="70" t="e">
        <v>#N/A</v>
      </c>
      <c r="X395" s="64" t="s">
        <v>6764</v>
      </c>
      <c r="Y395" s="64" t="s">
        <v>6764</v>
      </c>
      <c r="Z395" s="66" t="s">
        <v>6597</v>
      </c>
      <c r="AA395" s="71"/>
    </row>
    <row r="396" ht="15.75" hidden="1" customHeight="1">
      <c r="A396" s="56" t="s">
        <v>6764</v>
      </c>
      <c r="B396" s="56" t="s">
        <v>6764</v>
      </c>
      <c r="C396" s="57"/>
      <c r="D396" s="127" t="s">
        <v>6559</v>
      </c>
      <c r="E396" s="59" t="s">
        <v>6764</v>
      </c>
      <c r="F396" s="60"/>
      <c r="G396" s="61" t="s">
        <v>6764</v>
      </c>
      <c r="H396" s="83"/>
      <c r="I396" s="89" t="e">
        <v>#N/A</v>
      </c>
      <c r="J396" s="65" t="e">
        <v>#N/A</v>
      </c>
      <c r="K396" s="66"/>
      <c r="L396" s="66"/>
      <c r="M396" s="66"/>
      <c r="N396" s="66"/>
      <c r="O396" s="127" t="s">
        <v>6559</v>
      </c>
      <c r="P396" s="59" t="e">
        <v>#N/A</v>
      </c>
      <c r="Q396" s="67" t="e">
        <v>#N/A</v>
      </c>
      <c r="R396" s="68" t="e">
        <v>#N/A</v>
      </c>
      <c r="S396" s="62" t="e">
        <v>#N/A</v>
      </c>
      <c r="T396" s="62" t="e">
        <v>#N/A</v>
      </c>
      <c r="U396" s="63">
        <v>0.0</v>
      </c>
      <c r="V396" s="69" t="e">
        <v>#N/A</v>
      </c>
      <c r="W396" s="70" t="e">
        <v>#N/A</v>
      </c>
      <c r="X396" s="64" t="s">
        <v>6764</v>
      </c>
      <c r="Y396" s="64" t="s">
        <v>6764</v>
      </c>
      <c r="Z396" s="66" t="s">
        <v>6597</v>
      </c>
      <c r="AA396" s="71"/>
    </row>
    <row r="397" ht="15.75" hidden="1" customHeight="1">
      <c r="A397" s="56" t="s">
        <v>6764</v>
      </c>
      <c r="B397" s="56" t="s">
        <v>6764</v>
      </c>
      <c r="C397" s="57"/>
      <c r="D397" s="127" t="s">
        <v>6559</v>
      </c>
      <c r="E397" s="59" t="s">
        <v>6764</v>
      </c>
      <c r="F397" s="60"/>
      <c r="G397" s="61" t="s">
        <v>6764</v>
      </c>
      <c r="H397" s="83"/>
      <c r="I397" s="89" t="e">
        <v>#N/A</v>
      </c>
      <c r="J397" s="65" t="e">
        <v>#N/A</v>
      </c>
      <c r="K397" s="66"/>
      <c r="L397" s="66"/>
      <c r="M397" s="66"/>
      <c r="N397" s="66"/>
      <c r="O397" s="127" t="s">
        <v>6559</v>
      </c>
      <c r="P397" s="59" t="e">
        <v>#N/A</v>
      </c>
      <c r="Q397" s="67" t="e">
        <v>#N/A</v>
      </c>
      <c r="R397" s="68" t="e">
        <v>#N/A</v>
      </c>
      <c r="S397" s="62" t="e">
        <v>#N/A</v>
      </c>
      <c r="T397" s="62" t="e">
        <v>#N/A</v>
      </c>
      <c r="U397" s="63">
        <v>0.0</v>
      </c>
      <c r="V397" s="69" t="e">
        <v>#N/A</v>
      </c>
      <c r="W397" s="70" t="e">
        <v>#N/A</v>
      </c>
      <c r="X397" s="64" t="s">
        <v>6764</v>
      </c>
      <c r="Y397" s="64" t="s">
        <v>6764</v>
      </c>
      <c r="Z397" s="66" t="s">
        <v>6597</v>
      </c>
      <c r="AA397" s="71"/>
    </row>
    <row r="398" ht="15.75" hidden="1" customHeight="1">
      <c r="A398" s="56" t="s">
        <v>6764</v>
      </c>
      <c r="B398" s="56" t="s">
        <v>6764</v>
      </c>
      <c r="C398" s="57"/>
      <c r="D398" s="127" t="s">
        <v>6559</v>
      </c>
      <c r="E398" s="59" t="s">
        <v>6764</v>
      </c>
      <c r="F398" s="60"/>
      <c r="G398" s="61" t="s">
        <v>6764</v>
      </c>
      <c r="H398" s="83"/>
      <c r="I398" s="89" t="e">
        <v>#N/A</v>
      </c>
      <c r="J398" s="65" t="e">
        <v>#N/A</v>
      </c>
      <c r="K398" s="66"/>
      <c r="L398" s="66"/>
      <c r="M398" s="66"/>
      <c r="N398" s="66"/>
      <c r="O398" s="127" t="s">
        <v>6559</v>
      </c>
      <c r="P398" s="59" t="e">
        <v>#N/A</v>
      </c>
      <c r="Q398" s="67" t="e">
        <v>#N/A</v>
      </c>
      <c r="R398" s="68" t="e">
        <v>#N/A</v>
      </c>
      <c r="S398" s="62" t="e">
        <v>#N/A</v>
      </c>
      <c r="T398" s="62" t="e">
        <v>#N/A</v>
      </c>
      <c r="U398" s="63">
        <v>0.0</v>
      </c>
      <c r="V398" s="69" t="e">
        <v>#N/A</v>
      </c>
      <c r="W398" s="70" t="e">
        <v>#N/A</v>
      </c>
      <c r="X398" s="64" t="s">
        <v>6764</v>
      </c>
      <c r="Y398" s="64" t="s">
        <v>6764</v>
      </c>
      <c r="Z398" s="66" t="s">
        <v>6597</v>
      </c>
      <c r="AA398" s="71"/>
    </row>
    <row r="399" ht="15.75" hidden="1" customHeight="1">
      <c r="A399" s="56" t="s">
        <v>6764</v>
      </c>
      <c r="B399" s="56" t="s">
        <v>6764</v>
      </c>
      <c r="C399" s="57"/>
      <c r="D399" s="127" t="s">
        <v>6559</v>
      </c>
      <c r="E399" s="59" t="s">
        <v>6764</v>
      </c>
      <c r="F399" s="60"/>
      <c r="G399" s="61" t="s">
        <v>6764</v>
      </c>
      <c r="H399" s="83"/>
      <c r="I399" s="89" t="e">
        <v>#N/A</v>
      </c>
      <c r="J399" s="65" t="e">
        <v>#N/A</v>
      </c>
      <c r="K399" s="66"/>
      <c r="L399" s="66"/>
      <c r="M399" s="66"/>
      <c r="N399" s="66"/>
      <c r="O399" s="127" t="s">
        <v>6559</v>
      </c>
      <c r="P399" s="59" t="e">
        <v>#N/A</v>
      </c>
      <c r="Q399" s="67" t="e">
        <v>#N/A</v>
      </c>
      <c r="R399" s="68" t="e">
        <v>#N/A</v>
      </c>
      <c r="S399" s="62" t="e">
        <v>#N/A</v>
      </c>
      <c r="T399" s="62" t="e">
        <v>#N/A</v>
      </c>
      <c r="U399" s="63">
        <v>0.0</v>
      </c>
      <c r="V399" s="69" t="e">
        <v>#N/A</v>
      </c>
      <c r="W399" s="70" t="e">
        <v>#N/A</v>
      </c>
      <c r="X399" s="64" t="s">
        <v>6764</v>
      </c>
      <c r="Y399" s="64" t="s">
        <v>6764</v>
      </c>
      <c r="Z399" s="66" t="s">
        <v>6597</v>
      </c>
      <c r="AA399" s="71"/>
    </row>
    <row r="400" ht="15.75" hidden="1" customHeight="1">
      <c r="A400" s="56" t="s">
        <v>6764</v>
      </c>
      <c r="B400" s="56" t="s">
        <v>6764</v>
      </c>
      <c r="C400" s="57"/>
      <c r="D400" s="127" t="s">
        <v>6559</v>
      </c>
      <c r="E400" s="59" t="s">
        <v>6764</v>
      </c>
      <c r="F400" s="60"/>
      <c r="G400" s="61" t="s">
        <v>6764</v>
      </c>
      <c r="H400" s="83"/>
      <c r="I400" s="89" t="e">
        <v>#N/A</v>
      </c>
      <c r="J400" s="65" t="e">
        <v>#N/A</v>
      </c>
      <c r="K400" s="66"/>
      <c r="L400" s="66"/>
      <c r="M400" s="66"/>
      <c r="N400" s="66"/>
      <c r="O400" s="127" t="s">
        <v>6559</v>
      </c>
      <c r="P400" s="59" t="e">
        <v>#N/A</v>
      </c>
      <c r="Q400" s="67" t="e">
        <v>#N/A</v>
      </c>
      <c r="R400" s="68" t="e">
        <v>#N/A</v>
      </c>
      <c r="S400" s="62" t="e">
        <v>#N/A</v>
      </c>
      <c r="T400" s="62" t="e">
        <v>#N/A</v>
      </c>
      <c r="U400" s="63">
        <v>0.0</v>
      </c>
      <c r="V400" s="69" t="e">
        <v>#N/A</v>
      </c>
      <c r="W400" s="70" t="e">
        <v>#N/A</v>
      </c>
      <c r="X400" s="64" t="s">
        <v>6764</v>
      </c>
      <c r="Y400" s="64" t="s">
        <v>6764</v>
      </c>
      <c r="Z400" s="66" t="s">
        <v>6597</v>
      </c>
      <c r="AA400" s="71"/>
    </row>
    <row r="401" ht="15.75" hidden="1" customHeight="1">
      <c r="A401" s="56" t="s">
        <v>6764</v>
      </c>
      <c r="B401" s="56" t="s">
        <v>6764</v>
      </c>
      <c r="C401" s="57"/>
      <c r="D401" s="127" t="s">
        <v>6559</v>
      </c>
      <c r="E401" s="59" t="s">
        <v>6764</v>
      </c>
      <c r="F401" s="60"/>
      <c r="G401" s="61" t="s">
        <v>6764</v>
      </c>
      <c r="H401" s="83"/>
      <c r="I401" s="89" t="e">
        <v>#N/A</v>
      </c>
      <c r="J401" s="65" t="e">
        <v>#N/A</v>
      </c>
      <c r="K401" s="66"/>
      <c r="L401" s="66"/>
      <c r="M401" s="66"/>
      <c r="N401" s="66"/>
      <c r="O401" s="127" t="s">
        <v>6559</v>
      </c>
      <c r="P401" s="59" t="e">
        <v>#N/A</v>
      </c>
      <c r="Q401" s="67" t="e">
        <v>#N/A</v>
      </c>
      <c r="R401" s="68" t="e">
        <v>#N/A</v>
      </c>
      <c r="S401" s="62" t="e">
        <v>#N/A</v>
      </c>
      <c r="T401" s="62" t="e">
        <v>#N/A</v>
      </c>
      <c r="U401" s="63">
        <v>0.0</v>
      </c>
      <c r="V401" s="69" t="e">
        <v>#N/A</v>
      </c>
      <c r="W401" s="70" t="e">
        <v>#N/A</v>
      </c>
      <c r="X401" s="64" t="s">
        <v>6764</v>
      </c>
      <c r="Y401" s="64" t="s">
        <v>6764</v>
      </c>
      <c r="Z401" s="66" t="s">
        <v>6597</v>
      </c>
      <c r="AA401" s="71"/>
    </row>
    <row r="402" ht="15.75" hidden="1" customHeight="1">
      <c r="A402" s="56" t="s">
        <v>6764</v>
      </c>
      <c r="B402" s="56" t="s">
        <v>6764</v>
      </c>
      <c r="C402" s="57"/>
      <c r="D402" s="127" t="s">
        <v>6559</v>
      </c>
      <c r="E402" s="59" t="s">
        <v>6764</v>
      </c>
      <c r="F402" s="60"/>
      <c r="G402" s="61" t="s">
        <v>6764</v>
      </c>
      <c r="H402" s="83"/>
      <c r="I402" s="89" t="e">
        <v>#N/A</v>
      </c>
      <c r="J402" s="65" t="e">
        <v>#N/A</v>
      </c>
      <c r="K402" s="66"/>
      <c r="L402" s="66"/>
      <c r="M402" s="66"/>
      <c r="N402" s="66"/>
      <c r="O402" s="127" t="s">
        <v>6559</v>
      </c>
      <c r="P402" s="59" t="e">
        <v>#N/A</v>
      </c>
      <c r="Q402" s="67" t="e">
        <v>#N/A</v>
      </c>
      <c r="R402" s="68" t="e">
        <v>#N/A</v>
      </c>
      <c r="S402" s="62" t="e">
        <v>#N/A</v>
      </c>
      <c r="T402" s="62" t="e">
        <v>#N/A</v>
      </c>
      <c r="U402" s="63">
        <v>0.0</v>
      </c>
      <c r="V402" s="69" t="e">
        <v>#N/A</v>
      </c>
      <c r="W402" s="70" t="e">
        <v>#N/A</v>
      </c>
      <c r="X402" s="64" t="s">
        <v>6764</v>
      </c>
      <c r="Y402" s="64" t="s">
        <v>6764</v>
      </c>
      <c r="Z402" s="66" t="s">
        <v>6597</v>
      </c>
      <c r="AA402" s="71"/>
    </row>
    <row r="403" ht="15.75" hidden="1" customHeight="1">
      <c r="A403" s="56" t="s">
        <v>6764</v>
      </c>
      <c r="B403" s="56" t="s">
        <v>6764</v>
      </c>
      <c r="C403" s="57"/>
      <c r="D403" s="127" t="s">
        <v>6559</v>
      </c>
      <c r="E403" s="59" t="s">
        <v>6764</v>
      </c>
      <c r="F403" s="60"/>
      <c r="G403" s="61" t="s">
        <v>6764</v>
      </c>
      <c r="H403" s="83"/>
      <c r="I403" s="89" t="e">
        <v>#N/A</v>
      </c>
      <c r="J403" s="65" t="e">
        <v>#N/A</v>
      </c>
      <c r="K403" s="66"/>
      <c r="L403" s="66"/>
      <c r="M403" s="66"/>
      <c r="N403" s="66"/>
      <c r="O403" s="127" t="s">
        <v>6559</v>
      </c>
      <c r="P403" s="59" t="e">
        <v>#N/A</v>
      </c>
      <c r="Q403" s="67" t="e">
        <v>#N/A</v>
      </c>
      <c r="R403" s="68" t="e">
        <v>#N/A</v>
      </c>
      <c r="S403" s="62" t="e">
        <v>#N/A</v>
      </c>
      <c r="T403" s="62" t="e">
        <v>#N/A</v>
      </c>
      <c r="U403" s="63">
        <v>0.0</v>
      </c>
      <c r="V403" s="69" t="e">
        <v>#N/A</v>
      </c>
      <c r="W403" s="70" t="e">
        <v>#N/A</v>
      </c>
      <c r="X403" s="64" t="s">
        <v>6764</v>
      </c>
      <c r="Y403" s="64" t="s">
        <v>6764</v>
      </c>
      <c r="Z403" s="66" t="s">
        <v>6597</v>
      </c>
      <c r="AA403" s="71"/>
    </row>
    <row r="404" ht="15.75" hidden="1" customHeight="1">
      <c r="A404" s="56" t="s">
        <v>6764</v>
      </c>
      <c r="B404" s="56" t="s">
        <v>6764</v>
      </c>
      <c r="C404" s="57"/>
      <c r="D404" s="127" t="s">
        <v>6559</v>
      </c>
      <c r="E404" s="59" t="s">
        <v>6764</v>
      </c>
      <c r="F404" s="60"/>
      <c r="G404" s="61" t="s">
        <v>6764</v>
      </c>
      <c r="H404" s="83"/>
      <c r="I404" s="89" t="e">
        <v>#N/A</v>
      </c>
      <c r="J404" s="65" t="e">
        <v>#N/A</v>
      </c>
      <c r="K404" s="66"/>
      <c r="L404" s="66"/>
      <c r="M404" s="66"/>
      <c r="N404" s="66"/>
      <c r="O404" s="127" t="s">
        <v>6559</v>
      </c>
      <c r="P404" s="59" t="e">
        <v>#N/A</v>
      </c>
      <c r="Q404" s="67" t="e">
        <v>#N/A</v>
      </c>
      <c r="R404" s="68" t="e">
        <v>#N/A</v>
      </c>
      <c r="S404" s="62" t="e">
        <v>#N/A</v>
      </c>
      <c r="T404" s="62" t="e">
        <v>#N/A</v>
      </c>
      <c r="U404" s="63">
        <v>0.0</v>
      </c>
      <c r="V404" s="69" t="e">
        <v>#N/A</v>
      </c>
      <c r="W404" s="70" t="e">
        <v>#N/A</v>
      </c>
      <c r="X404" s="64" t="s">
        <v>6764</v>
      </c>
      <c r="Y404" s="64" t="s">
        <v>6764</v>
      </c>
      <c r="Z404" s="66" t="s">
        <v>6597</v>
      </c>
      <c r="AA404" s="71"/>
    </row>
    <row r="405" ht="15.75" hidden="1" customHeight="1">
      <c r="A405" s="56" t="s">
        <v>6764</v>
      </c>
      <c r="B405" s="56" t="s">
        <v>6764</v>
      </c>
      <c r="C405" s="57"/>
      <c r="D405" s="127" t="s">
        <v>6559</v>
      </c>
      <c r="E405" s="59" t="s">
        <v>6764</v>
      </c>
      <c r="F405" s="60"/>
      <c r="G405" s="61" t="s">
        <v>6764</v>
      </c>
      <c r="H405" s="83"/>
      <c r="I405" s="89" t="e">
        <v>#N/A</v>
      </c>
      <c r="J405" s="65" t="e">
        <v>#N/A</v>
      </c>
      <c r="K405" s="66"/>
      <c r="L405" s="66"/>
      <c r="M405" s="66"/>
      <c r="N405" s="66"/>
      <c r="O405" s="127" t="s">
        <v>6559</v>
      </c>
      <c r="P405" s="59" t="e">
        <v>#N/A</v>
      </c>
      <c r="Q405" s="67" t="e">
        <v>#N/A</v>
      </c>
      <c r="R405" s="68" t="e">
        <v>#N/A</v>
      </c>
      <c r="S405" s="62" t="e">
        <v>#N/A</v>
      </c>
      <c r="T405" s="62" t="e">
        <v>#N/A</v>
      </c>
      <c r="U405" s="63">
        <v>0.0</v>
      </c>
      <c r="V405" s="69" t="e">
        <v>#N/A</v>
      </c>
      <c r="W405" s="70" t="e">
        <v>#N/A</v>
      </c>
      <c r="X405" s="64" t="s">
        <v>6764</v>
      </c>
      <c r="Y405" s="64" t="s">
        <v>6764</v>
      </c>
      <c r="Z405" s="66" t="s">
        <v>6597</v>
      </c>
      <c r="AA405" s="71"/>
    </row>
    <row r="406" ht="15.75" hidden="1" customHeight="1">
      <c r="A406" s="56" t="s">
        <v>6764</v>
      </c>
      <c r="B406" s="56" t="s">
        <v>6764</v>
      </c>
      <c r="C406" s="57"/>
      <c r="D406" s="127" t="s">
        <v>6559</v>
      </c>
      <c r="E406" s="59" t="s">
        <v>6764</v>
      </c>
      <c r="F406" s="60"/>
      <c r="G406" s="61" t="s">
        <v>6764</v>
      </c>
      <c r="H406" s="83"/>
      <c r="I406" s="89" t="e">
        <v>#N/A</v>
      </c>
      <c r="J406" s="65" t="e">
        <v>#N/A</v>
      </c>
      <c r="K406" s="66"/>
      <c r="L406" s="66"/>
      <c r="M406" s="66"/>
      <c r="N406" s="66"/>
      <c r="O406" s="127" t="s">
        <v>6559</v>
      </c>
      <c r="P406" s="59" t="e">
        <v>#N/A</v>
      </c>
      <c r="Q406" s="67" t="e">
        <v>#N/A</v>
      </c>
      <c r="R406" s="68" t="e">
        <v>#N/A</v>
      </c>
      <c r="S406" s="62" t="e">
        <v>#N/A</v>
      </c>
      <c r="T406" s="62" t="e">
        <v>#N/A</v>
      </c>
      <c r="U406" s="63">
        <v>0.0</v>
      </c>
      <c r="V406" s="69" t="e">
        <v>#N/A</v>
      </c>
      <c r="W406" s="70" t="e">
        <v>#N/A</v>
      </c>
      <c r="X406" s="64" t="s">
        <v>6764</v>
      </c>
      <c r="Y406" s="64" t="s">
        <v>6764</v>
      </c>
      <c r="Z406" s="66" t="s">
        <v>6597</v>
      </c>
      <c r="AA406" s="71"/>
    </row>
    <row r="407" ht="15.75" hidden="1" customHeight="1">
      <c r="A407" s="56" t="s">
        <v>6764</v>
      </c>
      <c r="B407" s="56" t="s">
        <v>6764</v>
      </c>
      <c r="C407" s="57"/>
      <c r="D407" s="127" t="s">
        <v>6559</v>
      </c>
      <c r="E407" s="59" t="s">
        <v>6764</v>
      </c>
      <c r="F407" s="60"/>
      <c r="G407" s="61" t="s">
        <v>6764</v>
      </c>
      <c r="H407" s="83"/>
      <c r="I407" s="89" t="e">
        <v>#N/A</v>
      </c>
      <c r="J407" s="65" t="e">
        <v>#N/A</v>
      </c>
      <c r="K407" s="66"/>
      <c r="L407" s="66"/>
      <c r="M407" s="66"/>
      <c r="N407" s="66"/>
      <c r="O407" s="127" t="s">
        <v>6559</v>
      </c>
      <c r="P407" s="59" t="e">
        <v>#N/A</v>
      </c>
      <c r="Q407" s="67" t="e">
        <v>#N/A</v>
      </c>
      <c r="R407" s="68" t="e">
        <v>#N/A</v>
      </c>
      <c r="S407" s="62" t="e">
        <v>#N/A</v>
      </c>
      <c r="T407" s="62" t="e">
        <v>#N/A</v>
      </c>
      <c r="U407" s="63">
        <v>0.0</v>
      </c>
      <c r="V407" s="69" t="e">
        <v>#N/A</v>
      </c>
      <c r="W407" s="70" t="e">
        <v>#N/A</v>
      </c>
      <c r="X407" s="64" t="s">
        <v>6764</v>
      </c>
      <c r="Y407" s="64" t="s">
        <v>6764</v>
      </c>
      <c r="Z407" s="66" t="s">
        <v>6597</v>
      </c>
      <c r="AA407" s="71"/>
    </row>
    <row r="408" ht="15.75" hidden="1" customHeight="1">
      <c r="A408" s="56" t="s">
        <v>6764</v>
      </c>
      <c r="B408" s="56" t="s">
        <v>6764</v>
      </c>
      <c r="C408" s="57"/>
      <c r="D408" s="127" t="s">
        <v>6559</v>
      </c>
      <c r="E408" s="59" t="s">
        <v>6764</v>
      </c>
      <c r="F408" s="60"/>
      <c r="G408" s="61" t="s">
        <v>6764</v>
      </c>
      <c r="H408" s="83"/>
      <c r="I408" s="89" t="e">
        <v>#N/A</v>
      </c>
      <c r="J408" s="65" t="e">
        <v>#N/A</v>
      </c>
      <c r="K408" s="66"/>
      <c r="L408" s="66"/>
      <c r="M408" s="66"/>
      <c r="N408" s="66"/>
      <c r="O408" s="127" t="s">
        <v>6559</v>
      </c>
      <c r="P408" s="59" t="e">
        <v>#N/A</v>
      </c>
      <c r="Q408" s="67" t="e">
        <v>#N/A</v>
      </c>
      <c r="R408" s="68" t="e">
        <v>#N/A</v>
      </c>
      <c r="S408" s="62" t="e">
        <v>#N/A</v>
      </c>
      <c r="T408" s="62" t="e">
        <v>#N/A</v>
      </c>
      <c r="U408" s="63">
        <v>0.0</v>
      </c>
      <c r="V408" s="69" t="e">
        <v>#N/A</v>
      </c>
      <c r="W408" s="70" t="e">
        <v>#N/A</v>
      </c>
      <c r="X408" s="64" t="s">
        <v>6764</v>
      </c>
      <c r="Y408" s="64" t="s">
        <v>6764</v>
      </c>
      <c r="Z408" s="66" t="s">
        <v>6597</v>
      </c>
      <c r="AA408" s="71"/>
    </row>
    <row r="409" ht="15.75" hidden="1" customHeight="1">
      <c r="A409" s="56" t="s">
        <v>6764</v>
      </c>
      <c r="B409" s="56" t="s">
        <v>6764</v>
      </c>
      <c r="C409" s="57"/>
      <c r="D409" s="127" t="s">
        <v>6559</v>
      </c>
      <c r="E409" s="59" t="s">
        <v>6764</v>
      </c>
      <c r="F409" s="60"/>
      <c r="G409" s="61" t="s">
        <v>6764</v>
      </c>
      <c r="H409" s="83"/>
      <c r="I409" s="89" t="e">
        <v>#N/A</v>
      </c>
      <c r="J409" s="65" t="e">
        <v>#N/A</v>
      </c>
      <c r="K409" s="66"/>
      <c r="L409" s="66"/>
      <c r="M409" s="66"/>
      <c r="N409" s="66"/>
      <c r="O409" s="127" t="s">
        <v>6559</v>
      </c>
      <c r="P409" s="59" t="e">
        <v>#N/A</v>
      </c>
      <c r="Q409" s="67" t="e">
        <v>#N/A</v>
      </c>
      <c r="R409" s="68" t="e">
        <v>#N/A</v>
      </c>
      <c r="S409" s="62" t="e">
        <v>#N/A</v>
      </c>
      <c r="T409" s="62" t="e">
        <v>#N/A</v>
      </c>
      <c r="U409" s="63">
        <v>0.0</v>
      </c>
      <c r="V409" s="69" t="e">
        <v>#N/A</v>
      </c>
      <c r="W409" s="70" t="e">
        <v>#N/A</v>
      </c>
      <c r="X409" s="64" t="s">
        <v>6764</v>
      </c>
      <c r="Y409" s="64" t="s">
        <v>6764</v>
      </c>
      <c r="Z409" s="66" t="s">
        <v>6597</v>
      </c>
      <c r="AA409" s="71"/>
    </row>
    <row r="410" ht="15.75" hidden="1" customHeight="1">
      <c r="A410" s="56" t="s">
        <v>6764</v>
      </c>
      <c r="B410" s="56" t="s">
        <v>6764</v>
      </c>
      <c r="C410" s="57"/>
      <c r="D410" s="127" t="s">
        <v>6559</v>
      </c>
      <c r="E410" s="59" t="s">
        <v>6764</v>
      </c>
      <c r="F410" s="60"/>
      <c r="G410" s="61" t="s">
        <v>6764</v>
      </c>
      <c r="H410" s="83"/>
      <c r="I410" s="89" t="e">
        <v>#N/A</v>
      </c>
      <c r="J410" s="65" t="e">
        <v>#N/A</v>
      </c>
      <c r="K410" s="66"/>
      <c r="L410" s="66"/>
      <c r="M410" s="66"/>
      <c r="N410" s="66"/>
      <c r="O410" s="127" t="s">
        <v>6559</v>
      </c>
      <c r="P410" s="59" t="e">
        <v>#N/A</v>
      </c>
      <c r="Q410" s="67" t="e">
        <v>#N/A</v>
      </c>
      <c r="R410" s="68" t="e">
        <v>#N/A</v>
      </c>
      <c r="S410" s="62" t="e">
        <v>#N/A</v>
      </c>
      <c r="T410" s="62" t="e">
        <v>#N/A</v>
      </c>
      <c r="U410" s="63">
        <v>0.0</v>
      </c>
      <c r="V410" s="69" t="e">
        <v>#N/A</v>
      </c>
      <c r="W410" s="70" t="e">
        <v>#N/A</v>
      </c>
      <c r="X410" s="64" t="s">
        <v>6764</v>
      </c>
      <c r="Y410" s="64" t="s">
        <v>6764</v>
      </c>
      <c r="Z410" s="66" t="s">
        <v>6597</v>
      </c>
      <c r="AA410" s="71"/>
    </row>
    <row r="411" ht="15.75" hidden="1" customHeight="1">
      <c r="A411" s="56" t="s">
        <v>6764</v>
      </c>
      <c r="B411" s="56" t="s">
        <v>6764</v>
      </c>
      <c r="C411" s="57"/>
      <c r="D411" s="127" t="s">
        <v>6559</v>
      </c>
      <c r="E411" s="59" t="s">
        <v>6764</v>
      </c>
      <c r="F411" s="60"/>
      <c r="G411" s="61" t="s">
        <v>6764</v>
      </c>
      <c r="H411" s="83"/>
      <c r="I411" s="89" t="e">
        <v>#N/A</v>
      </c>
      <c r="J411" s="65" t="e">
        <v>#N/A</v>
      </c>
      <c r="K411" s="66"/>
      <c r="L411" s="66"/>
      <c r="M411" s="66"/>
      <c r="N411" s="66"/>
      <c r="O411" s="127" t="s">
        <v>6559</v>
      </c>
      <c r="P411" s="59" t="e">
        <v>#N/A</v>
      </c>
      <c r="Q411" s="67" t="e">
        <v>#N/A</v>
      </c>
      <c r="R411" s="68" t="e">
        <v>#N/A</v>
      </c>
      <c r="S411" s="62" t="e">
        <v>#N/A</v>
      </c>
      <c r="T411" s="62" t="e">
        <v>#N/A</v>
      </c>
      <c r="U411" s="63">
        <v>0.0</v>
      </c>
      <c r="V411" s="69" t="e">
        <v>#N/A</v>
      </c>
      <c r="W411" s="70" t="e">
        <v>#N/A</v>
      </c>
      <c r="X411" s="64" t="s">
        <v>6764</v>
      </c>
      <c r="Y411" s="64" t="s">
        <v>6764</v>
      </c>
      <c r="Z411" s="66" t="s">
        <v>6597</v>
      </c>
      <c r="AA411" s="71"/>
    </row>
    <row r="412" ht="15.75" hidden="1" customHeight="1">
      <c r="A412" s="56" t="s">
        <v>6764</v>
      </c>
      <c r="B412" s="56" t="s">
        <v>6764</v>
      </c>
      <c r="C412" s="57"/>
      <c r="D412" s="127" t="s">
        <v>6559</v>
      </c>
      <c r="E412" s="59" t="s">
        <v>6764</v>
      </c>
      <c r="F412" s="60"/>
      <c r="G412" s="61" t="s">
        <v>6764</v>
      </c>
      <c r="H412" s="83"/>
      <c r="I412" s="89" t="e">
        <v>#N/A</v>
      </c>
      <c r="J412" s="65" t="e">
        <v>#N/A</v>
      </c>
      <c r="K412" s="66"/>
      <c r="L412" s="66"/>
      <c r="M412" s="66"/>
      <c r="N412" s="66"/>
      <c r="O412" s="127" t="s">
        <v>6559</v>
      </c>
      <c r="P412" s="59" t="e">
        <v>#N/A</v>
      </c>
      <c r="Q412" s="67" t="e">
        <v>#N/A</v>
      </c>
      <c r="R412" s="68" t="e">
        <v>#N/A</v>
      </c>
      <c r="S412" s="62" t="e">
        <v>#N/A</v>
      </c>
      <c r="T412" s="62" t="e">
        <v>#N/A</v>
      </c>
      <c r="U412" s="63">
        <v>0.0</v>
      </c>
      <c r="V412" s="69" t="e">
        <v>#N/A</v>
      </c>
      <c r="W412" s="70" t="e">
        <v>#N/A</v>
      </c>
      <c r="X412" s="64" t="s">
        <v>6764</v>
      </c>
      <c r="Y412" s="64" t="s">
        <v>6764</v>
      </c>
      <c r="Z412" s="66" t="s">
        <v>6597</v>
      </c>
      <c r="AA412" s="71"/>
    </row>
    <row r="413" ht="15.75" hidden="1" customHeight="1">
      <c r="A413" s="56" t="s">
        <v>6764</v>
      </c>
      <c r="B413" s="56" t="s">
        <v>6764</v>
      </c>
      <c r="C413" s="57"/>
      <c r="D413" s="127" t="s">
        <v>6559</v>
      </c>
      <c r="E413" s="59" t="s">
        <v>6764</v>
      </c>
      <c r="F413" s="60"/>
      <c r="G413" s="61" t="s">
        <v>6764</v>
      </c>
      <c r="H413" s="83"/>
      <c r="I413" s="89" t="e">
        <v>#N/A</v>
      </c>
      <c r="J413" s="65" t="e">
        <v>#N/A</v>
      </c>
      <c r="K413" s="66"/>
      <c r="L413" s="66"/>
      <c r="M413" s="66"/>
      <c r="N413" s="66"/>
      <c r="O413" s="127" t="s">
        <v>6559</v>
      </c>
      <c r="P413" s="59" t="e">
        <v>#N/A</v>
      </c>
      <c r="Q413" s="67" t="e">
        <v>#N/A</v>
      </c>
      <c r="R413" s="68" t="e">
        <v>#N/A</v>
      </c>
      <c r="S413" s="62" t="e">
        <v>#N/A</v>
      </c>
      <c r="T413" s="62" t="e">
        <v>#N/A</v>
      </c>
      <c r="U413" s="63">
        <v>0.0</v>
      </c>
      <c r="V413" s="69" t="e">
        <v>#N/A</v>
      </c>
      <c r="W413" s="70" t="e">
        <v>#N/A</v>
      </c>
      <c r="X413" s="64" t="s">
        <v>6764</v>
      </c>
      <c r="Y413" s="64" t="s">
        <v>6764</v>
      </c>
      <c r="Z413" s="66" t="s">
        <v>6597</v>
      </c>
      <c r="AA413" s="71"/>
    </row>
    <row r="414" ht="15.75" hidden="1" customHeight="1">
      <c r="A414" s="56" t="s">
        <v>6764</v>
      </c>
      <c r="B414" s="56" t="s">
        <v>6764</v>
      </c>
      <c r="C414" s="57"/>
      <c r="D414" s="127" t="s">
        <v>6559</v>
      </c>
      <c r="E414" s="59" t="s">
        <v>6764</v>
      </c>
      <c r="F414" s="60"/>
      <c r="G414" s="61" t="s">
        <v>6764</v>
      </c>
      <c r="H414" s="83"/>
      <c r="I414" s="89" t="e">
        <v>#N/A</v>
      </c>
      <c r="J414" s="65" t="e">
        <v>#N/A</v>
      </c>
      <c r="K414" s="66"/>
      <c r="L414" s="66"/>
      <c r="M414" s="66"/>
      <c r="N414" s="66"/>
      <c r="O414" s="127" t="s">
        <v>6559</v>
      </c>
      <c r="P414" s="59" t="e">
        <v>#N/A</v>
      </c>
      <c r="Q414" s="67" t="e">
        <v>#N/A</v>
      </c>
      <c r="R414" s="68" t="e">
        <v>#N/A</v>
      </c>
      <c r="S414" s="62" t="e">
        <v>#N/A</v>
      </c>
      <c r="T414" s="62" t="e">
        <v>#N/A</v>
      </c>
      <c r="U414" s="63">
        <v>0.0</v>
      </c>
      <c r="V414" s="69" t="e">
        <v>#N/A</v>
      </c>
      <c r="W414" s="70" t="e">
        <v>#N/A</v>
      </c>
      <c r="X414" s="64" t="s">
        <v>6764</v>
      </c>
      <c r="Y414" s="64" t="s">
        <v>6764</v>
      </c>
      <c r="Z414" s="66" t="s">
        <v>6597</v>
      </c>
      <c r="AA414" s="71"/>
    </row>
    <row r="415" ht="15.75" hidden="1" customHeight="1">
      <c r="A415" s="56" t="s">
        <v>6764</v>
      </c>
      <c r="B415" s="56" t="s">
        <v>6764</v>
      </c>
      <c r="C415" s="57"/>
      <c r="D415" s="127" t="s">
        <v>6559</v>
      </c>
      <c r="E415" s="59" t="s">
        <v>6764</v>
      </c>
      <c r="F415" s="60"/>
      <c r="G415" s="61" t="s">
        <v>6764</v>
      </c>
      <c r="H415" s="83"/>
      <c r="I415" s="89" t="e">
        <v>#N/A</v>
      </c>
      <c r="J415" s="65" t="e">
        <v>#N/A</v>
      </c>
      <c r="K415" s="66"/>
      <c r="L415" s="66"/>
      <c r="M415" s="66"/>
      <c r="N415" s="66"/>
      <c r="O415" s="127" t="s">
        <v>6559</v>
      </c>
      <c r="P415" s="59" t="e">
        <v>#N/A</v>
      </c>
      <c r="Q415" s="67" t="e">
        <v>#N/A</v>
      </c>
      <c r="R415" s="68" t="e">
        <v>#N/A</v>
      </c>
      <c r="S415" s="62" t="e">
        <v>#N/A</v>
      </c>
      <c r="T415" s="62" t="e">
        <v>#N/A</v>
      </c>
      <c r="U415" s="63">
        <v>0.0</v>
      </c>
      <c r="V415" s="69" t="e">
        <v>#N/A</v>
      </c>
      <c r="W415" s="70" t="e">
        <v>#N/A</v>
      </c>
      <c r="X415" s="64" t="s">
        <v>6764</v>
      </c>
      <c r="Y415" s="64" t="s">
        <v>6764</v>
      </c>
      <c r="Z415" s="66" t="s">
        <v>6597</v>
      </c>
      <c r="AA415" s="71"/>
    </row>
    <row r="416" ht="15.75" hidden="1" customHeight="1">
      <c r="A416" s="56" t="s">
        <v>6764</v>
      </c>
      <c r="B416" s="56" t="s">
        <v>6764</v>
      </c>
      <c r="C416" s="57"/>
      <c r="D416" s="127" t="s">
        <v>6559</v>
      </c>
      <c r="E416" s="59" t="s">
        <v>6764</v>
      </c>
      <c r="F416" s="60"/>
      <c r="G416" s="61" t="s">
        <v>6764</v>
      </c>
      <c r="H416" s="83"/>
      <c r="I416" s="89" t="e">
        <v>#N/A</v>
      </c>
      <c r="J416" s="65" t="e">
        <v>#N/A</v>
      </c>
      <c r="K416" s="66"/>
      <c r="L416" s="66"/>
      <c r="M416" s="66"/>
      <c r="N416" s="66"/>
      <c r="O416" s="127" t="s">
        <v>6559</v>
      </c>
      <c r="P416" s="59" t="e">
        <v>#N/A</v>
      </c>
      <c r="Q416" s="67" t="e">
        <v>#N/A</v>
      </c>
      <c r="R416" s="68" t="e">
        <v>#N/A</v>
      </c>
      <c r="S416" s="62" t="e">
        <v>#N/A</v>
      </c>
      <c r="T416" s="62" t="e">
        <v>#N/A</v>
      </c>
      <c r="U416" s="63">
        <v>0.0</v>
      </c>
      <c r="V416" s="69" t="e">
        <v>#N/A</v>
      </c>
      <c r="W416" s="70" t="e">
        <v>#N/A</v>
      </c>
      <c r="X416" s="64" t="s">
        <v>6764</v>
      </c>
      <c r="Y416" s="64" t="s">
        <v>6764</v>
      </c>
      <c r="Z416" s="66" t="s">
        <v>6597</v>
      </c>
      <c r="AA416" s="71"/>
    </row>
    <row r="417" ht="15.75" hidden="1" customHeight="1">
      <c r="A417" s="56" t="s">
        <v>6764</v>
      </c>
      <c r="B417" s="56" t="s">
        <v>6764</v>
      </c>
      <c r="C417" s="57"/>
      <c r="D417" s="127" t="s">
        <v>6559</v>
      </c>
      <c r="E417" s="59" t="s">
        <v>6764</v>
      </c>
      <c r="F417" s="60"/>
      <c r="G417" s="61" t="s">
        <v>6764</v>
      </c>
      <c r="H417" s="83"/>
      <c r="I417" s="89" t="e">
        <v>#N/A</v>
      </c>
      <c r="J417" s="65" t="e">
        <v>#N/A</v>
      </c>
      <c r="K417" s="66"/>
      <c r="L417" s="66"/>
      <c r="M417" s="66"/>
      <c r="N417" s="66"/>
      <c r="O417" s="127" t="s">
        <v>6559</v>
      </c>
      <c r="P417" s="59" t="e">
        <v>#N/A</v>
      </c>
      <c r="Q417" s="67" t="e">
        <v>#N/A</v>
      </c>
      <c r="R417" s="68" t="e">
        <v>#N/A</v>
      </c>
      <c r="S417" s="62" t="e">
        <v>#N/A</v>
      </c>
      <c r="T417" s="62" t="e">
        <v>#N/A</v>
      </c>
      <c r="U417" s="63">
        <v>0.0</v>
      </c>
      <c r="V417" s="69" t="e">
        <v>#N/A</v>
      </c>
      <c r="W417" s="70" t="e">
        <v>#N/A</v>
      </c>
      <c r="X417" s="64" t="s">
        <v>6764</v>
      </c>
      <c r="Y417" s="64" t="s">
        <v>6764</v>
      </c>
      <c r="Z417" s="66" t="s">
        <v>6597</v>
      </c>
      <c r="AA417" s="71"/>
    </row>
    <row r="418" ht="15.75" hidden="1" customHeight="1">
      <c r="A418" s="56" t="s">
        <v>6764</v>
      </c>
      <c r="B418" s="56" t="s">
        <v>6764</v>
      </c>
      <c r="C418" s="57"/>
      <c r="D418" s="127" t="s">
        <v>6559</v>
      </c>
      <c r="E418" s="59" t="s">
        <v>6764</v>
      </c>
      <c r="F418" s="60"/>
      <c r="G418" s="61" t="s">
        <v>6764</v>
      </c>
      <c r="H418" s="83"/>
      <c r="I418" s="89" t="e">
        <v>#N/A</v>
      </c>
      <c r="J418" s="65" t="e">
        <v>#N/A</v>
      </c>
      <c r="K418" s="66"/>
      <c r="L418" s="66"/>
      <c r="M418" s="66"/>
      <c r="N418" s="66"/>
      <c r="O418" s="127" t="s">
        <v>6559</v>
      </c>
      <c r="P418" s="59" t="e">
        <v>#N/A</v>
      </c>
      <c r="Q418" s="67" t="e">
        <v>#N/A</v>
      </c>
      <c r="R418" s="68" t="e">
        <v>#N/A</v>
      </c>
      <c r="S418" s="62" t="e">
        <v>#N/A</v>
      </c>
      <c r="T418" s="62" t="e">
        <v>#N/A</v>
      </c>
      <c r="U418" s="63">
        <v>0.0</v>
      </c>
      <c r="V418" s="69" t="e">
        <v>#N/A</v>
      </c>
      <c r="W418" s="70" t="e">
        <v>#N/A</v>
      </c>
      <c r="X418" s="64" t="s">
        <v>6764</v>
      </c>
      <c r="Y418" s="64" t="s">
        <v>6764</v>
      </c>
      <c r="Z418" s="66" t="s">
        <v>6597</v>
      </c>
      <c r="AA418" s="71"/>
    </row>
    <row r="419" ht="15.75" hidden="1" customHeight="1">
      <c r="A419" s="56" t="s">
        <v>6764</v>
      </c>
      <c r="B419" s="56" t="s">
        <v>6764</v>
      </c>
      <c r="C419" s="57"/>
      <c r="D419" s="127" t="s">
        <v>6559</v>
      </c>
      <c r="E419" s="59" t="s">
        <v>6764</v>
      </c>
      <c r="F419" s="60"/>
      <c r="G419" s="61" t="s">
        <v>6764</v>
      </c>
      <c r="H419" s="83"/>
      <c r="I419" s="89" t="e">
        <v>#N/A</v>
      </c>
      <c r="J419" s="65" t="e">
        <v>#N/A</v>
      </c>
      <c r="K419" s="66"/>
      <c r="L419" s="66"/>
      <c r="M419" s="66"/>
      <c r="N419" s="66"/>
      <c r="O419" s="127" t="s">
        <v>6559</v>
      </c>
      <c r="P419" s="59" t="e">
        <v>#N/A</v>
      </c>
      <c r="Q419" s="67" t="e">
        <v>#N/A</v>
      </c>
      <c r="R419" s="68" t="e">
        <v>#N/A</v>
      </c>
      <c r="S419" s="62" t="e">
        <v>#N/A</v>
      </c>
      <c r="T419" s="62" t="e">
        <v>#N/A</v>
      </c>
      <c r="U419" s="63">
        <v>0.0</v>
      </c>
      <c r="V419" s="69" t="e">
        <v>#N/A</v>
      </c>
      <c r="W419" s="70" t="e">
        <v>#N/A</v>
      </c>
      <c r="X419" s="64" t="s">
        <v>6764</v>
      </c>
      <c r="Y419" s="64" t="s">
        <v>6764</v>
      </c>
      <c r="Z419" s="66" t="s">
        <v>6597</v>
      </c>
      <c r="AA419" s="71"/>
    </row>
    <row r="420" ht="15.75" hidden="1" customHeight="1">
      <c r="A420" s="56" t="s">
        <v>6764</v>
      </c>
      <c r="B420" s="56" t="s">
        <v>6764</v>
      </c>
      <c r="C420" s="57"/>
      <c r="D420" s="127" t="s">
        <v>6559</v>
      </c>
      <c r="E420" s="59" t="s">
        <v>6764</v>
      </c>
      <c r="F420" s="60"/>
      <c r="G420" s="61" t="s">
        <v>6764</v>
      </c>
      <c r="H420" s="83"/>
      <c r="I420" s="89" t="e">
        <v>#N/A</v>
      </c>
      <c r="J420" s="65" t="e">
        <v>#N/A</v>
      </c>
      <c r="K420" s="66"/>
      <c r="L420" s="66"/>
      <c r="M420" s="66"/>
      <c r="N420" s="66"/>
      <c r="O420" s="127" t="s">
        <v>6559</v>
      </c>
      <c r="P420" s="59" t="e">
        <v>#N/A</v>
      </c>
      <c r="Q420" s="67" t="e">
        <v>#N/A</v>
      </c>
      <c r="R420" s="68" t="e">
        <v>#N/A</v>
      </c>
      <c r="S420" s="62" t="e">
        <v>#N/A</v>
      </c>
      <c r="T420" s="62" t="e">
        <v>#N/A</v>
      </c>
      <c r="U420" s="63">
        <v>0.0</v>
      </c>
      <c r="V420" s="69" t="e">
        <v>#N/A</v>
      </c>
      <c r="W420" s="70" t="e">
        <v>#N/A</v>
      </c>
      <c r="X420" s="64" t="s">
        <v>6764</v>
      </c>
      <c r="Y420" s="64" t="s">
        <v>6764</v>
      </c>
      <c r="Z420" s="66" t="s">
        <v>6597</v>
      </c>
      <c r="AA420" s="71"/>
    </row>
    <row r="421" ht="15.75" hidden="1" customHeight="1">
      <c r="A421" s="56" t="s">
        <v>6764</v>
      </c>
      <c r="B421" s="56" t="s">
        <v>6764</v>
      </c>
      <c r="C421" s="57"/>
      <c r="D421" s="127" t="s">
        <v>6559</v>
      </c>
      <c r="E421" s="59" t="s">
        <v>6764</v>
      </c>
      <c r="F421" s="60"/>
      <c r="G421" s="61" t="s">
        <v>6764</v>
      </c>
      <c r="H421" s="83"/>
      <c r="I421" s="89" t="e">
        <v>#N/A</v>
      </c>
      <c r="J421" s="65" t="e">
        <v>#N/A</v>
      </c>
      <c r="K421" s="66"/>
      <c r="L421" s="66"/>
      <c r="M421" s="66"/>
      <c r="N421" s="66"/>
      <c r="O421" s="127" t="s">
        <v>6559</v>
      </c>
      <c r="P421" s="59" t="e">
        <v>#N/A</v>
      </c>
      <c r="Q421" s="67" t="e">
        <v>#N/A</v>
      </c>
      <c r="R421" s="68" t="e">
        <v>#N/A</v>
      </c>
      <c r="S421" s="62" t="e">
        <v>#N/A</v>
      </c>
      <c r="T421" s="62" t="e">
        <v>#N/A</v>
      </c>
      <c r="U421" s="63">
        <v>0.0</v>
      </c>
      <c r="V421" s="69" t="e">
        <v>#N/A</v>
      </c>
      <c r="W421" s="70" t="e">
        <v>#N/A</v>
      </c>
      <c r="X421" s="64" t="s">
        <v>6764</v>
      </c>
      <c r="Y421" s="64" t="s">
        <v>6764</v>
      </c>
      <c r="Z421" s="66" t="s">
        <v>6597</v>
      </c>
      <c r="AA421" s="71"/>
    </row>
    <row r="422" ht="15.75" hidden="1" customHeight="1">
      <c r="A422" s="56" t="s">
        <v>6764</v>
      </c>
      <c r="B422" s="56" t="s">
        <v>6764</v>
      </c>
      <c r="C422" s="57"/>
      <c r="D422" s="127" t="s">
        <v>6559</v>
      </c>
      <c r="E422" s="59" t="s">
        <v>6764</v>
      </c>
      <c r="F422" s="60"/>
      <c r="G422" s="61" t="s">
        <v>6764</v>
      </c>
      <c r="H422" s="83"/>
      <c r="I422" s="89" t="e">
        <v>#N/A</v>
      </c>
      <c r="J422" s="65" t="e">
        <v>#N/A</v>
      </c>
      <c r="K422" s="66"/>
      <c r="L422" s="66"/>
      <c r="M422" s="66"/>
      <c r="N422" s="66"/>
      <c r="O422" s="127" t="s">
        <v>6559</v>
      </c>
      <c r="P422" s="59" t="e">
        <v>#N/A</v>
      </c>
      <c r="Q422" s="67" t="e">
        <v>#N/A</v>
      </c>
      <c r="R422" s="68" t="e">
        <v>#N/A</v>
      </c>
      <c r="S422" s="62" t="e">
        <v>#N/A</v>
      </c>
      <c r="T422" s="62" t="e">
        <v>#N/A</v>
      </c>
      <c r="U422" s="63">
        <v>0.0</v>
      </c>
      <c r="V422" s="69" t="e">
        <v>#N/A</v>
      </c>
      <c r="W422" s="70" t="e">
        <v>#N/A</v>
      </c>
      <c r="X422" s="64" t="s">
        <v>6764</v>
      </c>
      <c r="Y422" s="64" t="s">
        <v>6764</v>
      </c>
      <c r="Z422" s="66" t="s">
        <v>6597</v>
      </c>
      <c r="AA422" s="71"/>
    </row>
    <row r="423" ht="15.75" hidden="1" customHeight="1">
      <c r="A423" s="56" t="s">
        <v>6764</v>
      </c>
      <c r="B423" s="56" t="s">
        <v>6764</v>
      </c>
      <c r="C423" s="57"/>
      <c r="D423" s="127" t="s">
        <v>6559</v>
      </c>
      <c r="E423" s="59" t="s">
        <v>6764</v>
      </c>
      <c r="F423" s="60"/>
      <c r="G423" s="61" t="s">
        <v>6764</v>
      </c>
      <c r="H423" s="83"/>
      <c r="I423" s="89" t="e">
        <v>#N/A</v>
      </c>
      <c r="J423" s="65" t="e">
        <v>#N/A</v>
      </c>
      <c r="K423" s="66"/>
      <c r="L423" s="66"/>
      <c r="M423" s="66"/>
      <c r="N423" s="66"/>
      <c r="O423" s="127" t="s">
        <v>6559</v>
      </c>
      <c r="P423" s="59" t="e">
        <v>#N/A</v>
      </c>
      <c r="Q423" s="67" t="e">
        <v>#N/A</v>
      </c>
      <c r="R423" s="68" t="e">
        <v>#N/A</v>
      </c>
      <c r="S423" s="62" t="e">
        <v>#N/A</v>
      </c>
      <c r="T423" s="62" t="e">
        <v>#N/A</v>
      </c>
      <c r="U423" s="63">
        <v>0.0</v>
      </c>
      <c r="V423" s="69" t="e">
        <v>#N/A</v>
      </c>
      <c r="W423" s="70" t="e">
        <v>#N/A</v>
      </c>
      <c r="X423" s="64" t="s">
        <v>6764</v>
      </c>
      <c r="Y423" s="64" t="s">
        <v>6764</v>
      </c>
      <c r="Z423" s="66" t="s">
        <v>6597</v>
      </c>
      <c r="AA423" s="71"/>
    </row>
    <row r="424" ht="15.75" hidden="1" customHeight="1">
      <c r="A424" s="56" t="s">
        <v>6764</v>
      </c>
      <c r="B424" s="56" t="s">
        <v>6764</v>
      </c>
      <c r="C424" s="57"/>
      <c r="D424" s="127" t="s">
        <v>6559</v>
      </c>
      <c r="E424" s="59" t="s">
        <v>6764</v>
      </c>
      <c r="F424" s="60"/>
      <c r="G424" s="61" t="s">
        <v>6764</v>
      </c>
      <c r="H424" s="83"/>
      <c r="I424" s="89" t="e">
        <v>#N/A</v>
      </c>
      <c r="J424" s="65" t="e">
        <v>#N/A</v>
      </c>
      <c r="K424" s="66"/>
      <c r="L424" s="66"/>
      <c r="M424" s="66"/>
      <c r="N424" s="66"/>
      <c r="O424" s="127" t="s">
        <v>6559</v>
      </c>
      <c r="P424" s="59" t="e">
        <v>#N/A</v>
      </c>
      <c r="Q424" s="67" t="e">
        <v>#N/A</v>
      </c>
      <c r="R424" s="68" t="e">
        <v>#N/A</v>
      </c>
      <c r="S424" s="62" t="e">
        <v>#N/A</v>
      </c>
      <c r="T424" s="62" t="e">
        <v>#N/A</v>
      </c>
      <c r="U424" s="63">
        <v>0.0</v>
      </c>
      <c r="V424" s="69" t="e">
        <v>#N/A</v>
      </c>
      <c r="W424" s="70" t="e">
        <v>#N/A</v>
      </c>
      <c r="X424" s="64" t="s">
        <v>6764</v>
      </c>
      <c r="Y424" s="64" t="s">
        <v>6764</v>
      </c>
      <c r="Z424" s="66" t="s">
        <v>6597</v>
      </c>
      <c r="AA424" s="71"/>
    </row>
    <row r="425" ht="15.75" hidden="1" customHeight="1">
      <c r="A425" s="56" t="s">
        <v>6764</v>
      </c>
      <c r="B425" s="56" t="s">
        <v>6764</v>
      </c>
      <c r="C425" s="57"/>
      <c r="D425" s="127" t="s">
        <v>6559</v>
      </c>
      <c r="E425" s="59" t="s">
        <v>6764</v>
      </c>
      <c r="F425" s="60"/>
      <c r="G425" s="61" t="s">
        <v>6764</v>
      </c>
      <c r="H425" s="83"/>
      <c r="I425" s="89" t="e">
        <v>#N/A</v>
      </c>
      <c r="J425" s="65" t="e">
        <v>#N/A</v>
      </c>
      <c r="K425" s="66"/>
      <c r="L425" s="66"/>
      <c r="M425" s="66"/>
      <c r="N425" s="66"/>
      <c r="O425" s="127" t="s">
        <v>6559</v>
      </c>
      <c r="P425" s="59" t="e">
        <v>#N/A</v>
      </c>
      <c r="Q425" s="67" t="e">
        <v>#N/A</v>
      </c>
      <c r="R425" s="68" t="e">
        <v>#N/A</v>
      </c>
      <c r="S425" s="62" t="e">
        <v>#N/A</v>
      </c>
      <c r="T425" s="62" t="e">
        <v>#N/A</v>
      </c>
      <c r="U425" s="63">
        <v>0.0</v>
      </c>
      <c r="V425" s="69" t="e">
        <v>#N/A</v>
      </c>
      <c r="W425" s="70" t="e">
        <v>#N/A</v>
      </c>
      <c r="X425" s="64" t="s">
        <v>6764</v>
      </c>
      <c r="Y425" s="64" t="s">
        <v>6764</v>
      </c>
      <c r="Z425" s="66" t="s">
        <v>6597</v>
      </c>
      <c r="AA425" s="71"/>
    </row>
    <row r="426" ht="15.75" hidden="1" customHeight="1">
      <c r="A426" s="56" t="s">
        <v>6764</v>
      </c>
      <c r="B426" s="56" t="s">
        <v>6764</v>
      </c>
      <c r="C426" s="57"/>
      <c r="D426" s="127" t="s">
        <v>6559</v>
      </c>
      <c r="E426" s="59" t="s">
        <v>6764</v>
      </c>
      <c r="F426" s="60"/>
      <c r="G426" s="61" t="s">
        <v>6764</v>
      </c>
      <c r="H426" s="83"/>
      <c r="I426" s="89" t="e">
        <v>#N/A</v>
      </c>
      <c r="J426" s="65" t="e">
        <v>#N/A</v>
      </c>
      <c r="K426" s="66"/>
      <c r="L426" s="66"/>
      <c r="M426" s="66"/>
      <c r="N426" s="66"/>
      <c r="O426" s="127" t="s">
        <v>6559</v>
      </c>
      <c r="P426" s="59" t="e">
        <v>#N/A</v>
      </c>
      <c r="Q426" s="67" t="e">
        <v>#N/A</v>
      </c>
      <c r="R426" s="68" t="e">
        <v>#N/A</v>
      </c>
      <c r="S426" s="62" t="e">
        <v>#N/A</v>
      </c>
      <c r="T426" s="62" t="e">
        <v>#N/A</v>
      </c>
      <c r="U426" s="63">
        <v>0.0</v>
      </c>
      <c r="V426" s="69" t="e">
        <v>#N/A</v>
      </c>
      <c r="W426" s="70" t="e">
        <v>#N/A</v>
      </c>
      <c r="X426" s="64" t="s">
        <v>6764</v>
      </c>
      <c r="Y426" s="64" t="s">
        <v>6764</v>
      </c>
      <c r="Z426" s="66" t="s">
        <v>6597</v>
      </c>
      <c r="AA426" s="71"/>
    </row>
    <row r="427" ht="15.75" hidden="1" customHeight="1">
      <c r="A427" s="56" t="s">
        <v>6764</v>
      </c>
      <c r="B427" s="56" t="s">
        <v>6764</v>
      </c>
      <c r="C427" s="57"/>
      <c r="D427" s="127" t="s">
        <v>6559</v>
      </c>
      <c r="E427" s="59" t="s">
        <v>6764</v>
      </c>
      <c r="F427" s="60"/>
      <c r="G427" s="61" t="s">
        <v>6764</v>
      </c>
      <c r="H427" s="83"/>
      <c r="I427" s="89" t="e">
        <v>#N/A</v>
      </c>
      <c r="J427" s="65" t="e">
        <v>#N/A</v>
      </c>
      <c r="K427" s="66"/>
      <c r="L427" s="66"/>
      <c r="M427" s="66"/>
      <c r="N427" s="66"/>
      <c r="O427" s="127" t="s">
        <v>6559</v>
      </c>
      <c r="P427" s="59" t="e">
        <v>#N/A</v>
      </c>
      <c r="Q427" s="67" t="e">
        <v>#N/A</v>
      </c>
      <c r="R427" s="68" t="e">
        <v>#N/A</v>
      </c>
      <c r="S427" s="62" t="e">
        <v>#N/A</v>
      </c>
      <c r="T427" s="62" t="e">
        <v>#N/A</v>
      </c>
      <c r="U427" s="63">
        <v>0.0</v>
      </c>
      <c r="V427" s="69" t="e">
        <v>#N/A</v>
      </c>
      <c r="W427" s="70" t="e">
        <v>#N/A</v>
      </c>
      <c r="X427" s="64" t="s">
        <v>6764</v>
      </c>
      <c r="Y427" s="64" t="s">
        <v>6764</v>
      </c>
      <c r="Z427" s="66" t="s">
        <v>6597</v>
      </c>
      <c r="AA427" s="71"/>
    </row>
    <row r="428" ht="15.75" hidden="1" customHeight="1">
      <c r="A428" s="56" t="s">
        <v>6764</v>
      </c>
      <c r="B428" s="56" t="s">
        <v>6764</v>
      </c>
      <c r="C428" s="57"/>
      <c r="D428" s="127" t="s">
        <v>6559</v>
      </c>
      <c r="E428" s="59" t="s">
        <v>6764</v>
      </c>
      <c r="F428" s="60"/>
      <c r="G428" s="61" t="s">
        <v>6764</v>
      </c>
      <c r="H428" s="83"/>
      <c r="I428" s="89" t="e">
        <v>#N/A</v>
      </c>
      <c r="J428" s="65" t="e">
        <v>#N/A</v>
      </c>
      <c r="K428" s="66"/>
      <c r="L428" s="66"/>
      <c r="M428" s="66"/>
      <c r="N428" s="66"/>
      <c r="O428" s="127" t="s">
        <v>6559</v>
      </c>
      <c r="P428" s="59" t="e">
        <v>#N/A</v>
      </c>
      <c r="Q428" s="67" t="e">
        <v>#N/A</v>
      </c>
      <c r="R428" s="68" t="e">
        <v>#N/A</v>
      </c>
      <c r="S428" s="62" t="e">
        <v>#N/A</v>
      </c>
      <c r="T428" s="62" t="e">
        <v>#N/A</v>
      </c>
      <c r="U428" s="63">
        <v>0.0</v>
      </c>
      <c r="V428" s="69" t="e">
        <v>#N/A</v>
      </c>
      <c r="W428" s="70" t="e">
        <v>#N/A</v>
      </c>
      <c r="X428" s="64" t="s">
        <v>6764</v>
      </c>
      <c r="Y428" s="64" t="s">
        <v>6764</v>
      </c>
      <c r="Z428" s="66" t="s">
        <v>6597</v>
      </c>
      <c r="AA428" s="71"/>
    </row>
    <row r="429" ht="15.75" hidden="1" customHeight="1">
      <c r="A429" s="56" t="s">
        <v>6764</v>
      </c>
      <c r="B429" s="56" t="s">
        <v>6764</v>
      </c>
      <c r="C429" s="57"/>
      <c r="D429" s="127" t="s">
        <v>6559</v>
      </c>
      <c r="E429" s="59" t="s">
        <v>6764</v>
      </c>
      <c r="F429" s="60"/>
      <c r="G429" s="61" t="s">
        <v>6764</v>
      </c>
      <c r="H429" s="83"/>
      <c r="I429" s="89" t="e">
        <v>#N/A</v>
      </c>
      <c r="J429" s="65" t="e">
        <v>#N/A</v>
      </c>
      <c r="K429" s="66"/>
      <c r="L429" s="66"/>
      <c r="M429" s="66"/>
      <c r="N429" s="66"/>
      <c r="O429" s="127" t="s">
        <v>6559</v>
      </c>
      <c r="P429" s="59" t="e">
        <v>#N/A</v>
      </c>
      <c r="Q429" s="67" t="e">
        <v>#N/A</v>
      </c>
      <c r="R429" s="68" t="e">
        <v>#N/A</v>
      </c>
      <c r="S429" s="62" t="e">
        <v>#N/A</v>
      </c>
      <c r="T429" s="62" t="e">
        <v>#N/A</v>
      </c>
      <c r="U429" s="63">
        <v>0.0</v>
      </c>
      <c r="V429" s="69" t="e">
        <v>#N/A</v>
      </c>
      <c r="W429" s="70" t="e">
        <v>#N/A</v>
      </c>
      <c r="X429" s="64" t="s">
        <v>6764</v>
      </c>
      <c r="Y429" s="64" t="s">
        <v>6764</v>
      </c>
      <c r="Z429" s="66" t="s">
        <v>6597</v>
      </c>
      <c r="AA429" s="71"/>
    </row>
    <row r="430" ht="15.75" hidden="1" customHeight="1">
      <c r="A430" s="56" t="s">
        <v>6764</v>
      </c>
      <c r="B430" s="56" t="s">
        <v>6764</v>
      </c>
      <c r="C430" s="57"/>
      <c r="D430" s="127" t="s">
        <v>6559</v>
      </c>
      <c r="E430" s="59" t="s">
        <v>6764</v>
      </c>
      <c r="F430" s="60"/>
      <c r="G430" s="61" t="s">
        <v>6764</v>
      </c>
      <c r="H430" s="83"/>
      <c r="I430" s="89" t="e">
        <v>#N/A</v>
      </c>
      <c r="J430" s="65" t="e">
        <v>#N/A</v>
      </c>
      <c r="K430" s="66"/>
      <c r="L430" s="66"/>
      <c r="M430" s="66"/>
      <c r="N430" s="66"/>
      <c r="O430" s="127" t="s">
        <v>6559</v>
      </c>
      <c r="P430" s="59" t="e">
        <v>#N/A</v>
      </c>
      <c r="Q430" s="67" t="e">
        <v>#N/A</v>
      </c>
      <c r="R430" s="68" t="e">
        <v>#N/A</v>
      </c>
      <c r="S430" s="62" t="e">
        <v>#N/A</v>
      </c>
      <c r="T430" s="62" t="e">
        <v>#N/A</v>
      </c>
      <c r="U430" s="63">
        <v>0.0</v>
      </c>
      <c r="V430" s="69" t="e">
        <v>#N/A</v>
      </c>
      <c r="W430" s="70" t="e">
        <v>#N/A</v>
      </c>
      <c r="X430" s="64" t="s">
        <v>6764</v>
      </c>
      <c r="Y430" s="64" t="s">
        <v>6764</v>
      </c>
      <c r="Z430" s="66" t="s">
        <v>6597</v>
      </c>
      <c r="AA430" s="71"/>
    </row>
    <row r="431" ht="15.75" hidden="1" customHeight="1">
      <c r="A431" s="56" t="s">
        <v>6764</v>
      </c>
      <c r="B431" s="56" t="s">
        <v>6764</v>
      </c>
      <c r="C431" s="57"/>
      <c r="D431" s="127" t="s">
        <v>6559</v>
      </c>
      <c r="E431" s="59" t="s">
        <v>6764</v>
      </c>
      <c r="F431" s="60"/>
      <c r="G431" s="61" t="s">
        <v>6764</v>
      </c>
      <c r="H431" s="83"/>
      <c r="I431" s="89" t="e">
        <v>#N/A</v>
      </c>
      <c r="J431" s="65" t="e">
        <v>#N/A</v>
      </c>
      <c r="K431" s="66"/>
      <c r="L431" s="66"/>
      <c r="M431" s="66"/>
      <c r="N431" s="66"/>
      <c r="O431" s="127" t="s">
        <v>6559</v>
      </c>
      <c r="P431" s="59" t="e">
        <v>#N/A</v>
      </c>
      <c r="Q431" s="67" t="e">
        <v>#N/A</v>
      </c>
      <c r="R431" s="68" t="e">
        <v>#N/A</v>
      </c>
      <c r="S431" s="62" t="e">
        <v>#N/A</v>
      </c>
      <c r="T431" s="62" t="e">
        <v>#N/A</v>
      </c>
      <c r="U431" s="63">
        <v>0.0</v>
      </c>
      <c r="V431" s="69" t="e">
        <v>#N/A</v>
      </c>
      <c r="W431" s="70" t="e">
        <v>#N/A</v>
      </c>
      <c r="X431" s="64" t="s">
        <v>6764</v>
      </c>
      <c r="Y431" s="64" t="s">
        <v>6764</v>
      </c>
      <c r="Z431" s="66" t="s">
        <v>6597</v>
      </c>
      <c r="AA431" s="71"/>
    </row>
    <row r="432" ht="15.75" hidden="1" customHeight="1">
      <c r="A432" s="56" t="s">
        <v>6764</v>
      </c>
      <c r="B432" s="56" t="s">
        <v>6764</v>
      </c>
      <c r="C432" s="57"/>
      <c r="D432" s="127" t="s">
        <v>6559</v>
      </c>
      <c r="E432" s="59" t="s">
        <v>6764</v>
      </c>
      <c r="F432" s="60"/>
      <c r="G432" s="61" t="s">
        <v>6764</v>
      </c>
      <c r="H432" s="83"/>
      <c r="I432" s="89" t="e">
        <v>#N/A</v>
      </c>
      <c r="J432" s="65" t="e">
        <v>#N/A</v>
      </c>
      <c r="K432" s="66"/>
      <c r="L432" s="66"/>
      <c r="M432" s="66"/>
      <c r="N432" s="66"/>
      <c r="O432" s="127" t="s">
        <v>6559</v>
      </c>
      <c r="P432" s="59" t="e">
        <v>#N/A</v>
      </c>
      <c r="Q432" s="67" t="e">
        <v>#N/A</v>
      </c>
      <c r="R432" s="68" t="e">
        <v>#N/A</v>
      </c>
      <c r="S432" s="62" t="e">
        <v>#N/A</v>
      </c>
      <c r="T432" s="62" t="e">
        <v>#N/A</v>
      </c>
      <c r="U432" s="63">
        <v>0.0</v>
      </c>
      <c r="V432" s="69" t="e">
        <v>#N/A</v>
      </c>
      <c r="W432" s="70" t="e">
        <v>#N/A</v>
      </c>
      <c r="X432" s="64" t="s">
        <v>6764</v>
      </c>
      <c r="Y432" s="64" t="s">
        <v>6764</v>
      </c>
      <c r="Z432" s="66" t="s">
        <v>6597</v>
      </c>
      <c r="AA432" s="71"/>
    </row>
    <row r="433" ht="15.75" hidden="1" customHeight="1">
      <c r="A433" s="56" t="s">
        <v>6764</v>
      </c>
      <c r="B433" s="56" t="s">
        <v>6764</v>
      </c>
      <c r="C433" s="57"/>
      <c r="D433" s="127" t="s">
        <v>6559</v>
      </c>
      <c r="E433" s="59" t="s">
        <v>6764</v>
      </c>
      <c r="F433" s="60"/>
      <c r="G433" s="61" t="s">
        <v>6764</v>
      </c>
      <c r="H433" s="83"/>
      <c r="I433" s="89" t="e">
        <v>#N/A</v>
      </c>
      <c r="J433" s="65" t="e">
        <v>#N/A</v>
      </c>
      <c r="K433" s="66"/>
      <c r="L433" s="66"/>
      <c r="M433" s="66"/>
      <c r="N433" s="66"/>
      <c r="O433" s="127" t="s">
        <v>6559</v>
      </c>
      <c r="P433" s="59" t="e">
        <v>#N/A</v>
      </c>
      <c r="Q433" s="67" t="e">
        <v>#N/A</v>
      </c>
      <c r="R433" s="68" t="e">
        <v>#N/A</v>
      </c>
      <c r="S433" s="62" t="e">
        <v>#N/A</v>
      </c>
      <c r="T433" s="62" t="e">
        <v>#N/A</v>
      </c>
      <c r="U433" s="63">
        <v>0.0</v>
      </c>
      <c r="V433" s="69" t="e">
        <v>#N/A</v>
      </c>
      <c r="W433" s="70" t="e">
        <v>#N/A</v>
      </c>
      <c r="X433" s="64" t="s">
        <v>6764</v>
      </c>
      <c r="Y433" s="64" t="s">
        <v>6764</v>
      </c>
      <c r="Z433" s="66" t="s">
        <v>6597</v>
      </c>
      <c r="AA433" s="71"/>
    </row>
    <row r="434" ht="15.75" hidden="1" customHeight="1">
      <c r="A434" s="56" t="s">
        <v>6764</v>
      </c>
      <c r="B434" s="56" t="s">
        <v>6764</v>
      </c>
      <c r="C434" s="57"/>
      <c r="D434" s="127" t="s">
        <v>6559</v>
      </c>
      <c r="E434" s="59" t="s">
        <v>6764</v>
      </c>
      <c r="F434" s="60"/>
      <c r="G434" s="61" t="s">
        <v>6764</v>
      </c>
      <c r="H434" s="83"/>
      <c r="I434" s="89" t="e">
        <v>#N/A</v>
      </c>
      <c r="J434" s="65" t="e">
        <v>#N/A</v>
      </c>
      <c r="K434" s="66"/>
      <c r="L434" s="66"/>
      <c r="M434" s="66"/>
      <c r="N434" s="66"/>
      <c r="O434" s="127" t="s">
        <v>6559</v>
      </c>
      <c r="P434" s="59" t="e">
        <v>#N/A</v>
      </c>
      <c r="Q434" s="67" t="e">
        <v>#N/A</v>
      </c>
      <c r="R434" s="68" t="e">
        <v>#N/A</v>
      </c>
      <c r="S434" s="62" t="e">
        <v>#N/A</v>
      </c>
      <c r="T434" s="62" t="e">
        <v>#N/A</v>
      </c>
      <c r="U434" s="63">
        <v>0.0</v>
      </c>
      <c r="V434" s="69" t="e">
        <v>#N/A</v>
      </c>
      <c r="W434" s="70" t="e">
        <v>#N/A</v>
      </c>
      <c r="X434" s="64" t="s">
        <v>6764</v>
      </c>
      <c r="Y434" s="64" t="s">
        <v>6764</v>
      </c>
      <c r="Z434" s="66" t="s">
        <v>6597</v>
      </c>
      <c r="AA434" s="71"/>
    </row>
    <row r="435" ht="15.75" hidden="1" customHeight="1">
      <c r="A435" s="56" t="s">
        <v>6764</v>
      </c>
      <c r="B435" s="56" t="s">
        <v>6764</v>
      </c>
      <c r="C435" s="57"/>
      <c r="D435" s="127" t="s">
        <v>6559</v>
      </c>
      <c r="E435" s="59" t="s">
        <v>6764</v>
      </c>
      <c r="F435" s="60"/>
      <c r="G435" s="61" t="s">
        <v>6764</v>
      </c>
      <c r="H435" s="83"/>
      <c r="I435" s="89" t="e">
        <v>#N/A</v>
      </c>
      <c r="J435" s="65" t="e">
        <v>#N/A</v>
      </c>
      <c r="K435" s="66"/>
      <c r="L435" s="66"/>
      <c r="M435" s="66"/>
      <c r="N435" s="66"/>
      <c r="O435" s="127" t="s">
        <v>6559</v>
      </c>
      <c r="P435" s="59" t="e">
        <v>#N/A</v>
      </c>
      <c r="Q435" s="67" t="e">
        <v>#N/A</v>
      </c>
      <c r="R435" s="68" t="e">
        <v>#N/A</v>
      </c>
      <c r="S435" s="62" t="e">
        <v>#N/A</v>
      </c>
      <c r="T435" s="62" t="e">
        <v>#N/A</v>
      </c>
      <c r="U435" s="63">
        <v>0.0</v>
      </c>
      <c r="V435" s="69" t="e">
        <v>#N/A</v>
      </c>
      <c r="W435" s="70" t="e">
        <v>#N/A</v>
      </c>
      <c r="X435" s="64" t="s">
        <v>6764</v>
      </c>
      <c r="Y435" s="64" t="s">
        <v>6764</v>
      </c>
      <c r="Z435" s="66" t="s">
        <v>6597</v>
      </c>
      <c r="AA435" s="71"/>
    </row>
    <row r="436" ht="15.75" hidden="1" customHeight="1">
      <c r="A436" s="56" t="s">
        <v>6764</v>
      </c>
      <c r="B436" s="56" t="s">
        <v>6764</v>
      </c>
      <c r="C436" s="57"/>
      <c r="D436" s="127" t="s">
        <v>6559</v>
      </c>
      <c r="E436" s="59" t="s">
        <v>6764</v>
      </c>
      <c r="F436" s="60"/>
      <c r="G436" s="61" t="s">
        <v>6764</v>
      </c>
      <c r="H436" s="83"/>
      <c r="I436" s="89" t="e">
        <v>#N/A</v>
      </c>
      <c r="J436" s="65" t="e">
        <v>#N/A</v>
      </c>
      <c r="K436" s="66"/>
      <c r="L436" s="66"/>
      <c r="M436" s="66"/>
      <c r="N436" s="66"/>
      <c r="O436" s="127" t="s">
        <v>6559</v>
      </c>
      <c r="P436" s="59" t="e">
        <v>#N/A</v>
      </c>
      <c r="Q436" s="67" t="e">
        <v>#N/A</v>
      </c>
      <c r="R436" s="68" t="e">
        <v>#N/A</v>
      </c>
      <c r="S436" s="62" t="e">
        <v>#N/A</v>
      </c>
      <c r="T436" s="62" t="e">
        <v>#N/A</v>
      </c>
      <c r="U436" s="63">
        <v>0.0</v>
      </c>
      <c r="V436" s="69" t="e">
        <v>#N/A</v>
      </c>
      <c r="W436" s="70" t="e">
        <v>#N/A</v>
      </c>
      <c r="X436" s="64" t="s">
        <v>6764</v>
      </c>
      <c r="Y436" s="64" t="s">
        <v>6764</v>
      </c>
      <c r="Z436" s="66" t="s">
        <v>6597</v>
      </c>
      <c r="AA436" s="71"/>
    </row>
    <row r="437" ht="15.75" hidden="1" customHeight="1">
      <c r="A437" s="56" t="s">
        <v>6764</v>
      </c>
      <c r="B437" s="56" t="s">
        <v>6764</v>
      </c>
      <c r="C437" s="57"/>
      <c r="D437" s="127" t="s">
        <v>6559</v>
      </c>
      <c r="E437" s="59" t="s">
        <v>6764</v>
      </c>
      <c r="F437" s="60"/>
      <c r="G437" s="61" t="s">
        <v>6764</v>
      </c>
      <c r="H437" s="83"/>
      <c r="I437" s="89" t="e">
        <v>#N/A</v>
      </c>
      <c r="J437" s="65" t="e">
        <v>#N/A</v>
      </c>
      <c r="K437" s="66"/>
      <c r="L437" s="66"/>
      <c r="M437" s="66"/>
      <c r="N437" s="66"/>
      <c r="O437" s="127" t="s">
        <v>6559</v>
      </c>
      <c r="P437" s="59" t="e">
        <v>#N/A</v>
      </c>
      <c r="Q437" s="67" t="e">
        <v>#N/A</v>
      </c>
      <c r="R437" s="68" t="e">
        <v>#N/A</v>
      </c>
      <c r="S437" s="62" t="e">
        <v>#N/A</v>
      </c>
      <c r="T437" s="62" t="e">
        <v>#N/A</v>
      </c>
      <c r="U437" s="63">
        <v>0.0</v>
      </c>
      <c r="V437" s="69" t="e">
        <v>#N/A</v>
      </c>
      <c r="W437" s="70" t="e">
        <v>#N/A</v>
      </c>
      <c r="X437" s="64" t="s">
        <v>6764</v>
      </c>
      <c r="Y437" s="64" t="s">
        <v>6764</v>
      </c>
      <c r="Z437" s="66" t="s">
        <v>6597</v>
      </c>
      <c r="AA437" s="71"/>
    </row>
    <row r="438" ht="15.75" hidden="1" customHeight="1">
      <c r="A438" s="56" t="s">
        <v>6764</v>
      </c>
      <c r="B438" s="56" t="s">
        <v>6764</v>
      </c>
      <c r="C438" s="57"/>
      <c r="D438" s="127" t="s">
        <v>6559</v>
      </c>
      <c r="E438" s="59" t="s">
        <v>6764</v>
      </c>
      <c r="F438" s="60"/>
      <c r="G438" s="61" t="s">
        <v>6764</v>
      </c>
      <c r="H438" s="83"/>
      <c r="I438" s="89" t="e">
        <v>#N/A</v>
      </c>
      <c r="J438" s="65" t="e">
        <v>#N/A</v>
      </c>
      <c r="K438" s="66"/>
      <c r="L438" s="66"/>
      <c r="M438" s="66"/>
      <c r="N438" s="66"/>
      <c r="O438" s="127" t="s">
        <v>6559</v>
      </c>
      <c r="P438" s="59" t="e">
        <v>#N/A</v>
      </c>
      <c r="Q438" s="67" t="e">
        <v>#N/A</v>
      </c>
      <c r="R438" s="68" t="e">
        <v>#N/A</v>
      </c>
      <c r="S438" s="62" t="e">
        <v>#N/A</v>
      </c>
      <c r="T438" s="62" t="e">
        <v>#N/A</v>
      </c>
      <c r="U438" s="63">
        <v>0.0</v>
      </c>
      <c r="V438" s="69" t="e">
        <v>#N/A</v>
      </c>
      <c r="W438" s="70" t="e">
        <v>#N/A</v>
      </c>
      <c r="X438" s="64" t="s">
        <v>6764</v>
      </c>
      <c r="Y438" s="64" t="s">
        <v>6764</v>
      </c>
      <c r="Z438" s="66" t="s">
        <v>6597</v>
      </c>
      <c r="AA438" s="71"/>
    </row>
    <row r="439" ht="15.75" hidden="1" customHeight="1">
      <c r="A439" s="56" t="s">
        <v>6764</v>
      </c>
      <c r="B439" s="56" t="s">
        <v>6764</v>
      </c>
      <c r="C439" s="57"/>
      <c r="D439" s="127" t="s">
        <v>6559</v>
      </c>
      <c r="E439" s="59" t="s">
        <v>6764</v>
      </c>
      <c r="F439" s="60"/>
      <c r="G439" s="61" t="s">
        <v>6764</v>
      </c>
      <c r="H439" s="83"/>
      <c r="I439" s="89" t="e">
        <v>#N/A</v>
      </c>
      <c r="J439" s="65" t="e">
        <v>#N/A</v>
      </c>
      <c r="K439" s="66"/>
      <c r="L439" s="66"/>
      <c r="M439" s="66"/>
      <c r="N439" s="66"/>
      <c r="O439" s="127" t="s">
        <v>6559</v>
      </c>
      <c r="P439" s="59" t="e">
        <v>#N/A</v>
      </c>
      <c r="Q439" s="67" t="e">
        <v>#N/A</v>
      </c>
      <c r="R439" s="68" t="e">
        <v>#N/A</v>
      </c>
      <c r="S439" s="62" t="e">
        <v>#N/A</v>
      </c>
      <c r="T439" s="62" t="e">
        <v>#N/A</v>
      </c>
      <c r="U439" s="63">
        <v>0.0</v>
      </c>
      <c r="V439" s="69" t="e">
        <v>#N/A</v>
      </c>
      <c r="W439" s="70" t="e">
        <v>#N/A</v>
      </c>
      <c r="X439" s="64" t="s">
        <v>6764</v>
      </c>
      <c r="Y439" s="64" t="s">
        <v>6764</v>
      </c>
      <c r="Z439" s="66" t="s">
        <v>6597</v>
      </c>
      <c r="AA439" s="71"/>
    </row>
    <row r="440" ht="15.75" hidden="1" customHeight="1">
      <c r="A440" s="56" t="s">
        <v>6764</v>
      </c>
      <c r="B440" s="56" t="s">
        <v>6764</v>
      </c>
      <c r="C440" s="57"/>
      <c r="D440" s="127" t="s">
        <v>6559</v>
      </c>
      <c r="E440" s="59" t="s">
        <v>6764</v>
      </c>
      <c r="F440" s="60"/>
      <c r="G440" s="61" t="s">
        <v>6764</v>
      </c>
      <c r="H440" s="83"/>
      <c r="I440" s="89" t="e">
        <v>#N/A</v>
      </c>
      <c r="J440" s="65" t="e">
        <v>#N/A</v>
      </c>
      <c r="K440" s="66"/>
      <c r="L440" s="66"/>
      <c r="M440" s="66"/>
      <c r="N440" s="66"/>
      <c r="O440" s="127" t="s">
        <v>6559</v>
      </c>
      <c r="P440" s="59" t="e">
        <v>#N/A</v>
      </c>
      <c r="Q440" s="67" t="e">
        <v>#N/A</v>
      </c>
      <c r="R440" s="68" t="e">
        <v>#N/A</v>
      </c>
      <c r="S440" s="62" t="e">
        <v>#N/A</v>
      </c>
      <c r="T440" s="62" t="e">
        <v>#N/A</v>
      </c>
      <c r="U440" s="63">
        <v>0.0</v>
      </c>
      <c r="V440" s="69" t="e">
        <v>#N/A</v>
      </c>
      <c r="W440" s="70" t="e">
        <v>#N/A</v>
      </c>
      <c r="X440" s="64" t="s">
        <v>6764</v>
      </c>
      <c r="Y440" s="64" t="s">
        <v>6764</v>
      </c>
      <c r="Z440" s="66" t="s">
        <v>6597</v>
      </c>
      <c r="AA440" s="71"/>
    </row>
    <row r="441" ht="15.75" hidden="1" customHeight="1">
      <c r="A441" s="56" t="s">
        <v>6764</v>
      </c>
      <c r="B441" s="56" t="s">
        <v>6764</v>
      </c>
      <c r="C441" s="57"/>
      <c r="D441" s="127" t="s">
        <v>6559</v>
      </c>
      <c r="E441" s="59" t="s">
        <v>6764</v>
      </c>
      <c r="F441" s="60"/>
      <c r="G441" s="61" t="s">
        <v>6764</v>
      </c>
      <c r="H441" s="83"/>
      <c r="I441" s="89" t="e">
        <v>#N/A</v>
      </c>
      <c r="J441" s="65" t="e">
        <v>#N/A</v>
      </c>
      <c r="K441" s="66"/>
      <c r="L441" s="66"/>
      <c r="M441" s="66"/>
      <c r="N441" s="66"/>
      <c r="O441" s="127" t="s">
        <v>6559</v>
      </c>
      <c r="P441" s="59" t="e">
        <v>#N/A</v>
      </c>
      <c r="Q441" s="67" t="e">
        <v>#N/A</v>
      </c>
      <c r="R441" s="68" t="e">
        <v>#N/A</v>
      </c>
      <c r="S441" s="62" t="e">
        <v>#N/A</v>
      </c>
      <c r="T441" s="62" t="e">
        <v>#N/A</v>
      </c>
      <c r="U441" s="63">
        <v>0.0</v>
      </c>
      <c r="V441" s="69" t="e">
        <v>#N/A</v>
      </c>
      <c r="W441" s="70" t="e">
        <v>#N/A</v>
      </c>
      <c r="X441" s="64" t="s">
        <v>6764</v>
      </c>
      <c r="Y441" s="64" t="s">
        <v>6764</v>
      </c>
      <c r="Z441" s="66" t="s">
        <v>6597</v>
      </c>
      <c r="AA441" s="71"/>
    </row>
    <row r="442" ht="15.75" hidden="1" customHeight="1">
      <c r="A442" s="56" t="s">
        <v>6764</v>
      </c>
      <c r="B442" s="56" t="s">
        <v>6764</v>
      </c>
      <c r="C442" s="57"/>
      <c r="D442" s="127" t="s">
        <v>6559</v>
      </c>
      <c r="E442" s="59" t="s">
        <v>6764</v>
      </c>
      <c r="F442" s="60"/>
      <c r="G442" s="61" t="s">
        <v>6764</v>
      </c>
      <c r="H442" s="83"/>
      <c r="I442" s="89" t="e">
        <v>#N/A</v>
      </c>
      <c r="J442" s="65" t="e">
        <v>#N/A</v>
      </c>
      <c r="K442" s="66"/>
      <c r="L442" s="66"/>
      <c r="M442" s="66"/>
      <c r="N442" s="66"/>
      <c r="O442" s="127" t="s">
        <v>6559</v>
      </c>
      <c r="P442" s="59" t="e">
        <v>#N/A</v>
      </c>
      <c r="Q442" s="67" t="e">
        <v>#N/A</v>
      </c>
      <c r="R442" s="68" t="e">
        <v>#N/A</v>
      </c>
      <c r="S442" s="62" t="e">
        <v>#N/A</v>
      </c>
      <c r="T442" s="62" t="e">
        <v>#N/A</v>
      </c>
      <c r="U442" s="63">
        <v>0.0</v>
      </c>
      <c r="V442" s="69" t="e">
        <v>#N/A</v>
      </c>
      <c r="W442" s="70" t="e">
        <v>#N/A</v>
      </c>
      <c r="X442" s="64" t="s">
        <v>6764</v>
      </c>
      <c r="Y442" s="64" t="s">
        <v>6764</v>
      </c>
      <c r="Z442" s="66" t="s">
        <v>6597</v>
      </c>
      <c r="AA442" s="71"/>
    </row>
    <row r="443" ht="15.75" hidden="1" customHeight="1">
      <c r="A443" s="56" t="s">
        <v>6764</v>
      </c>
      <c r="B443" s="56" t="s">
        <v>6764</v>
      </c>
      <c r="C443" s="57"/>
      <c r="D443" s="127" t="s">
        <v>6559</v>
      </c>
      <c r="E443" s="59" t="s">
        <v>6764</v>
      </c>
      <c r="F443" s="60"/>
      <c r="G443" s="61" t="s">
        <v>6764</v>
      </c>
      <c r="H443" s="83"/>
      <c r="I443" s="89" t="e">
        <v>#N/A</v>
      </c>
      <c r="J443" s="65" t="e">
        <v>#N/A</v>
      </c>
      <c r="K443" s="66"/>
      <c r="L443" s="66"/>
      <c r="M443" s="66"/>
      <c r="N443" s="66"/>
      <c r="O443" s="127" t="s">
        <v>6559</v>
      </c>
      <c r="P443" s="59" t="e">
        <v>#N/A</v>
      </c>
      <c r="Q443" s="67" t="e">
        <v>#N/A</v>
      </c>
      <c r="R443" s="68" t="e">
        <v>#N/A</v>
      </c>
      <c r="S443" s="62" t="e">
        <v>#N/A</v>
      </c>
      <c r="T443" s="62" t="e">
        <v>#N/A</v>
      </c>
      <c r="U443" s="63">
        <v>0.0</v>
      </c>
      <c r="V443" s="69" t="e">
        <v>#N/A</v>
      </c>
      <c r="W443" s="70" t="e">
        <v>#N/A</v>
      </c>
      <c r="X443" s="64" t="s">
        <v>6764</v>
      </c>
      <c r="Y443" s="64" t="s">
        <v>6764</v>
      </c>
      <c r="Z443" s="66" t="s">
        <v>6597</v>
      </c>
      <c r="AA443" s="71"/>
    </row>
    <row r="444" ht="15.75" hidden="1" customHeight="1">
      <c r="A444" s="56" t="s">
        <v>6764</v>
      </c>
      <c r="B444" s="56" t="s">
        <v>6764</v>
      </c>
      <c r="C444" s="57"/>
      <c r="D444" s="127" t="s">
        <v>6559</v>
      </c>
      <c r="E444" s="59" t="s">
        <v>6764</v>
      </c>
      <c r="F444" s="60"/>
      <c r="G444" s="61" t="s">
        <v>6764</v>
      </c>
      <c r="H444" s="83"/>
      <c r="I444" s="89" t="e">
        <v>#N/A</v>
      </c>
      <c r="J444" s="65" t="e">
        <v>#N/A</v>
      </c>
      <c r="K444" s="66"/>
      <c r="L444" s="66"/>
      <c r="M444" s="66"/>
      <c r="N444" s="66"/>
      <c r="O444" s="127" t="s">
        <v>6559</v>
      </c>
      <c r="P444" s="59" t="e">
        <v>#N/A</v>
      </c>
      <c r="Q444" s="67" t="e">
        <v>#N/A</v>
      </c>
      <c r="R444" s="68" t="e">
        <v>#N/A</v>
      </c>
      <c r="S444" s="62" t="e">
        <v>#N/A</v>
      </c>
      <c r="T444" s="62" t="e">
        <v>#N/A</v>
      </c>
      <c r="U444" s="63">
        <v>0.0</v>
      </c>
      <c r="V444" s="69" t="e">
        <v>#N/A</v>
      </c>
      <c r="W444" s="70" t="e">
        <v>#N/A</v>
      </c>
      <c r="X444" s="64" t="s">
        <v>6764</v>
      </c>
      <c r="Y444" s="64" t="s">
        <v>6764</v>
      </c>
      <c r="Z444" s="66" t="s">
        <v>6597</v>
      </c>
      <c r="AA444" s="71"/>
    </row>
    <row r="445" ht="15.75" hidden="1" customHeight="1">
      <c r="A445" s="56" t="s">
        <v>6764</v>
      </c>
      <c r="B445" s="56" t="s">
        <v>6764</v>
      </c>
      <c r="C445" s="57"/>
      <c r="D445" s="127" t="s">
        <v>6559</v>
      </c>
      <c r="E445" s="59" t="s">
        <v>6764</v>
      </c>
      <c r="F445" s="60"/>
      <c r="G445" s="61" t="s">
        <v>6764</v>
      </c>
      <c r="H445" s="83"/>
      <c r="I445" s="89" t="e">
        <v>#N/A</v>
      </c>
      <c r="J445" s="65" t="e">
        <v>#N/A</v>
      </c>
      <c r="K445" s="66"/>
      <c r="L445" s="66"/>
      <c r="M445" s="66"/>
      <c r="N445" s="66"/>
      <c r="O445" s="127" t="s">
        <v>6559</v>
      </c>
      <c r="P445" s="59" t="e">
        <v>#N/A</v>
      </c>
      <c r="Q445" s="67" t="e">
        <v>#N/A</v>
      </c>
      <c r="R445" s="68" t="e">
        <v>#N/A</v>
      </c>
      <c r="S445" s="62" t="e">
        <v>#N/A</v>
      </c>
      <c r="T445" s="62" t="e">
        <v>#N/A</v>
      </c>
      <c r="U445" s="63">
        <v>0.0</v>
      </c>
      <c r="V445" s="69" t="e">
        <v>#N/A</v>
      </c>
      <c r="W445" s="70" t="e">
        <v>#N/A</v>
      </c>
      <c r="X445" s="64" t="s">
        <v>6764</v>
      </c>
      <c r="Y445" s="64" t="s">
        <v>6764</v>
      </c>
      <c r="Z445" s="66" t="s">
        <v>6597</v>
      </c>
      <c r="AA445" s="71"/>
    </row>
    <row r="446" ht="15.75" hidden="1" customHeight="1">
      <c r="A446" s="56" t="s">
        <v>6764</v>
      </c>
      <c r="B446" s="56" t="s">
        <v>6764</v>
      </c>
      <c r="C446" s="57"/>
      <c r="D446" s="127" t="s">
        <v>6559</v>
      </c>
      <c r="E446" s="59" t="s">
        <v>6764</v>
      </c>
      <c r="F446" s="60"/>
      <c r="G446" s="61" t="s">
        <v>6764</v>
      </c>
      <c r="H446" s="83"/>
      <c r="I446" s="89" t="e">
        <v>#N/A</v>
      </c>
      <c r="J446" s="65" t="e">
        <v>#N/A</v>
      </c>
      <c r="K446" s="66"/>
      <c r="L446" s="66"/>
      <c r="M446" s="66"/>
      <c r="N446" s="66"/>
      <c r="O446" s="127" t="s">
        <v>6559</v>
      </c>
      <c r="P446" s="59" t="e">
        <v>#N/A</v>
      </c>
      <c r="Q446" s="67" t="e">
        <v>#N/A</v>
      </c>
      <c r="R446" s="68" t="e">
        <v>#N/A</v>
      </c>
      <c r="S446" s="62" t="e">
        <v>#N/A</v>
      </c>
      <c r="T446" s="62" t="e">
        <v>#N/A</v>
      </c>
      <c r="U446" s="63">
        <v>0.0</v>
      </c>
      <c r="V446" s="69" t="e">
        <v>#N/A</v>
      </c>
      <c r="W446" s="70" t="e">
        <v>#N/A</v>
      </c>
      <c r="X446" s="64" t="s">
        <v>6764</v>
      </c>
      <c r="Y446" s="64" t="s">
        <v>6764</v>
      </c>
      <c r="Z446" s="66" t="s">
        <v>6597</v>
      </c>
      <c r="AA446" s="71"/>
    </row>
    <row r="447" ht="15.75" hidden="1" customHeight="1">
      <c r="A447" s="56" t="s">
        <v>6764</v>
      </c>
      <c r="B447" s="56" t="s">
        <v>6764</v>
      </c>
      <c r="C447" s="57"/>
      <c r="D447" s="127" t="s">
        <v>6559</v>
      </c>
      <c r="E447" s="59" t="s">
        <v>6764</v>
      </c>
      <c r="F447" s="60"/>
      <c r="G447" s="61" t="s">
        <v>6764</v>
      </c>
      <c r="H447" s="83"/>
      <c r="I447" s="89" t="e">
        <v>#N/A</v>
      </c>
      <c r="J447" s="65" t="e">
        <v>#N/A</v>
      </c>
      <c r="K447" s="66"/>
      <c r="L447" s="66"/>
      <c r="M447" s="66"/>
      <c r="N447" s="66"/>
      <c r="O447" s="127" t="s">
        <v>6559</v>
      </c>
      <c r="P447" s="59" t="e">
        <v>#N/A</v>
      </c>
      <c r="Q447" s="67" t="e">
        <v>#N/A</v>
      </c>
      <c r="R447" s="68" t="e">
        <v>#N/A</v>
      </c>
      <c r="S447" s="62" t="e">
        <v>#N/A</v>
      </c>
      <c r="T447" s="62" t="e">
        <v>#N/A</v>
      </c>
      <c r="U447" s="63">
        <v>0.0</v>
      </c>
      <c r="V447" s="69" t="e">
        <v>#N/A</v>
      </c>
      <c r="W447" s="70" t="e">
        <v>#N/A</v>
      </c>
      <c r="X447" s="64" t="s">
        <v>6764</v>
      </c>
      <c r="Y447" s="64" t="s">
        <v>6764</v>
      </c>
      <c r="Z447" s="66" t="s">
        <v>6597</v>
      </c>
      <c r="AA447" s="71"/>
    </row>
    <row r="448" ht="15.75" hidden="1" customHeight="1">
      <c r="A448" s="56" t="s">
        <v>6764</v>
      </c>
      <c r="B448" s="56" t="s">
        <v>6764</v>
      </c>
      <c r="C448" s="57"/>
      <c r="D448" s="127" t="s">
        <v>6559</v>
      </c>
      <c r="E448" s="59" t="s">
        <v>6764</v>
      </c>
      <c r="F448" s="60"/>
      <c r="G448" s="61" t="s">
        <v>6764</v>
      </c>
      <c r="H448" s="83"/>
      <c r="I448" s="89" t="e">
        <v>#N/A</v>
      </c>
      <c r="J448" s="65" t="e">
        <v>#N/A</v>
      </c>
      <c r="K448" s="66"/>
      <c r="L448" s="66"/>
      <c r="M448" s="66"/>
      <c r="N448" s="66"/>
      <c r="O448" s="127" t="s">
        <v>6559</v>
      </c>
      <c r="P448" s="59" t="e">
        <v>#N/A</v>
      </c>
      <c r="Q448" s="67" t="e">
        <v>#N/A</v>
      </c>
      <c r="R448" s="68" t="e">
        <v>#N/A</v>
      </c>
      <c r="S448" s="62" t="e">
        <v>#N/A</v>
      </c>
      <c r="T448" s="62" t="e">
        <v>#N/A</v>
      </c>
      <c r="U448" s="63">
        <v>0.0</v>
      </c>
      <c r="V448" s="69" t="e">
        <v>#N/A</v>
      </c>
      <c r="W448" s="70" t="e">
        <v>#N/A</v>
      </c>
      <c r="X448" s="64" t="s">
        <v>6764</v>
      </c>
      <c r="Y448" s="64" t="s">
        <v>6764</v>
      </c>
      <c r="Z448" s="66" t="s">
        <v>6597</v>
      </c>
      <c r="AA448" s="71"/>
    </row>
    <row r="449" ht="15.75" hidden="1" customHeight="1">
      <c r="A449" s="56" t="s">
        <v>6764</v>
      </c>
      <c r="B449" s="56" t="s">
        <v>6764</v>
      </c>
      <c r="C449" s="57"/>
      <c r="D449" s="127" t="s">
        <v>6559</v>
      </c>
      <c r="E449" s="59" t="s">
        <v>6764</v>
      </c>
      <c r="F449" s="60"/>
      <c r="G449" s="61" t="s">
        <v>6764</v>
      </c>
      <c r="H449" s="83"/>
      <c r="I449" s="89" t="e">
        <v>#N/A</v>
      </c>
      <c r="J449" s="65" t="e">
        <v>#N/A</v>
      </c>
      <c r="K449" s="66"/>
      <c r="L449" s="66"/>
      <c r="M449" s="66"/>
      <c r="N449" s="66"/>
      <c r="O449" s="127" t="s">
        <v>6559</v>
      </c>
      <c r="P449" s="59" t="e">
        <v>#N/A</v>
      </c>
      <c r="Q449" s="67" t="e">
        <v>#N/A</v>
      </c>
      <c r="R449" s="68" t="e">
        <v>#N/A</v>
      </c>
      <c r="S449" s="62" t="e">
        <v>#N/A</v>
      </c>
      <c r="T449" s="62" t="e">
        <v>#N/A</v>
      </c>
      <c r="U449" s="63">
        <v>0.0</v>
      </c>
      <c r="V449" s="69" t="e">
        <v>#N/A</v>
      </c>
      <c r="W449" s="70" t="e">
        <v>#N/A</v>
      </c>
      <c r="X449" s="64" t="s">
        <v>6764</v>
      </c>
      <c r="Y449" s="64" t="s">
        <v>6764</v>
      </c>
      <c r="Z449" s="66" t="s">
        <v>6597</v>
      </c>
      <c r="AA449" s="71"/>
    </row>
    <row r="450" ht="15.75" hidden="1" customHeight="1">
      <c r="A450" s="56" t="s">
        <v>6764</v>
      </c>
      <c r="B450" s="56" t="s">
        <v>6764</v>
      </c>
      <c r="C450" s="57"/>
      <c r="D450" s="127" t="s">
        <v>6559</v>
      </c>
      <c r="E450" s="59" t="s">
        <v>6764</v>
      </c>
      <c r="F450" s="60"/>
      <c r="G450" s="61" t="s">
        <v>6764</v>
      </c>
      <c r="H450" s="83"/>
      <c r="I450" s="89" t="e">
        <v>#N/A</v>
      </c>
      <c r="J450" s="65" t="e">
        <v>#N/A</v>
      </c>
      <c r="K450" s="66"/>
      <c r="L450" s="66"/>
      <c r="M450" s="66"/>
      <c r="N450" s="66"/>
      <c r="O450" s="127" t="s">
        <v>6559</v>
      </c>
      <c r="P450" s="59" t="e">
        <v>#N/A</v>
      </c>
      <c r="Q450" s="67" t="e">
        <v>#N/A</v>
      </c>
      <c r="R450" s="68" t="e">
        <v>#N/A</v>
      </c>
      <c r="S450" s="62" t="e">
        <v>#N/A</v>
      </c>
      <c r="T450" s="62" t="e">
        <v>#N/A</v>
      </c>
      <c r="U450" s="63">
        <v>0.0</v>
      </c>
      <c r="V450" s="69" t="e">
        <v>#N/A</v>
      </c>
      <c r="W450" s="70" t="e">
        <v>#N/A</v>
      </c>
      <c r="X450" s="64" t="s">
        <v>6764</v>
      </c>
      <c r="Y450" s="64" t="s">
        <v>6764</v>
      </c>
      <c r="Z450" s="66" t="s">
        <v>6597</v>
      </c>
      <c r="AA450" s="71"/>
    </row>
    <row r="451" ht="15.75" hidden="1" customHeight="1">
      <c r="A451" s="56" t="s">
        <v>6764</v>
      </c>
      <c r="B451" s="56" t="s">
        <v>6764</v>
      </c>
      <c r="C451" s="57"/>
      <c r="D451" s="127" t="s">
        <v>6559</v>
      </c>
      <c r="E451" s="59" t="s">
        <v>6764</v>
      </c>
      <c r="F451" s="60"/>
      <c r="G451" s="61" t="s">
        <v>6764</v>
      </c>
      <c r="H451" s="83"/>
      <c r="I451" s="89" t="e">
        <v>#N/A</v>
      </c>
      <c r="J451" s="65" t="e">
        <v>#N/A</v>
      </c>
      <c r="K451" s="66"/>
      <c r="L451" s="66"/>
      <c r="M451" s="66"/>
      <c r="N451" s="66"/>
      <c r="O451" s="127" t="s">
        <v>6559</v>
      </c>
      <c r="P451" s="59" t="e">
        <v>#N/A</v>
      </c>
      <c r="Q451" s="67" t="e">
        <v>#N/A</v>
      </c>
      <c r="R451" s="68" t="e">
        <v>#N/A</v>
      </c>
      <c r="S451" s="62" t="e">
        <v>#N/A</v>
      </c>
      <c r="T451" s="62" t="e">
        <v>#N/A</v>
      </c>
      <c r="U451" s="63">
        <v>0.0</v>
      </c>
      <c r="V451" s="69" t="e">
        <v>#N/A</v>
      </c>
      <c r="W451" s="70" t="e">
        <v>#N/A</v>
      </c>
      <c r="X451" s="64" t="s">
        <v>6764</v>
      </c>
      <c r="Y451" s="64" t="s">
        <v>6764</v>
      </c>
      <c r="Z451" s="66" t="s">
        <v>6597</v>
      </c>
      <c r="AA451" s="71"/>
    </row>
    <row r="452" ht="15.75" hidden="1" customHeight="1">
      <c r="A452" s="56" t="s">
        <v>6764</v>
      </c>
      <c r="B452" s="56" t="s">
        <v>6764</v>
      </c>
      <c r="C452" s="57"/>
      <c r="D452" s="127" t="s">
        <v>6559</v>
      </c>
      <c r="E452" s="59" t="s">
        <v>6764</v>
      </c>
      <c r="F452" s="60"/>
      <c r="G452" s="61" t="s">
        <v>6764</v>
      </c>
      <c r="H452" s="83"/>
      <c r="I452" s="89" t="e">
        <v>#N/A</v>
      </c>
      <c r="J452" s="65" t="e">
        <v>#N/A</v>
      </c>
      <c r="K452" s="66"/>
      <c r="L452" s="66"/>
      <c r="M452" s="66"/>
      <c r="N452" s="66"/>
      <c r="O452" s="127" t="s">
        <v>6559</v>
      </c>
      <c r="P452" s="59" t="e">
        <v>#N/A</v>
      </c>
      <c r="Q452" s="67" t="e">
        <v>#N/A</v>
      </c>
      <c r="R452" s="68" t="e">
        <v>#N/A</v>
      </c>
      <c r="S452" s="62" t="e">
        <v>#N/A</v>
      </c>
      <c r="T452" s="62" t="e">
        <v>#N/A</v>
      </c>
      <c r="U452" s="63">
        <v>0.0</v>
      </c>
      <c r="V452" s="69" t="e">
        <v>#N/A</v>
      </c>
      <c r="W452" s="70" t="e">
        <v>#N/A</v>
      </c>
      <c r="X452" s="64" t="s">
        <v>6764</v>
      </c>
      <c r="Y452" s="64" t="s">
        <v>6764</v>
      </c>
      <c r="Z452" s="66" t="s">
        <v>6597</v>
      </c>
      <c r="AA452" s="71"/>
    </row>
    <row r="453" ht="15.75" hidden="1" customHeight="1">
      <c r="A453" s="56" t="s">
        <v>6764</v>
      </c>
      <c r="B453" s="56" t="s">
        <v>6764</v>
      </c>
      <c r="C453" s="57"/>
      <c r="D453" s="127" t="s">
        <v>6559</v>
      </c>
      <c r="E453" s="59" t="s">
        <v>6764</v>
      </c>
      <c r="F453" s="60"/>
      <c r="G453" s="61" t="s">
        <v>6764</v>
      </c>
      <c r="H453" s="83"/>
      <c r="I453" s="89" t="e">
        <v>#N/A</v>
      </c>
      <c r="J453" s="65" t="e">
        <v>#N/A</v>
      </c>
      <c r="K453" s="66"/>
      <c r="L453" s="66"/>
      <c r="M453" s="66"/>
      <c r="N453" s="66"/>
      <c r="O453" s="127" t="s">
        <v>6559</v>
      </c>
      <c r="P453" s="59" t="e">
        <v>#N/A</v>
      </c>
      <c r="Q453" s="67" t="e">
        <v>#N/A</v>
      </c>
      <c r="R453" s="68" t="e">
        <v>#N/A</v>
      </c>
      <c r="S453" s="62" t="e">
        <v>#N/A</v>
      </c>
      <c r="T453" s="62" t="e">
        <v>#N/A</v>
      </c>
      <c r="U453" s="63">
        <v>0.0</v>
      </c>
      <c r="V453" s="69" t="e">
        <v>#N/A</v>
      </c>
      <c r="W453" s="70" t="e">
        <v>#N/A</v>
      </c>
      <c r="X453" s="64" t="s">
        <v>6764</v>
      </c>
      <c r="Y453" s="64" t="s">
        <v>6764</v>
      </c>
      <c r="Z453" s="66" t="s">
        <v>6597</v>
      </c>
      <c r="AA453" s="71"/>
    </row>
    <row r="454" ht="15.75" hidden="1" customHeight="1">
      <c r="A454" s="56" t="s">
        <v>6764</v>
      </c>
      <c r="B454" s="56" t="s">
        <v>6764</v>
      </c>
      <c r="C454" s="57"/>
      <c r="D454" s="127" t="s">
        <v>6559</v>
      </c>
      <c r="E454" s="59" t="s">
        <v>6764</v>
      </c>
      <c r="F454" s="60"/>
      <c r="G454" s="61" t="s">
        <v>6764</v>
      </c>
      <c r="H454" s="83"/>
      <c r="I454" s="89" t="e">
        <v>#N/A</v>
      </c>
      <c r="J454" s="65" t="e">
        <v>#N/A</v>
      </c>
      <c r="K454" s="66"/>
      <c r="L454" s="66"/>
      <c r="M454" s="66"/>
      <c r="N454" s="66"/>
      <c r="O454" s="127" t="s">
        <v>6559</v>
      </c>
      <c r="P454" s="59" t="e">
        <v>#N/A</v>
      </c>
      <c r="Q454" s="67" t="e">
        <v>#N/A</v>
      </c>
      <c r="R454" s="68" t="e">
        <v>#N/A</v>
      </c>
      <c r="S454" s="62" t="e">
        <v>#N/A</v>
      </c>
      <c r="T454" s="62" t="e">
        <v>#N/A</v>
      </c>
      <c r="U454" s="63">
        <v>0.0</v>
      </c>
      <c r="V454" s="69" t="e">
        <v>#N/A</v>
      </c>
      <c r="W454" s="70" t="e">
        <v>#N/A</v>
      </c>
      <c r="X454" s="64" t="s">
        <v>6764</v>
      </c>
      <c r="Y454" s="64" t="s">
        <v>6764</v>
      </c>
      <c r="Z454" s="66" t="s">
        <v>6597</v>
      </c>
      <c r="AA454" s="71"/>
    </row>
    <row r="455" ht="15.75" hidden="1" customHeight="1">
      <c r="A455" s="56" t="s">
        <v>6764</v>
      </c>
      <c r="B455" s="56" t="s">
        <v>6764</v>
      </c>
      <c r="C455" s="57"/>
      <c r="D455" s="127" t="s">
        <v>6559</v>
      </c>
      <c r="E455" s="59" t="s">
        <v>6764</v>
      </c>
      <c r="F455" s="60"/>
      <c r="G455" s="61" t="s">
        <v>6764</v>
      </c>
      <c r="H455" s="83"/>
      <c r="I455" s="89" t="e">
        <v>#N/A</v>
      </c>
      <c r="J455" s="65" t="e">
        <v>#N/A</v>
      </c>
      <c r="K455" s="66"/>
      <c r="L455" s="66"/>
      <c r="M455" s="66"/>
      <c r="N455" s="66"/>
      <c r="O455" s="127" t="s">
        <v>6559</v>
      </c>
      <c r="P455" s="59" t="e">
        <v>#N/A</v>
      </c>
      <c r="Q455" s="67" t="e">
        <v>#N/A</v>
      </c>
      <c r="R455" s="68" t="e">
        <v>#N/A</v>
      </c>
      <c r="S455" s="62" t="e">
        <v>#N/A</v>
      </c>
      <c r="T455" s="62" t="e">
        <v>#N/A</v>
      </c>
      <c r="U455" s="63">
        <v>0.0</v>
      </c>
      <c r="V455" s="69" t="e">
        <v>#N/A</v>
      </c>
      <c r="W455" s="70" t="e">
        <v>#N/A</v>
      </c>
      <c r="X455" s="64" t="s">
        <v>6764</v>
      </c>
      <c r="Y455" s="64" t="s">
        <v>6764</v>
      </c>
      <c r="Z455" s="66" t="s">
        <v>6597</v>
      </c>
      <c r="AA455" s="71"/>
    </row>
    <row r="456" ht="15.75" hidden="1" customHeight="1">
      <c r="A456" s="56" t="s">
        <v>6764</v>
      </c>
      <c r="B456" s="56" t="s">
        <v>6764</v>
      </c>
      <c r="C456" s="57"/>
      <c r="D456" s="127" t="s">
        <v>6559</v>
      </c>
      <c r="E456" s="59" t="s">
        <v>6764</v>
      </c>
      <c r="F456" s="60"/>
      <c r="G456" s="61" t="s">
        <v>6764</v>
      </c>
      <c r="H456" s="83"/>
      <c r="I456" s="89" t="e">
        <v>#N/A</v>
      </c>
      <c r="J456" s="65" t="e">
        <v>#N/A</v>
      </c>
      <c r="K456" s="66"/>
      <c r="L456" s="66"/>
      <c r="M456" s="66"/>
      <c r="N456" s="66"/>
      <c r="O456" s="127" t="s">
        <v>6559</v>
      </c>
      <c r="P456" s="59" t="e">
        <v>#N/A</v>
      </c>
      <c r="Q456" s="67" t="e">
        <v>#N/A</v>
      </c>
      <c r="R456" s="68" t="e">
        <v>#N/A</v>
      </c>
      <c r="S456" s="62" t="e">
        <v>#N/A</v>
      </c>
      <c r="T456" s="62" t="e">
        <v>#N/A</v>
      </c>
      <c r="U456" s="63">
        <v>0.0</v>
      </c>
      <c r="V456" s="69" t="e">
        <v>#N/A</v>
      </c>
      <c r="W456" s="70" t="e">
        <v>#N/A</v>
      </c>
      <c r="X456" s="64" t="s">
        <v>6764</v>
      </c>
      <c r="Y456" s="64" t="s">
        <v>6764</v>
      </c>
      <c r="Z456" s="66" t="s">
        <v>6597</v>
      </c>
      <c r="AA456" s="71"/>
    </row>
    <row r="457" ht="15.75" hidden="1" customHeight="1">
      <c r="A457" s="56" t="s">
        <v>6764</v>
      </c>
      <c r="B457" s="56" t="s">
        <v>6764</v>
      </c>
      <c r="C457" s="57"/>
      <c r="D457" s="127" t="s">
        <v>6559</v>
      </c>
      <c r="E457" s="59" t="s">
        <v>6764</v>
      </c>
      <c r="F457" s="60"/>
      <c r="G457" s="61" t="s">
        <v>6764</v>
      </c>
      <c r="H457" s="83"/>
      <c r="I457" s="89" t="e">
        <v>#N/A</v>
      </c>
      <c r="J457" s="65" t="e">
        <v>#N/A</v>
      </c>
      <c r="K457" s="66"/>
      <c r="L457" s="66"/>
      <c r="M457" s="66"/>
      <c r="N457" s="66"/>
      <c r="O457" s="127" t="s">
        <v>6559</v>
      </c>
      <c r="P457" s="59" t="e">
        <v>#N/A</v>
      </c>
      <c r="Q457" s="67" t="e">
        <v>#N/A</v>
      </c>
      <c r="R457" s="68" t="e">
        <v>#N/A</v>
      </c>
      <c r="S457" s="62" t="e">
        <v>#N/A</v>
      </c>
      <c r="T457" s="62" t="e">
        <v>#N/A</v>
      </c>
      <c r="U457" s="63">
        <v>0.0</v>
      </c>
      <c r="V457" s="69" t="e">
        <v>#N/A</v>
      </c>
      <c r="W457" s="70" t="e">
        <v>#N/A</v>
      </c>
      <c r="X457" s="64" t="s">
        <v>6764</v>
      </c>
      <c r="Y457" s="64" t="s">
        <v>6764</v>
      </c>
      <c r="Z457" s="66" t="s">
        <v>6597</v>
      </c>
      <c r="AA457" s="71"/>
    </row>
    <row r="458" ht="15.75" hidden="1" customHeight="1">
      <c r="A458" s="56" t="s">
        <v>6764</v>
      </c>
      <c r="B458" s="56" t="s">
        <v>6764</v>
      </c>
      <c r="C458" s="57"/>
      <c r="D458" s="127" t="s">
        <v>6559</v>
      </c>
      <c r="E458" s="59" t="s">
        <v>6764</v>
      </c>
      <c r="F458" s="60"/>
      <c r="G458" s="61" t="s">
        <v>6764</v>
      </c>
      <c r="H458" s="83"/>
      <c r="I458" s="89" t="e">
        <v>#N/A</v>
      </c>
      <c r="J458" s="65" t="e">
        <v>#N/A</v>
      </c>
      <c r="K458" s="66"/>
      <c r="L458" s="66"/>
      <c r="M458" s="66"/>
      <c r="N458" s="66"/>
      <c r="O458" s="127" t="s">
        <v>6559</v>
      </c>
      <c r="P458" s="59" t="e">
        <v>#N/A</v>
      </c>
      <c r="Q458" s="67" t="e">
        <v>#N/A</v>
      </c>
      <c r="R458" s="68" t="e">
        <v>#N/A</v>
      </c>
      <c r="S458" s="62" t="e">
        <v>#N/A</v>
      </c>
      <c r="T458" s="62" t="e">
        <v>#N/A</v>
      </c>
      <c r="U458" s="63">
        <v>0.0</v>
      </c>
      <c r="V458" s="69" t="e">
        <v>#N/A</v>
      </c>
      <c r="W458" s="70" t="e">
        <v>#N/A</v>
      </c>
      <c r="X458" s="64" t="s">
        <v>6764</v>
      </c>
      <c r="Y458" s="64" t="s">
        <v>6764</v>
      </c>
      <c r="Z458" s="66" t="s">
        <v>6597</v>
      </c>
      <c r="AA458" s="71"/>
    </row>
    <row r="459" ht="15.75" hidden="1" customHeight="1">
      <c r="A459" s="56" t="s">
        <v>6764</v>
      </c>
      <c r="B459" s="56" t="s">
        <v>6764</v>
      </c>
      <c r="C459" s="57"/>
      <c r="D459" s="127" t="s">
        <v>6559</v>
      </c>
      <c r="E459" s="59" t="s">
        <v>6764</v>
      </c>
      <c r="F459" s="60"/>
      <c r="G459" s="61" t="s">
        <v>6764</v>
      </c>
      <c r="H459" s="83"/>
      <c r="I459" s="89" t="e">
        <v>#N/A</v>
      </c>
      <c r="J459" s="65" t="e">
        <v>#N/A</v>
      </c>
      <c r="K459" s="66"/>
      <c r="L459" s="66"/>
      <c r="M459" s="66"/>
      <c r="N459" s="66"/>
      <c r="O459" s="127" t="s">
        <v>6559</v>
      </c>
      <c r="P459" s="59" t="e">
        <v>#N/A</v>
      </c>
      <c r="Q459" s="67" t="e">
        <v>#N/A</v>
      </c>
      <c r="R459" s="68" t="e">
        <v>#N/A</v>
      </c>
      <c r="S459" s="62" t="e">
        <v>#N/A</v>
      </c>
      <c r="T459" s="62" t="e">
        <v>#N/A</v>
      </c>
      <c r="U459" s="63">
        <v>0.0</v>
      </c>
      <c r="V459" s="69" t="e">
        <v>#N/A</v>
      </c>
      <c r="W459" s="70" t="e">
        <v>#N/A</v>
      </c>
      <c r="X459" s="64" t="s">
        <v>6764</v>
      </c>
      <c r="Y459" s="64" t="s">
        <v>6764</v>
      </c>
      <c r="Z459" s="66" t="s">
        <v>6597</v>
      </c>
      <c r="AA459" s="71"/>
    </row>
    <row r="460" ht="15.75" hidden="1" customHeight="1">
      <c r="A460" s="56" t="s">
        <v>6764</v>
      </c>
      <c r="B460" s="56" t="s">
        <v>6764</v>
      </c>
      <c r="C460" s="57"/>
      <c r="D460" s="127" t="s">
        <v>6559</v>
      </c>
      <c r="E460" s="59" t="s">
        <v>6764</v>
      </c>
      <c r="F460" s="60"/>
      <c r="G460" s="61" t="s">
        <v>6764</v>
      </c>
      <c r="H460" s="83"/>
      <c r="I460" s="89" t="e">
        <v>#N/A</v>
      </c>
      <c r="J460" s="65" t="e">
        <v>#N/A</v>
      </c>
      <c r="K460" s="66"/>
      <c r="L460" s="66"/>
      <c r="M460" s="66"/>
      <c r="N460" s="66"/>
      <c r="O460" s="127" t="s">
        <v>6559</v>
      </c>
      <c r="P460" s="59" t="e">
        <v>#N/A</v>
      </c>
      <c r="Q460" s="67" t="e">
        <v>#N/A</v>
      </c>
      <c r="R460" s="68" t="e">
        <v>#N/A</v>
      </c>
      <c r="S460" s="62" t="e">
        <v>#N/A</v>
      </c>
      <c r="T460" s="62" t="e">
        <v>#N/A</v>
      </c>
      <c r="U460" s="63">
        <v>0.0</v>
      </c>
      <c r="V460" s="69" t="e">
        <v>#N/A</v>
      </c>
      <c r="W460" s="70" t="e">
        <v>#N/A</v>
      </c>
      <c r="X460" s="64" t="s">
        <v>6764</v>
      </c>
      <c r="Y460" s="64" t="s">
        <v>6764</v>
      </c>
      <c r="Z460" s="66" t="s">
        <v>6597</v>
      </c>
      <c r="AA460" s="71"/>
    </row>
    <row r="461" ht="15.75" hidden="1" customHeight="1">
      <c r="A461" s="56" t="s">
        <v>6764</v>
      </c>
      <c r="B461" s="56" t="s">
        <v>6764</v>
      </c>
      <c r="C461" s="57"/>
      <c r="D461" s="127" t="s">
        <v>6559</v>
      </c>
      <c r="E461" s="59" t="s">
        <v>6764</v>
      </c>
      <c r="F461" s="60"/>
      <c r="G461" s="61" t="s">
        <v>6764</v>
      </c>
      <c r="H461" s="83"/>
      <c r="I461" s="89" t="e">
        <v>#N/A</v>
      </c>
      <c r="J461" s="65" t="e">
        <v>#N/A</v>
      </c>
      <c r="K461" s="66"/>
      <c r="L461" s="66"/>
      <c r="M461" s="66"/>
      <c r="N461" s="66"/>
      <c r="O461" s="127" t="s">
        <v>6559</v>
      </c>
      <c r="P461" s="59" t="e">
        <v>#N/A</v>
      </c>
      <c r="Q461" s="67" t="e">
        <v>#N/A</v>
      </c>
      <c r="R461" s="68" t="e">
        <v>#N/A</v>
      </c>
      <c r="S461" s="62" t="e">
        <v>#N/A</v>
      </c>
      <c r="T461" s="62" t="e">
        <v>#N/A</v>
      </c>
      <c r="U461" s="63">
        <v>0.0</v>
      </c>
      <c r="V461" s="69" t="e">
        <v>#N/A</v>
      </c>
      <c r="W461" s="70" t="e">
        <v>#N/A</v>
      </c>
      <c r="X461" s="64" t="s">
        <v>6764</v>
      </c>
      <c r="Y461" s="64" t="s">
        <v>6764</v>
      </c>
      <c r="Z461" s="66" t="s">
        <v>6597</v>
      </c>
      <c r="AA461" s="71"/>
    </row>
    <row r="462" ht="15.75" hidden="1" customHeight="1">
      <c r="A462" s="56" t="s">
        <v>6764</v>
      </c>
      <c r="B462" s="56" t="s">
        <v>6764</v>
      </c>
      <c r="C462" s="57"/>
      <c r="D462" s="127" t="s">
        <v>6559</v>
      </c>
      <c r="E462" s="59" t="s">
        <v>6764</v>
      </c>
      <c r="F462" s="60"/>
      <c r="G462" s="61" t="s">
        <v>6764</v>
      </c>
      <c r="H462" s="83"/>
      <c r="I462" s="89" t="e">
        <v>#N/A</v>
      </c>
      <c r="J462" s="65" t="e">
        <v>#N/A</v>
      </c>
      <c r="K462" s="66"/>
      <c r="L462" s="66"/>
      <c r="M462" s="66"/>
      <c r="N462" s="66"/>
      <c r="O462" s="127" t="s">
        <v>6559</v>
      </c>
      <c r="P462" s="59" t="e">
        <v>#N/A</v>
      </c>
      <c r="Q462" s="67" t="e">
        <v>#N/A</v>
      </c>
      <c r="R462" s="68" t="e">
        <v>#N/A</v>
      </c>
      <c r="S462" s="62" t="e">
        <v>#N/A</v>
      </c>
      <c r="T462" s="62" t="e">
        <v>#N/A</v>
      </c>
      <c r="U462" s="63">
        <v>0.0</v>
      </c>
      <c r="V462" s="69" t="e">
        <v>#N/A</v>
      </c>
      <c r="W462" s="70" t="e">
        <v>#N/A</v>
      </c>
      <c r="X462" s="64" t="s">
        <v>6764</v>
      </c>
      <c r="Y462" s="64" t="s">
        <v>6764</v>
      </c>
      <c r="Z462" s="66" t="s">
        <v>6597</v>
      </c>
      <c r="AA462" s="71"/>
    </row>
    <row r="463" ht="15.75" hidden="1" customHeight="1">
      <c r="A463" s="56" t="s">
        <v>6764</v>
      </c>
      <c r="B463" s="56" t="s">
        <v>6764</v>
      </c>
      <c r="C463" s="57"/>
      <c r="D463" s="127" t="s">
        <v>6559</v>
      </c>
      <c r="E463" s="59" t="s">
        <v>6764</v>
      </c>
      <c r="F463" s="60"/>
      <c r="G463" s="61" t="s">
        <v>6764</v>
      </c>
      <c r="H463" s="83"/>
      <c r="I463" s="89" t="e">
        <v>#N/A</v>
      </c>
      <c r="J463" s="65" t="e">
        <v>#N/A</v>
      </c>
      <c r="K463" s="66"/>
      <c r="L463" s="66"/>
      <c r="M463" s="66"/>
      <c r="N463" s="66"/>
      <c r="O463" s="127" t="s">
        <v>6559</v>
      </c>
      <c r="P463" s="59" t="e">
        <v>#N/A</v>
      </c>
      <c r="Q463" s="67" t="e">
        <v>#N/A</v>
      </c>
      <c r="R463" s="68" t="e">
        <v>#N/A</v>
      </c>
      <c r="S463" s="62" t="e">
        <v>#N/A</v>
      </c>
      <c r="T463" s="62" t="e">
        <v>#N/A</v>
      </c>
      <c r="U463" s="63">
        <v>0.0</v>
      </c>
      <c r="V463" s="69" t="e">
        <v>#N/A</v>
      </c>
      <c r="W463" s="70" t="e">
        <v>#N/A</v>
      </c>
      <c r="X463" s="64" t="s">
        <v>6764</v>
      </c>
      <c r="Y463" s="64" t="s">
        <v>6764</v>
      </c>
      <c r="Z463" s="66" t="s">
        <v>6597</v>
      </c>
      <c r="AA463" s="71"/>
    </row>
    <row r="464" ht="15.75" hidden="1" customHeight="1">
      <c r="A464" s="56" t="s">
        <v>6764</v>
      </c>
      <c r="B464" s="56" t="s">
        <v>6764</v>
      </c>
      <c r="C464" s="57"/>
      <c r="D464" s="127" t="s">
        <v>6559</v>
      </c>
      <c r="E464" s="59" t="s">
        <v>6764</v>
      </c>
      <c r="F464" s="60"/>
      <c r="G464" s="61" t="s">
        <v>6764</v>
      </c>
      <c r="H464" s="83"/>
      <c r="I464" s="89" t="e">
        <v>#N/A</v>
      </c>
      <c r="J464" s="65" t="e">
        <v>#N/A</v>
      </c>
      <c r="K464" s="66"/>
      <c r="L464" s="66"/>
      <c r="M464" s="66"/>
      <c r="N464" s="66"/>
      <c r="O464" s="127" t="s">
        <v>6559</v>
      </c>
      <c r="P464" s="59" t="e">
        <v>#N/A</v>
      </c>
      <c r="Q464" s="67" t="e">
        <v>#N/A</v>
      </c>
      <c r="R464" s="68" t="e">
        <v>#N/A</v>
      </c>
      <c r="S464" s="62" t="e">
        <v>#N/A</v>
      </c>
      <c r="T464" s="62" t="e">
        <v>#N/A</v>
      </c>
      <c r="U464" s="63">
        <v>0.0</v>
      </c>
      <c r="V464" s="69" t="e">
        <v>#N/A</v>
      </c>
      <c r="W464" s="70" t="e">
        <v>#N/A</v>
      </c>
      <c r="X464" s="64" t="s">
        <v>6764</v>
      </c>
      <c r="Y464" s="64" t="s">
        <v>6764</v>
      </c>
      <c r="Z464" s="66" t="s">
        <v>6597</v>
      </c>
      <c r="AA464" s="71"/>
    </row>
    <row r="465" ht="15.75" hidden="1" customHeight="1">
      <c r="A465" s="56" t="s">
        <v>6764</v>
      </c>
      <c r="B465" s="56" t="s">
        <v>6764</v>
      </c>
      <c r="C465" s="57"/>
      <c r="D465" s="127" t="s">
        <v>6559</v>
      </c>
      <c r="E465" s="59" t="s">
        <v>6764</v>
      </c>
      <c r="F465" s="60"/>
      <c r="G465" s="61" t="s">
        <v>6764</v>
      </c>
      <c r="H465" s="83"/>
      <c r="I465" s="89" t="e">
        <v>#N/A</v>
      </c>
      <c r="J465" s="65" t="e">
        <v>#N/A</v>
      </c>
      <c r="K465" s="66"/>
      <c r="L465" s="66"/>
      <c r="M465" s="66"/>
      <c r="N465" s="66"/>
      <c r="O465" s="127" t="s">
        <v>6559</v>
      </c>
      <c r="P465" s="59" t="e">
        <v>#N/A</v>
      </c>
      <c r="Q465" s="67" t="e">
        <v>#N/A</v>
      </c>
      <c r="R465" s="68" t="e">
        <v>#N/A</v>
      </c>
      <c r="S465" s="62" t="e">
        <v>#N/A</v>
      </c>
      <c r="T465" s="62" t="e">
        <v>#N/A</v>
      </c>
      <c r="U465" s="63">
        <v>0.0</v>
      </c>
      <c r="V465" s="69" t="e">
        <v>#N/A</v>
      </c>
      <c r="W465" s="70" t="e">
        <v>#N/A</v>
      </c>
      <c r="X465" s="64" t="s">
        <v>6764</v>
      </c>
      <c r="Y465" s="64" t="s">
        <v>6764</v>
      </c>
      <c r="Z465" s="66" t="s">
        <v>6597</v>
      </c>
      <c r="AA465" s="71"/>
    </row>
    <row r="466" ht="15.75" hidden="1" customHeight="1">
      <c r="A466" s="56" t="s">
        <v>6764</v>
      </c>
      <c r="B466" s="56" t="s">
        <v>6764</v>
      </c>
      <c r="C466" s="57"/>
      <c r="D466" s="127" t="s">
        <v>6559</v>
      </c>
      <c r="E466" s="59" t="s">
        <v>6764</v>
      </c>
      <c r="F466" s="60"/>
      <c r="G466" s="61" t="s">
        <v>6764</v>
      </c>
      <c r="H466" s="83"/>
      <c r="I466" s="89" t="e">
        <v>#N/A</v>
      </c>
      <c r="J466" s="65" t="e">
        <v>#N/A</v>
      </c>
      <c r="K466" s="66"/>
      <c r="L466" s="66"/>
      <c r="M466" s="66"/>
      <c r="N466" s="66"/>
      <c r="O466" s="127" t="s">
        <v>6559</v>
      </c>
      <c r="P466" s="59" t="e">
        <v>#N/A</v>
      </c>
      <c r="Q466" s="67" t="e">
        <v>#N/A</v>
      </c>
      <c r="R466" s="68" t="e">
        <v>#N/A</v>
      </c>
      <c r="S466" s="62" t="e">
        <v>#N/A</v>
      </c>
      <c r="T466" s="62" t="e">
        <v>#N/A</v>
      </c>
      <c r="U466" s="63">
        <v>0.0</v>
      </c>
      <c r="V466" s="69" t="e">
        <v>#N/A</v>
      </c>
      <c r="W466" s="70" t="e">
        <v>#N/A</v>
      </c>
      <c r="X466" s="64" t="s">
        <v>6764</v>
      </c>
      <c r="Y466" s="64" t="s">
        <v>6764</v>
      </c>
      <c r="Z466" s="66" t="s">
        <v>6597</v>
      </c>
      <c r="AA466" s="71"/>
    </row>
    <row r="467" ht="15.75" hidden="1" customHeight="1">
      <c r="A467" s="56" t="s">
        <v>6764</v>
      </c>
      <c r="B467" s="56" t="s">
        <v>6764</v>
      </c>
      <c r="C467" s="57"/>
      <c r="D467" s="127" t="s">
        <v>6559</v>
      </c>
      <c r="E467" s="59" t="s">
        <v>6764</v>
      </c>
      <c r="F467" s="60"/>
      <c r="G467" s="61" t="s">
        <v>6764</v>
      </c>
      <c r="H467" s="83"/>
      <c r="I467" s="89" t="e">
        <v>#N/A</v>
      </c>
      <c r="J467" s="65" t="e">
        <v>#N/A</v>
      </c>
      <c r="K467" s="66"/>
      <c r="L467" s="66"/>
      <c r="M467" s="66"/>
      <c r="N467" s="66"/>
      <c r="O467" s="127" t="s">
        <v>6559</v>
      </c>
      <c r="P467" s="59" t="e">
        <v>#N/A</v>
      </c>
      <c r="Q467" s="67" t="e">
        <v>#N/A</v>
      </c>
      <c r="R467" s="68" t="e">
        <v>#N/A</v>
      </c>
      <c r="S467" s="62" t="e">
        <v>#N/A</v>
      </c>
      <c r="T467" s="62" t="e">
        <v>#N/A</v>
      </c>
      <c r="U467" s="63">
        <v>0.0</v>
      </c>
      <c r="V467" s="69" t="e">
        <v>#N/A</v>
      </c>
      <c r="W467" s="70" t="e">
        <v>#N/A</v>
      </c>
      <c r="X467" s="64" t="s">
        <v>6764</v>
      </c>
      <c r="Y467" s="64" t="s">
        <v>6764</v>
      </c>
      <c r="Z467" s="66" t="s">
        <v>6597</v>
      </c>
      <c r="AA467" s="71"/>
    </row>
    <row r="468" ht="15.75" hidden="1" customHeight="1">
      <c r="A468" s="56" t="s">
        <v>6764</v>
      </c>
      <c r="B468" s="56" t="s">
        <v>6764</v>
      </c>
      <c r="C468" s="57"/>
      <c r="D468" s="127" t="s">
        <v>6559</v>
      </c>
      <c r="E468" s="59" t="s">
        <v>6764</v>
      </c>
      <c r="F468" s="60"/>
      <c r="G468" s="61" t="s">
        <v>6764</v>
      </c>
      <c r="H468" s="83"/>
      <c r="I468" s="89" t="e">
        <v>#N/A</v>
      </c>
      <c r="J468" s="65" t="e">
        <v>#N/A</v>
      </c>
      <c r="K468" s="66"/>
      <c r="L468" s="66"/>
      <c r="M468" s="66"/>
      <c r="N468" s="66"/>
      <c r="O468" s="127" t="s">
        <v>6559</v>
      </c>
      <c r="P468" s="59" t="e">
        <v>#N/A</v>
      </c>
      <c r="Q468" s="67" t="e">
        <v>#N/A</v>
      </c>
      <c r="R468" s="68" t="e">
        <v>#N/A</v>
      </c>
      <c r="S468" s="62" t="e">
        <v>#N/A</v>
      </c>
      <c r="T468" s="62" t="e">
        <v>#N/A</v>
      </c>
      <c r="U468" s="63">
        <v>0.0</v>
      </c>
      <c r="V468" s="69" t="e">
        <v>#N/A</v>
      </c>
      <c r="W468" s="70" t="e">
        <v>#N/A</v>
      </c>
      <c r="X468" s="64" t="s">
        <v>6764</v>
      </c>
      <c r="Y468" s="64" t="s">
        <v>6764</v>
      </c>
      <c r="Z468" s="66" t="s">
        <v>6597</v>
      </c>
      <c r="AA468" s="71"/>
    </row>
    <row r="469" ht="15.75" hidden="1" customHeight="1">
      <c r="A469" s="56" t="s">
        <v>6764</v>
      </c>
      <c r="B469" s="56" t="s">
        <v>6764</v>
      </c>
      <c r="C469" s="57"/>
      <c r="D469" s="127" t="s">
        <v>6559</v>
      </c>
      <c r="E469" s="59" t="s">
        <v>6764</v>
      </c>
      <c r="F469" s="60"/>
      <c r="G469" s="61" t="s">
        <v>6764</v>
      </c>
      <c r="H469" s="83"/>
      <c r="I469" s="89" t="e">
        <v>#N/A</v>
      </c>
      <c r="J469" s="65" t="e">
        <v>#N/A</v>
      </c>
      <c r="K469" s="66"/>
      <c r="L469" s="66"/>
      <c r="M469" s="66"/>
      <c r="N469" s="66"/>
      <c r="O469" s="127" t="s">
        <v>6559</v>
      </c>
      <c r="P469" s="59" t="e">
        <v>#N/A</v>
      </c>
      <c r="Q469" s="67" t="e">
        <v>#N/A</v>
      </c>
      <c r="R469" s="68" t="e">
        <v>#N/A</v>
      </c>
      <c r="S469" s="62" t="e">
        <v>#N/A</v>
      </c>
      <c r="T469" s="62" t="e">
        <v>#N/A</v>
      </c>
      <c r="U469" s="63">
        <v>0.0</v>
      </c>
      <c r="V469" s="69" t="e">
        <v>#N/A</v>
      </c>
      <c r="W469" s="70" t="e">
        <v>#N/A</v>
      </c>
      <c r="X469" s="64" t="s">
        <v>6764</v>
      </c>
      <c r="Y469" s="64" t="s">
        <v>6764</v>
      </c>
      <c r="Z469" s="66" t="s">
        <v>6597</v>
      </c>
      <c r="AA469" s="71"/>
    </row>
    <row r="470" ht="15.75" hidden="1" customHeight="1">
      <c r="A470" s="56" t="s">
        <v>6764</v>
      </c>
      <c r="B470" s="56" t="s">
        <v>6764</v>
      </c>
      <c r="C470" s="57"/>
      <c r="D470" s="127" t="s">
        <v>6559</v>
      </c>
      <c r="E470" s="59" t="s">
        <v>6764</v>
      </c>
      <c r="F470" s="60"/>
      <c r="G470" s="61" t="s">
        <v>6764</v>
      </c>
      <c r="H470" s="83"/>
      <c r="I470" s="89" t="e">
        <v>#N/A</v>
      </c>
      <c r="J470" s="65" t="e">
        <v>#N/A</v>
      </c>
      <c r="K470" s="66"/>
      <c r="L470" s="66"/>
      <c r="M470" s="66"/>
      <c r="N470" s="66"/>
      <c r="O470" s="127" t="s">
        <v>6559</v>
      </c>
      <c r="P470" s="59" t="e">
        <v>#N/A</v>
      </c>
      <c r="Q470" s="67" t="e">
        <v>#N/A</v>
      </c>
      <c r="R470" s="68" t="e">
        <v>#N/A</v>
      </c>
      <c r="S470" s="62" t="e">
        <v>#N/A</v>
      </c>
      <c r="T470" s="62" t="e">
        <v>#N/A</v>
      </c>
      <c r="U470" s="63">
        <v>0.0</v>
      </c>
      <c r="V470" s="69" t="e">
        <v>#N/A</v>
      </c>
      <c r="W470" s="70" t="e">
        <v>#N/A</v>
      </c>
      <c r="X470" s="64" t="s">
        <v>6764</v>
      </c>
      <c r="Y470" s="64" t="s">
        <v>6764</v>
      </c>
      <c r="Z470" s="66" t="s">
        <v>6597</v>
      </c>
      <c r="AA470" s="71"/>
    </row>
    <row r="471" ht="15.75" hidden="1" customHeight="1">
      <c r="A471" s="56" t="s">
        <v>6764</v>
      </c>
      <c r="B471" s="56" t="s">
        <v>6764</v>
      </c>
      <c r="C471" s="57"/>
      <c r="D471" s="127" t="s">
        <v>6559</v>
      </c>
      <c r="E471" s="59" t="s">
        <v>6764</v>
      </c>
      <c r="F471" s="60"/>
      <c r="G471" s="61" t="s">
        <v>6764</v>
      </c>
      <c r="H471" s="83"/>
      <c r="I471" s="89" t="e">
        <v>#N/A</v>
      </c>
      <c r="J471" s="65" t="e">
        <v>#N/A</v>
      </c>
      <c r="K471" s="66"/>
      <c r="L471" s="66"/>
      <c r="M471" s="66"/>
      <c r="N471" s="66"/>
      <c r="O471" s="127" t="s">
        <v>6559</v>
      </c>
      <c r="P471" s="59" t="e">
        <v>#N/A</v>
      </c>
      <c r="Q471" s="67" t="e">
        <v>#N/A</v>
      </c>
      <c r="R471" s="68" t="e">
        <v>#N/A</v>
      </c>
      <c r="S471" s="62" t="e">
        <v>#N/A</v>
      </c>
      <c r="T471" s="62" t="e">
        <v>#N/A</v>
      </c>
      <c r="U471" s="63">
        <v>0.0</v>
      </c>
      <c r="V471" s="69" t="e">
        <v>#N/A</v>
      </c>
      <c r="W471" s="70" t="e">
        <v>#N/A</v>
      </c>
      <c r="X471" s="64" t="s">
        <v>6764</v>
      </c>
      <c r="Y471" s="64" t="s">
        <v>6764</v>
      </c>
      <c r="Z471" s="66" t="s">
        <v>6597</v>
      </c>
      <c r="AA471" s="71"/>
    </row>
    <row r="472" ht="15.75" hidden="1" customHeight="1">
      <c r="A472" s="56" t="s">
        <v>6764</v>
      </c>
      <c r="B472" s="56" t="s">
        <v>6764</v>
      </c>
      <c r="C472" s="57"/>
      <c r="D472" s="127" t="s">
        <v>6559</v>
      </c>
      <c r="E472" s="59" t="s">
        <v>6764</v>
      </c>
      <c r="F472" s="60"/>
      <c r="G472" s="61" t="s">
        <v>6764</v>
      </c>
      <c r="H472" s="83"/>
      <c r="I472" s="89" t="e">
        <v>#N/A</v>
      </c>
      <c r="J472" s="65" t="e">
        <v>#N/A</v>
      </c>
      <c r="K472" s="66"/>
      <c r="L472" s="66"/>
      <c r="M472" s="66"/>
      <c r="N472" s="66"/>
      <c r="O472" s="127" t="s">
        <v>6559</v>
      </c>
      <c r="P472" s="59" t="e">
        <v>#N/A</v>
      </c>
      <c r="Q472" s="67" t="e">
        <v>#N/A</v>
      </c>
      <c r="R472" s="68" t="e">
        <v>#N/A</v>
      </c>
      <c r="S472" s="62" t="e">
        <v>#N/A</v>
      </c>
      <c r="T472" s="62" t="e">
        <v>#N/A</v>
      </c>
      <c r="U472" s="63">
        <v>0.0</v>
      </c>
      <c r="V472" s="69" t="e">
        <v>#N/A</v>
      </c>
      <c r="W472" s="70" t="e">
        <v>#N/A</v>
      </c>
      <c r="X472" s="64" t="s">
        <v>6764</v>
      </c>
      <c r="Y472" s="64" t="s">
        <v>6764</v>
      </c>
      <c r="Z472" s="66" t="s">
        <v>6597</v>
      </c>
      <c r="AA472" s="71"/>
    </row>
    <row r="473" ht="15.75" hidden="1" customHeight="1">
      <c r="A473" s="56" t="s">
        <v>6764</v>
      </c>
      <c r="B473" s="56" t="s">
        <v>6764</v>
      </c>
      <c r="C473" s="57"/>
      <c r="D473" s="127" t="s">
        <v>6559</v>
      </c>
      <c r="E473" s="59" t="s">
        <v>6764</v>
      </c>
      <c r="F473" s="60"/>
      <c r="G473" s="61" t="s">
        <v>6764</v>
      </c>
      <c r="H473" s="83"/>
      <c r="I473" s="89" t="e">
        <v>#N/A</v>
      </c>
      <c r="J473" s="65" t="e">
        <v>#N/A</v>
      </c>
      <c r="K473" s="66"/>
      <c r="L473" s="66"/>
      <c r="M473" s="66"/>
      <c r="N473" s="66"/>
      <c r="O473" s="127" t="s">
        <v>6559</v>
      </c>
      <c r="P473" s="59" t="e">
        <v>#N/A</v>
      </c>
      <c r="Q473" s="67" t="e">
        <v>#N/A</v>
      </c>
      <c r="R473" s="68" t="e">
        <v>#N/A</v>
      </c>
      <c r="S473" s="62" t="e">
        <v>#N/A</v>
      </c>
      <c r="T473" s="62" t="e">
        <v>#N/A</v>
      </c>
      <c r="U473" s="63">
        <v>0.0</v>
      </c>
      <c r="V473" s="69" t="e">
        <v>#N/A</v>
      </c>
      <c r="W473" s="70" t="e">
        <v>#N/A</v>
      </c>
      <c r="X473" s="64" t="s">
        <v>6764</v>
      </c>
      <c r="Y473" s="64" t="s">
        <v>6764</v>
      </c>
      <c r="Z473" s="66" t="s">
        <v>6597</v>
      </c>
      <c r="AA473" s="71"/>
    </row>
    <row r="474" ht="15.75" hidden="1" customHeight="1">
      <c r="A474" s="56" t="s">
        <v>6764</v>
      </c>
      <c r="B474" s="56" t="s">
        <v>6764</v>
      </c>
      <c r="C474" s="57"/>
      <c r="D474" s="127" t="s">
        <v>6559</v>
      </c>
      <c r="E474" s="59" t="s">
        <v>6764</v>
      </c>
      <c r="F474" s="60"/>
      <c r="G474" s="61" t="s">
        <v>6764</v>
      </c>
      <c r="H474" s="83"/>
      <c r="I474" s="89" t="e">
        <v>#N/A</v>
      </c>
      <c r="J474" s="65" t="e">
        <v>#N/A</v>
      </c>
      <c r="K474" s="66"/>
      <c r="L474" s="66"/>
      <c r="M474" s="66"/>
      <c r="N474" s="66"/>
      <c r="O474" s="127" t="s">
        <v>6559</v>
      </c>
      <c r="P474" s="59" t="e">
        <v>#N/A</v>
      </c>
      <c r="Q474" s="67" t="e">
        <v>#N/A</v>
      </c>
      <c r="R474" s="68" t="e">
        <v>#N/A</v>
      </c>
      <c r="S474" s="62" t="e">
        <v>#N/A</v>
      </c>
      <c r="T474" s="62" t="e">
        <v>#N/A</v>
      </c>
      <c r="U474" s="63">
        <v>0.0</v>
      </c>
      <c r="V474" s="69" t="e">
        <v>#N/A</v>
      </c>
      <c r="W474" s="70" t="e">
        <v>#N/A</v>
      </c>
      <c r="X474" s="64" t="s">
        <v>6764</v>
      </c>
      <c r="Y474" s="64" t="s">
        <v>6764</v>
      </c>
      <c r="Z474" s="66" t="s">
        <v>6597</v>
      </c>
      <c r="AA474" s="71"/>
    </row>
    <row r="475" ht="15.75" hidden="1" customHeight="1">
      <c r="A475" s="56" t="s">
        <v>6764</v>
      </c>
      <c r="B475" s="56" t="s">
        <v>6764</v>
      </c>
      <c r="C475" s="57"/>
      <c r="D475" s="127" t="s">
        <v>6559</v>
      </c>
      <c r="E475" s="59" t="s">
        <v>6764</v>
      </c>
      <c r="F475" s="60"/>
      <c r="G475" s="61" t="s">
        <v>6764</v>
      </c>
      <c r="H475" s="83"/>
      <c r="I475" s="89" t="e">
        <v>#N/A</v>
      </c>
      <c r="J475" s="65" t="e">
        <v>#N/A</v>
      </c>
      <c r="K475" s="66"/>
      <c r="L475" s="66"/>
      <c r="M475" s="66"/>
      <c r="N475" s="66"/>
      <c r="O475" s="127" t="s">
        <v>6559</v>
      </c>
      <c r="P475" s="59" t="e">
        <v>#N/A</v>
      </c>
      <c r="Q475" s="67" t="e">
        <v>#N/A</v>
      </c>
      <c r="R475" s="68" t="e">
        <v>#N/A</v>
      </c>
      <c r="S475" s="62" t="e">
        <v>#N/A</v>
      </c>
      <c r="T475" s="62" t="e">
        <v>#N/A</v>
      </c>
      <c r="U475" s="63">
        <v>0.0</v>
      </c>
      <c r="V475" s="69" t="e">
        <v>#N/A</v>
      </c>
      <c r="W475" s="70" t="e">
        <v>#N/A</v>
      </c>
      <c r="X475" s="64" t="s">
        <v>6764</v>
      </c>
      <c r="Y475" s="64" t="s">
        <v>6764</v>
      </c>
      <c r="Z475" s="66" t="s">
        <v>6597</v>
      </c>
      <c r="AA475" s="71"/>
    </row>
    <row r="476" ht="15.75" hidden="1" customHeight="1">
      <c r="A476" s="56" t="s">
        <v>6764</v>
      </c>
      <c r="B476" s="56" t="s">
        <v>6764</v>
      </c>
      <c r="C476" s="57"/>
      <c r="D476" s="127" t="s">
        <v>6559</v>
      </c>
      <c r="E476" s="59" t="s">
        <v>6764</v>
      </c>
      <c r="F476" s="60"/>
      <c r="G476" s="61" t="s">
        <v>6764</v>
      </c>
      <c r="H476" s="83"/>
      <c r="I476" s="89" t="e">
        <v>#N/A</v>
      </c>
      <c r="J476" s="65" t="e">
        <v>#N/A</v>
      </c>
      <c r="K476" s="66"/>
      <c r="L476" s="66"/>
      <c r="M476" s="66"/>
      <c r="N476" s="66"/>
      <c r="O476" s="127" t="s">
        <v>6559</v>
      </c>
      <c r="P476" s="59" t="e">
        <v>#N/A</v>
      </c>
      <c r="Q476" s="67" t="e">
        <v>#N/A</v>
      </c>
      <c r="R476" s="68" t="e">
        <v>#N/A</v>
      </c>
      <c r="S476" s="62" t="e">
        <v>#N/A</v>
      </c>
      <c r="T476" s="62" t="e">
        <v>#N/A</v>
      </c>
      <c r="U476" s="63">
        <v>0.0</v>
      </c>
      <c r="V476" s="69" t="e">
        <v>#N/A</v>
      </c>
      <c r="W476" s="70" t="e">
        <v>#N/A</v>
      </c>
      <c r="X476" s="64" t="s">
        <v>6764</v>
      </c>
      <c r="Y476" s="64" t="s">
        <v>6764</v>
      </c>
      <c r="Z476" s="66" t="s">
        <v>6597</v>
      </c>
      <c r="AA476" s="71"/>
    </row>
    <row r="477" ht="15.75" hidden="1" customHeight="1">
      <c r="A477" s="56" t="s">
        <v>6764</v>
      </c>
      <c r="B477" s="56" t="s">
        <v>6764</v>
      </c>
      <c r="C477" s="57"/>
      <c r="D477" s="127" t="s">
        <v>6559</v>
      </c>
      <c r="E477" s="59" t="s">
        <v>6764</v>
      </c>
      <c r="F477" s="60"/>
      <c r="G477" s="61" t="s">
        <v>6764</v>
      </c>
      <c r="H477" s="83"/>
      <c r="I477" s="89" t="e">
        <v>#N/A</v>
      </c>
      <c r="J477" s="65" t="e">
        <v>#N/A</v>
      </c>
      <c r="K477" s="66"/>
      <c r="L477" s="66"/>
      <c r="M477" s="66"/>
      <c r="N477" s="66"/>
      <c r="O477" s="127" t="s">
        <v>6559</v>
      </c>
      <c r="P477" s="59" t="e">
        <v>#N/A</v>
      </c>
      <c r="Q477" s="67" t="e">
        <v>#N/A</v>
      </c>
      <c r="R477" s="68" t="e">
        <v>#N/A</v>
      </c>
      <c r="S477" s="62" t="e">
        <v>#N/A</v>
      </c>
      <c r="T477" s="62" t="e">
        <v>#N/A</v>
      </c>
      <c r="U477" s="63">
        <v>0.0</v>
      </c>
      <c r="V477" s="69" t="e">
        <v>#N/A</v>
      </c>
      <c r="W477" s="70" t="e">
        <v>#N/A</v>
      </c>
      <c r="X477" s="64" t="s">
        <v>6764</v>
      </c>
      <c r="Y477" s="64" t="s">
        <v>6764</v>
      </c>
      <c r="Z477" s="66" t="s">
        <v>6597</v>
      </c>
      <c r="AA477" s="71"/>
    </row>
    <row r="478" ht="15.75" hidden="1" customHeight="1">
      <c r="A478" s="56" t="s">
        <v>6764</v>
      </c>
      <c r="B478" s="56" t="s">
        <v>6764</v>
      </c>
      <c r="C478" s="57"/>
      <c r="D478" s="127" t="s">
        <v>6559</v>
      </c>
      <c r="E478" s="59" t="s">
        <v>6764</v>
      </c>
      <c r="F478" s="60"/>
      <c r="G478" s="61" t="s">
        <v>6764</v>
      </c>
      <c r="H478" s="83"/>
      <c r="I478" s="89" t="e">
        <v>#N/A</v>
      </c>
      <c r="J478" s="65" t="e">
        <v>#N/A</v>
      </c>
      <c r="K478" s="66"/>
      <c r="L478" s="66"/>
      <c r="M478" s="66"/>
      <c r="N478" s="66"/>
      <c r="O478" s="127" t="s">
        <v>6559</v>
      </c>
      <c r="P478" s="59" t="e">
        <v>#N/A</v>
      </c>
      <c r="Q478" s="67" t="e">
        <v>#N/A</v>
      </c>
      <c r="R478" s="68" t="e">
        <v>#N/A</v>
      </c>
      <c r="S478" s="62" t="e">
        <v>#N/A</v>
      </c>
      <c r="T478" s="62" t="e">
        <v>#N/A</v>
      </c>
      <c r="U478" s="63">
        <v>0.0</v>
      </c>
      <c r="V478" s="69" t="e">
        <v>#N/A</v>
      </c>
      <c r="W478" s="70" t="e">
        <v>#N/A</v>
      </c>
      <c r="X478" s="64" t="s">
        <v>6764</v>
      </c>
      <c r="Y478" s="64" t="s">
        <v>6764</v>
      </c>
      <c r="Z478" s="66" t="s">
        <v>6597</v>
      </c>
      <c r="AA478" s="71"/>
    </row>
    <row r="479" ht="15.75" hidden="1" customHeight="1">
      <c r="A479" s="56" t="s">
        <v>6764</v>
      </c>
      <c r="B479" s="56" t="s">
        <v>6764</v>
      </c>
      <c r="C479" s="57"/>
      <c r="D479" s="127" t="s">
        <v>6559</v>
      </c>
      <c r="E479" s="59" t="s">
        <v>6764</v>
      </c>
      <c r="F479" s="60"/>
      <c r="G479" s="61" t="s">
        <v>6764</v>
      </c>
      <c r="H479" s="83"/>
      <c r="I479" s="89" t="e">
        <v>#N/A</v>
      </c>
      <c r="J479" s="65" t="e">
        <v>#N/A</v>
      </c>
      <c r="K479" s="66"/>
      <c r="L479" s="66"/>
      <c r="M479" s="66"/>
      <c r="N479" s="66"/>
      <c r="O479" s="127" t="s">
        <v>6559</v>
      </c>
      <c r="P479" s="59" t="e">
        <v>#N/A</v>
      </c>
      <c r="Q479" s="67" t="e">
        <v>#N/A</v>
      </c>
      <c r="R479" s="68" t="e">
        <v>#N/A</v>
      </c>
      <c r="S479" s="62" t="e">
        <v>#N/A</v>
      </c>
      <c r="T479" s="62" t="e">
        <v>#N/A</v>
      </c>
      <c r="U479" s="63">
        <v>0.0</v>
      </c>
      <c r="V479" s="69" t="e">
        <v>#N/A</v>
      </c>
      <c r="W479" s="70" t="e">
        <v>#N/A</v>
      </c>
      <c r="X479" s="64" t="s">
        <v>6764</v>
      </c>
      <c r="Y479" s="64" t="s">
        <v>6764</v>
      </c>
      <c r="Z479" s="66" t="s">
        <v>6597</v>
      </c>
      <c r="AA479" s="71"/>
    </row>
    <row r="480" ht="15.75" hidden="1" customHeight="1">
      <c r="A480" s="56" t="s">
        <v>6764</v>
      </c>
      <c r="B480" s="56" t="s">
        <v>6764</v>
      </c>
      <c r="C480" s="57"/>
      <c r="D480" s="127" t="s">
        <v>6559</v>
      </c>
      <c r="E480" s="59" t="s">
        <v>6764</v>
      </c>
      <c r="F480" s="60"/>
      <c r="G480" s="61" t="s">
        <v>6764</v>
      </c>
      <c r="H480" s="83"/>
      <c r="I480" s="89" t="e">
        <v>#N/A</v>
      </c>
      <c r="J480" s="65" t="e">
        <v>#N/A</v>
      </c>
      <c r="K480" s="66"/>
      <c r="L480" s="66"/>
      <c r="M480" s="66"/>
      <c r="N480" s="66"/>
      <c r="O480" s="127" t="s">
        <v>6559</v>
      </c>
      <c r="P480" s="59" t="e">
        <v>#N/A</v>
      </c>
      <c r="Q480" s="67" t="e">
        <v>#N/A</v>
      </c>
      <c r="R480" s="68" t="e">
        <v>#N/A</v>
      </c>
      <c r="S480" s="62" t="e">
        <v>#N/A</v>
      </c>
      <c r="T480" s="62" t="e">
        <v>#N/A</v>
      </c>
      <c r="U480" s="63">
        <v>0.0</v>
      </c>
      <c r="V480" s="69" t="e">
        <v>#N/A</v>
      </c>
      <c r="W480" s="70" t="e">
        <v>#N/A</v>
      </c>
      <c r="X480" s="64" t="s">
        <v>6764</v>
      </c>
      <c r="Y480" s="64" t="s">
        <v>6764</v>
      </c>
      <c r="Z480" s="66" t="s">
        <v>6597</v>
      </c>
      <c r="AA480" s="71"/>
    </row>
    <row r="481" ht="15.75" hidden="1" customHeight="1">
      <c r="A481" s="56" t="s">
        <v>6764</v>
      </c>
      <c r="B481" s="56" t="s">
        <v>6764</v>
      </c>
      <c r="C481" s="57"/>
      <c r="D481" s="127" t="s">
        <v>6559</v>
      </c>
      <c r="E481" s="59" t="s">
        <v>6764</v>
      </c>
      <c r="F481" s="60"/>
      <c r="G481" s="61" t="s">
        <v>6764</v>
      </c>
      <c r="H481" s="83"/>
      <c r="I481" s="89" t="e">
        <v>#N/A</v>
      </c>
      <c r="J481" s="65" t="e">
        <v>#N/A</v>
      </c>
      <c r="K481" s="66"/>
      <c r="L481" s="66"/>
      <c r="M481" s="66"/>
      <c r="N481" s="66"/>
      <c r="O481" s="127" t="s">
        <v>6559</v>
      </c>
      <c r="P481" s="59" t="e">
        <v>#N/A</v>
      </c>
      <c r="Q481" s="67" t="e">
        <v>#N/A</v>
      </c>
      <c r="R481" s="68" t="e">
        <v>#N/A</v>
      </c>
      <c r="S481" s="62" t="e">
        <v>#N/A</v>
      </c>
      <c r="T481" s="62" t="e">
        <v>#N/A</v>
      </c>
      <c r="U481" s="63">
        <v>0.0</v>
      </c>
      <c r="V481" s="69" t="e">
        <v>#N/A</v>
      </c>
      <c r="W481" s="70" t="e">
        <v>#N/A</v>
      </c>
      <c r="X481" s="64" t="s">
        <v>6764</v>
      </c>
      <c r="Y481" s="64" t="s">
        <v>6764</v>
      </c>
      <c r="Z481" s="66" t="s">
        <v>6597</v>
      </c>
      <c r="AA481" s="71"/>
    </row>
    <row r="482" ht="15.75" hidden="1" customHeight="1">
      <c r="A482" s="56" t="s">
        <v>6764</v>
      </c>
      <c r="B482" s="56" t="s">
        <v>6764</v>
      </c>
      <c r="C482" s="57"/>
      <c r="D482" s="127" t="s">
        <v>6559</v>
      </c>
      <c r="E482" s="59" t="s">
        <v>6764</v>
      </c>
      <c r="F482" s="60"/>
      <c r="G482" s="61" t="s">
        <v>6764</v>
      </c>
      <c r="H482" s="83"/>
      <c r="I482" s="89" t="e">
        <v>#N/A</v>
      </c>
      <c r="J482" s="65" t="e">
        <v>#N/A</v>
      </c>
      <c r="K482" s="66"/>
      <c r="L482" s="66"/>
      <c r="M482" s="66"/>
      <c r="N482" s="66"/>
      <c r="O482" s="127" t="s">
        <v>6559</v>
      </c>
      <c r="P482" s="59" t="e">
        <v>#N/A</v>
      </c>
      <c r="Q482" s="67" t="e">
        <v>#N/A</v>
      </c>
      <c r="R482" s="68" t="e">
        <v>#N/A</v>
      </c>
      <c r="S482" s="62" t="e">
        <v>#N/A</v>
      </c>
      <c r="T482" s="62" t="e">
        <v>#N/A</v>
      </c>
      <c r="U482" s="63">
        <v>0.0</v>
      </c>
      <c r="V482" s="69" t="e">
        <v>#N/A</v>
      </c>
      <c r="W482" s="70" t="e">
        <v>#N/A</v>
      </c>
      <c r="X482" s="64" t="s">
        <v>6764</v>
      </c>
      <c r="Y482" s="64" t="s">
        <v>6764</v>
      </c>
      <c r="Z482" s="66" t="s">
        <v>6597</v>
      </c>
      <c r="AA482" s="71"/>
    </row>
    <row r="483" ht="15.75" hidden="1" customHeight="1">
      <c r="A483" s="56" t="s">
        <v>6764</v>
      </c>
      <c r="B483" s="56" t="s">
        <v>6764</v>
      </c>
      <c r="C483" s="57"/>
      <c r="D483" s="127" t="s">
        <v>6559</v>
      </c>
      <c r="E483" s="59" t="s">
        <v>6764</v>
      </c>
      <c r="F483" s="60"/>
      <c r="G483" s="61" t="s">
        <v>6764</v>
      </c>
      <c r="H483" s="83"/>
      <c r="I483" s="89" t="e">
        <v>#N/A</v>
      </c>
      <c r="J483" s="65" t="e">
        <v>#N/A</v>
      </c>
      <c r="K483" s="66"/>
      <c r="L483" s="66"/>
      <c r="M483" s="66"/>
      <c r="N483" s="66"/>
      <c r="O483" s="127" t="s">
        <v>6559</v>
      </c>
      <c r="P483" s="59" t="e">
        <v>#N/A</v>
      </c>
      <c r="Q483" s="67" t="e">
        <v>#N/A</v>
      </c>
      <c r="R483" s="68" t="e">
        <v>#N/A</v>
      </c>
      <c r="S483" s="62" t="e">
        <v>#N/A</v>
      </c>
      <c r="T483" s="62" t="e">
        <v>#N/A</v>
      </c>
      <c r="U483" s="63">
        <v>0.0</v>
      </c>
      <c r="V483" s="69" t="e">
        <v>#N/A</v>
      </c>
      <c r="W483" s="70" t="e">
        <v>#N/A</v>
      </c>
      <c r="X483" s="64" t="s">
        <v>6764</v>
      </c>
      <c r="Y483" s="64" t="s">
        <v>6764</v>
      </c>
      <c r="Z483" s="66" t="s">
        <v>6597</v>
      </c>
      <c r="AA483" s="71"/>
    </row>
    <row r="484" ht="15.75" hidden="1" customHeight="1">
      <c r="A484" s="56" t="s">
        <v>6764</v>
      </c>
      <c r="B484" s="56" t="s">
        <v>6764</v>
      </c>
      <c r="C484" s="57"/>
      <c r="D484" s="127" t="s">
        <v>6559</v>
      </c>
      <c r="E484" s="59" t="s">
        <v>6764</v>
      </c>
      <c r="F484" s="60"/>
      <c r="G484" s="61" t="s">
        <v>6764</v>
      </c>
      <c r="H484" s="83"/>
      <c r="I484" s="89" t="e">
        <v>#N/A</v>
      </c>
      <c r="J484" s="65" t="e">
        <v>#N/A</v>
      </c>
      <c r="K484" s="66"/>
      <c r="L484" s="66"/>
      <c r="M484" s="66"/>
      <c r="N484" s="66"/>
      <c r="O484" s="127" t="s">
        <v>6559</v>
      </c>
      <c r="P484" s="59" t="e">
        <v>#N/A</v>
      </c>
      <c r="Q484" s="67" t="e">
        <v>#N/A</v>
      </c>
      <c r="R484" s="68" t="e">
        <v>#N/A</v>
      </c>
      <c r="S484" s="62" t="e">
        <v>#N/A</v>
      </c>
      <c r="T484" s="62" t="e">
        <v>#N/A</v>
      </c>
      <c r="U484" s="63">
        <v>0.0</v>
      </c>
      <c r="V484" s="69" t="e">
        <v>#N/A</v>
      </c>
      <c r="W484" s="70" t="e">
        <v>#N/A</v>
      </c>
      <c r="X484" s="64" t="s">
        <v>6764</v>
      </c>
      <c r="Y484" s="64" t="s">
        <v>6764</v>
      </c>
      <c r="Z484" s="66" t="s">
        <v>6597</v>
      </c>
      <c r="AA484" s="71"/>
    </row>
    <row r="485" ht="15.75" hidden="1" customHeight="1">
      <c r="A485" s="56" t="s">
        <v>6764</v>
      </c>
      <c r="B485" s="56" t="s">
        <v>6764</v>
      </c>
      <c r="C485" s="57"/>
      <c r="D485" s="127" t="s">
        <v>6559</v>
      </c>
      <c r="E485" s="59" t="s">
        <v>6764</v>
      </c>
      <c r="F485" s="60"/>
      <c r="G485" s="61" t="s">
        <v>6764</v>
      </c>
      <c r="H485" s="83"/>
      <c r="I485" s="89" t="e">
        <v>#N/A</v>
      </c>
      <c r="J485" s="65" t="e">
        <v>#N/A</v>
      </c>
      <c r="K485" s="66"/>
      <c r="L485" s="66"/>
      <c r="M485" s="66"/>
      <c r="N485" s="66"/>
      <c r="O485" s="127" t="s">
        <v>6559</v>
      </c>
      <c r="P485" s="59" t="e">
        <v>#N/A</v>
      </c>
      <c r="Q485" s="67" t="e">
        <v>#N/A</v>
      </c>
      <c r="R485" s="68" t="e">
        <v>#N/A</v>
      </c>
      <c r="S485" s="62" t="e">
        <v>#N/A</v>
      </c>
      <c r="T485" s="62" t="e">
        <v>#N/A</v>
      </c>
      <c r="U485" s="63">
        <v>0.0</v>
      </c>
      <c r="V485" s="69" t="e">
        <v>#N/A</v>
      </c>
      <c r="W485" s="70" t="e">
        <v>#N/A</v>
      </c>
      <c r="X485" s="64" t="s">
        <v>6764</v>
      </c>
      <c r="Y485" s="64" t="s">
        <v>6764</v>
      </c>
      <c r="Z485" s="66" t="s">
        <v>6597</v>
      </c>
      <c r="AA485" s="71"/>
    </row>
    <row r="486" ht="15.75" hidden="1" customHeight="1">
      <c r="A486" s="56" t="s">
        <v>6764</v>
      </c>
      <c r="B486" s="56" t="s">
        <v>6764</v>
      </c>
      <c r="C486" s="57"/>
      <c r="D486" s="127" t="s">
        <v>6559</v>
      </c>
      <c r="E486" s="59" t="s">
        <v>6764</v>
      </c>
      <c r="F486" s="60"/>
      <c r="G486" s="61" t="s">
        <v>6764</v>
      </c>
      <c r="H486" s="83"/>
      <c r="I486" s="89" t="e">
        <v>#N/A</v>
      </c>
      <c r="J486" s="65" t="e">
        <v>#N/A</v>
      </c>
      <c r="K486" s="66"/>
      <c r="L486" s="66"/>
      <c r="M486" s="66"/>
      <c r="N486" s="66"/>
      <c r="O486" s="127" t="s">
        <v>6559</v>
      </c>
      <c r="P486" s="59" t="e">
        <v>#N/A</v>
      </c>
      <c r="Q486" s="67" t="e">
        <v>#N/A</v>
      </c>
      <c r="R486" s="68" t="e">
        <v>#N/A</v>
      </c>
      <c r="S486" s="62" t="e">
        <v>#N/A</v>
      </c>
      <c r="T486" s="62" t="e">
        <v>#N/A</v>
      </c>
      <c r="U486" s="63">
        <v>0.0</v>
      </c>
      <c r="V486" s="69" t="e">
        <v>#N/A</v>
      </c>
      <c r="W486" s="70" t="e">
        <v>#N/A</v>
      </c>
      <c r="X486" s="64" t="s">
        <v>6764</v>
      </c>
      <c r="Y486" s="64" t="s">
        <v>6764</v>
      </c>
      <c r="Z486" s="66" t="s">
        <v>6597</v>
      </c>
      <c r="AA486" s="71"/>
    </row>
    <row r="487" ht="15.75" hidden="1" customHeight="1">
      <c r="A487" s="56" t="s">
        <v>6764</v>
      </c>
      <c r="B487" s="56" t="s">
        <v>6764</v>
      </c>
      <c r="C487" s="57"/>
      <c r="D487" s="127" t="s">
        <v>6559</v>
      </c>
      <c r="E487" s="59" t="s">
        <v>6764</v>
      </c>
      <c r="F487" s="60"/>
      <c r="G487" s="61" t="s">
        <v>6764</v>
      </c>
      <c r="H487" s="83"/>
      <c r="I487" s="89" t="e">
        <v>#N/A</v>
      </c>
      <c r="J487" s="65" t="e">
        <v>#N/A</v>
      </c>
      <c r="K487" s="66"/>
      <c r="L487" s="66"/>
      <c r="M487" s="66"/>
      <c r="N487" s="66"/>
      <c r="O487" s="127" t="s">
        <v>6559</v>
      </c>
      <c r="P487" s="59" t="e">
        <v>#N/A</v>
      </c>
      <c r="Q487" s="67" t="e">
        <v>#N/A</v>
      </c>
      <c r="R487" s="68" t="e">
        <v>#N/A</v>
      </c>
      <c r="S487" s="62" t="e">
        <v>#N/A</v>
      </c>
      <c r="T487" s="62" t="e">
        <v>#N/A</v>
      </c>
      <c r="U487" s="63">
        <v>0.0</v>
      </c>
      <c r="V487" s="69" t="e">
        <v>#N/A</v>
      </c>
      <c r="W487" s="70" t="e">
        <v>#N/A</v>
      </c>
      <c r="X487" s="64" t="s">
        <v>6764</v>
      </c>
      <c r="Y487" s="64" t="s">
        <v>6764</v>
      </c>
      <c r="Z487" s="66" t="s">
        <v>6597</v>
      </c>
      <c r="AA487" s="71"/>
    </row>
    <row r="488" ht="15.75" hidden="1" customHeight="1">
      <c r="A488" s="56" t="s">
        <v>6764</v>
      </c>
      <c r="B488" s="56" t="s">
        <v>6764</v>
      </c>
      <c r="C488" s="57"/>
      <c r="D488" s="127" t="s">
        <v>6559</v>
      </c>
      <c r="E488" s="59" t="s">
        <v>6764</v>
      </c>
      <c r="F488" s="60"/>
      <c r="G488" s="61" t="s">
        <v>6764</v>
      </c>
      <c r="H488" s="83"/>
      <c r="I488" s="89" t="e">
        <v>#N/A</v>
      </c>
      <c r="J488" s="65" t="e">
        <v>#N/A</v>
      </c>
      <c r="K488" s="66"/>
      <c r="L488" s="66"/>
      <c r="M488" s="66"/>
      <c r="N488" s="66"/>
      <c r="O488" s="127" t="s">
        <v>6559</v>
      </c>
      <c r="P488" s="59" t="e">
        <v>#N/A</v>
      </c>
      <c r="Q488" s="67" t="e">
        <v>#N/A</v>
      </c>
      <c r="R488" s="68" t="e">
        <v>#N/A</v>
      </c>
      <c r="S488" s="62" t="e">
        <v>#N/A</v>
      </c>
      <c r="T488" s="62" t="e">
        <v>#N/A</v>
      </c>
      <c r="U488" s="63">
        <v>0.0</v>
      </c>
      <c r="V488" s="69" t="e">
        <v>#N/A</v>
      </c>
      <c r="W488" s="70" t="e">
        <v>#N/A</v>
      </c>
      <c r="X488" s="64" t="s">
        <v>6764</v>
      </c>
      <c r="Y488" s="64" t="s">
        <v>6764</v>
      </c>
      <c r="Z488" s="66" t="s">
        <v>6597</v>
      </c>
      <c r="AA488" s="71"/>
    </row>
    <row r="489" ht="15.75" hidden="1" customHeight="1">
      <c r="A489" s="56" t="s">
        <v>6764</v>
      </c>
      <c r="B489" s="56" t="s">
        <v>6764</v>
      </c>
      <c r="C489" s="57"/>
      <c r="D489" s="127" t="s">
        <v>6559</v>
      </c>
      <c r="E489" s="59" t="s">
        <v>6764</v>
      </c>
      <c r="F489" s="60"/>
      <c r="G489" s="61" t="s">
        <v>6764</v>
      </c>
      <c r="H489" s="83"/>
      <c r="I489" s="89" t="e">
        <v>#N/A</v>
      </c>
      <c r="J489" s="65" t="e">
        <v>#N/A</v>
      </c>
      <c r="K489" s="66"/>
      <c r="L489" s="66"/>
      <c r="M489" s="66"/>
      <c r="N489" s="66"/>
      <c r="O489" s="127" t="s">
        <v>6559</v>
      </c>
      <c r="P489" s="59" t="e">
        <v>#N/A</v>
      </c>
      <c r="Q489" s="67" t="e">
        <v>#N/A</v>
      </c>
      <c r="R489" s="68" t="e">
        <v>#N/A</v>
      </c>
      <c r="S489" s="62" t="e">
        <v>#N/A</v>
      </c>
      <c r="T489" s="62" t="e">
        <v>#N/A</v>
      </c>
      <c r="U489" s="63">
        <v>0.0</v>
      </c>
      <c r="V489" s="69" t="e">
        <v>#N/A</v>
      </c>
      <c r="W489" s="70" t="e">
        <v>#N/A</v>
      </c>
      <c r="X489" s="64" t="s">
        <v>6764</v>
      </c>
      <c r="Y489" s="64" t="s">
        <v>6764</v>
      </c>
      <c r="Z489" s="66" t="s">
        <v>6597</v>
      </c>
      <c r="AA489" s="71"/>
    </row>
    <row r="490" ht="15.75" hidden="1" customHeight="1">
      <c r="A490" s="56" t="s">
        <v>6764</v>
      </c>
      <c r="B490" s="56" t="s">
        <v>6764</v>
      </c>
      <c r="C490" s="57"/>
      <c r="D490" s="127" t="s">
        <v>6559</v>
      </c>
      <c r="E490" s="59" t="s">
        <v>6764</v>
      </c>
      <c r="F490" s="60"/>
      <c r="G490" s="61" t="s">
        <v>6764</v>
      </c>
      <c r="H490" s="83"/>
      <c r="I490" s="89" t="e">
        <v>#N/A</v>
      </c>
      <c r="J490" s="65" t="e">
        <v>#N/A</v>
      </c>
      <c r="K490" s="66"/>
      <c r="L490" s="66"/>
      <c r="M490" s="66"/>
      <c r="N490" s="66"/>
      <c r="O490" s="127" t="s">
        <v>6559</v>
      </c>
      <c r="P490" s="59" t="e">
        <v>#N/A</v>
      </c>
      <c r="Q490" s="67" t="e">
        <v>#N/A</v>
      </c>
      <c r="R490" s="68" t="e">
        <v>#N/A</v>
      </c>
      <c r="S490" s="62" t="e">
        <v>#N/A</v>
      </c>
      <c r="T490" s="62" t="e">
        <v>#N/A</v>
      </c>
      <c r="U490" s="63">
        <v>0.0</v>
      </c>
      <c r="V490" s="69" t="e">
        <v>#N/A</v>
      </c>
      <c r="W490" s="70" t="e">
        <v>#N/A</v>
      </c>
      <c r="X490" s="64" t="s">
        <v>6764</v>
      </c>
      <c r="Y490" s="64" t="s">
        <v>6764</v>
      </c>
      <c r="Z490" s="66" t="s">
        <v>6597</v>
      </c>
      <c r="AA490" s="71"/>
    </row>
    <row r="491" ht="15.75" hidden="1" customHeight="1">
      <c r="A491" s="56" t="s">
        <v>6764</v>
      </c>
      <c r="B491" s="56" t="s">
        <v>6764</v>
      </c>
      <c r="C491" s="57"/>
      <c r="D491" s="127" t="s">
        <v>6559</v>
      </c>
      <c r="E491" s="59" t="s">
        <v>6764</v>
      </c>
      <c r="F491" s="60"/>
      <c r="G491" s="61" t="s">
        <v>6764</v>
      </c>
      <c r="H491" s="83"/>
      <c r="I491" s="89" t="e">
        <v>#N/A</v>
      </c>
      <c r="J491" s="65" t="e">
        <v>#N/A</v>
      </c>
      <c r="K491" s="66"/>
      <c r="L491" s="66"/>
      <c r="M491" s="66"/>
      <c r="N491" s="66"/>
      <c r="O491" s="127" t="s">
        <v>6559</v>
      </c>
      <c r="P491" s="59" t="e">
        <v>#N/A</v>
      </c>
      <c r="Q491" s="67" t="e">
        <v>#N/A</v>
      </c>
      <c r="R491" s="68" t="e">
        <v>#N/A</v>
      </c>
      <c r="S491" s="62" t="e">
        <v>#N/A</v>
      </c>
      <c r="T491" s="62" t="e">
        <v>#N/A</v>
      </c>
      <c r="U491" s="63">
        <v>0.0</v>
      </c>
      <c r="V491" s="69" t="e">
        <v>#N/A</v>
      </c>
      <c r="W491" s="70" t="e">
        <v>#N/A</v>
      </c>
      <c r="X491" s="64" t="s">
        <v>6764</v>
      </c>
      <c r="Y491" s="64" t="s">
        <v>6764</v>
      </c>
      <c r="Z491" s="66" t="s">
        <v>6597</v>
      </c>
      <c r="AA491" s="71"/>
    </row>
    <row r="492" ht="15.75" hidden="1" customHeight="1">
      <c r="A492" s="56" t="s">
        <v>6764</v>
      </c>
      <c r="B492" s="56" t="s">
        <v>6764</v>
      </c>
      <c r="C492" s="57"/>
      <c r="D492" s="127" t="s">
        <v>6559</v>
      </c>
      <c r="E492" s="59" t="s">
        <v>6764</v>
      </c>
      <c r="F492" s="60"/>
      <c r="G492" s="61" t="s">
        <v>6764</v>
      </c>
      <c r="H492" s="83"/>
      <c r="I492" s="89" t="e">
        <v>#N/A</v>
      </c>
      <c r="J492" s="65" t="e">
        <v>#N/A</v>
      </c>
      <c r="K492" s="66"/>
      <c r="L492" s="66"/>
      <c r="M492" s="66"/>
      <c r="N492" s="66"/>
      <c r="O492" s="127" t="s">
        <v>6559</v>
      </c>
      <c r="P492" s="59" t="e">
        <v>#N/A</v>
      </c>
      <c r="Q492" s="67" t="e">
        <v>#N/A</v>
      </c>
      <c r="R492" s="68" t="e">
        <v>#N/A</v>
      </c>
      <c r="S492" s="62" t="e">
        <v>#N/A</v>
      </c>
      <c r="T492" s="62" t="e">
        <v>#N/A</v>
      </c>
      <c r="U492" s="63">
        <v>0.0</v>
      </c>
      <c r="V492" s="69" t="e">
        <v>#N/A</v>
      </c>
      <c r="W492" s="70" t="e">
        <v>#N/A</v>
      </c>
      <c r="X492" s="64" t="s">
        <v>6764</v>
      </c>
      <c r="Y492" s="64" t="s">
        <v>6764</v>
      </c>
      <c r="Z492" s="66" t="s">
        <v>6597</v>
      </c>
      <c r="AA492" s="71"/>
    </row>
    <row r="493" ht="15.75" hidden="1" customHeight="1">
      <c r="A493" s="56" t="s">
        <v>6764</v>
      </c>
      <c r="B493" s="56" t="s">
        <v>6764</v>
      </c>
      <c r="C493" s="57"/>
      <c r="D493" s="127" t="s">
        <v>6559</v>
      </c>
      <c r="E493" s="59" t="s">
        <v>6764</v>
      </c>
      <c r="F493" s="60"/>
      <c r="G493" s="61" t="s">
        <v>6764</v>
      </c>
      <c r="H493" s="83"/>
      <c r="I493" s="89" t="e">
        <v>#N/A</v>
      </c>
      <c r="J493" s="65" t="e">
        <v>#N/A</v>
      </c>
      <c r="K493" s="66"/>
      <c r="L493" s="66"/>
      <c r="M493" s="66"/>
      <c r="N493" s="66"/>
      <c r="O493" s="127" t="s">
        <v>6559</v>
      </c>
      <c r="P493" s="59" t="e">
        <v>#N/A</v>
      </c>
      <c r="Q493" s="67" t="e">
        <v>#N/A</v>
      </c>
      <c r="R493" s="68" t="e">
        <v>#N/A</v>
      </c>
      <c r="S493" s="62" t="e">
        <v>#N/A</v>
      </c>
      <c r="T493" s="62" t="e">
        <v>#N/A</v>
      </c>
      <c r="U493" s="63">
        <v>0.0</v>
      </c>
      <c r="V493" s="69" t="e">
        <v>#N/A</v>
      </c>
      <c r="W493" s="70" t="e">
        <v>#N/A</v>
      </c>
      <c r="X493" s="64" t="s">
        <v>6764</v>
      </c>
      <c r="Y493" s="64" t="s">
        <v>6764</v>
      </c>
      <c r="Z493" s="66" t="s">
        <v>6597</v>
      </c>
      <c r="AA493" s="71"/>
    </row>
    <row r="494" ht="15.75" hidden="1" customHeight="1">
      <c r="A494" s="56" t="s">
        <v>6764</v>
      </c>
      <c r="B494" s="56" t="s">
        <v>6764</v>
      </c>
      <c r="C494" s="57"/>
      <c r="D494" s="127" t="s">
        <v>6559</v>
      </c>
      <c r="E494" s="59" t="s">
        <v>6764</v>
      </c>
      <c r="F494" s="60"/>
      <c r="G494" s="61" t="s">
        <v>6764</v>
      </c>
      <c r="H494" s="83"/>
      <c r="I494" s="89" t="e">
        <v>#N/A</v>
      </c>
      <c r="J494" s="65" t="e">
        <v>#N/A</v>
      </c>
      <c r="K494" s="66"/>
      <c r="L494" s="66"/>
      <c r="M494" s="66"/>
      <c r="N494" s="66"/>
      <c r="O494" s="127" t="s">
        <v>6559</v>
      </c>
      <c r="P494" s="59" t="e">
        <v>#N/A</v>
      </c>
      <c r="Q494" s="67" t="e">
        <v>#N/A</v>
      </c>
      <c r="R494" s="68" t="e">
        <v>#N/A</v>
      </c>
      <c r="S494" s="62" t="e">
        <v>#N/A</v>
      </c>
      <c r="T494" s="62" t="e">
        <v>#N/A</v>
      </c>
      <c r="U494" s="63">
        <v>0.0</v>
      </c>
      <c r="V494" s="69" t="e">
        <v>#N/A</v>
      </c>
      <c r="W494" s="70" t="e">
        <v>#N/A</v>
      </c>
      <c r="X494" s="64" t="s">
        <v>6764</v>
      </c>
      <c r="Y494" s="64" t="s">
        <v>6764</v>
      </c>
      <c r="Z494" s="66" t="s">
        <v>6597</v>
      </c>
      <c r="AA494" s="71"/>
    </row>
    <row r="495" ht="15.75" hidden="1" customHeight="1">
      <c r="A495" s="56" t="s">
        <v>6764</v>
      </c>
      <c r="B495" s="56" t="s">
        <v>6764</v>
      </c>
      <c r="C495" s="57"/>
      <c r="D495" s="127" t="s">
        <v>6559</v>
      </c>
      <c r="E495" s="59" t="s">
        <v>6764</v>
      </c>
      <c r="F495" s="60"/>
      <c r="G495" s="61" t="s">
        <v>6764</v>
      </c>
      <c r="H495" s="83"/>
      <c r="I495" s="89" t="e">
        <v>#N/A</v>
      </c>
      <c r="J495" s="65" t="e">
        <v>#N/A</v>
      </c>
      <c r="K495" s="66"/>
      <c r="L495" s="66"/>
      <c r="M495" s="66"/>
      <c r="N495" s="66"/>
      <c r="O495" s="127" t="s">
        <v>6559</v>
      </c>
      <c r="P495" s="59" t="e">
        <v>#N/A</v>
      </c>
      <c r="Q495" s="67" t="e">
        <v>#N/A</v>
      </c>
      <c r="R495" s="68" t="e">
        <v>#N/A</v>
      </c>
      <c r="S495" s="62" t="e">
        <v>#N/A</v>
      </c>
      <c r="T495" s="62" t="e">
        <v>#N/A</v>
      </c>
      <c r="U495" s="63">
        <v>0.0</v>
      </c>
      <c r="V495" s="69" t="e">
        <v>#N/A</v>
      </c>
      <c r="W495" s="70" t="e">
        <v>#N/A</v>
      </c>
      <c r="X495" s="64" t="s">
        <v>6764</v>
      </c>
      <c r="Y495" s="64" t="s">
        <v>6764</v>
      </c>
      <c r="Z495" s="66" t="s">
        <v>6597</v>
      </c>
      <c r="AA495" s="71"/>
    </row>
    <row r="496" ht="15.75" hidden="1" customHeight="1">
      <c r="A496" s="56" t="s">
        <v>6764</v>
      </c>
      <c r="B496" s="56" t="s">
        <v>6764</v>
      </c>
      <c r="C496" s="57"/>
      <c r="D496" s="127" t="s">
        <v>6559</v>
      </c>
      <c r="E496" s="59" t="s">
        <v>6764</v>
      </c>
      <c r="F496" s="60"/>
      <c r="G496" s="61" t="s">
        <v>6764</v>
      </c>
      <c r="H496" s="83"/>
      <c r="I496" s="89" t="e">
        <v>#N/A</v>
      </c>
      <c r="J496" s="65" t="e">
        <v>#N/A</v>
      </c>
      <c r="K496" s="66"/>
      <c r="L496" s="66"/>
      <c r="M496" s="66"/>
      <c r="N496" s="66"/>
      <c r="O496" s="127" t="s">
        <v>6559</v>
      </c>
      <c r="P496" s="59" t="e">
        <v>#N/A</v>
      </c>
      <c r="Q496" s="67" t="e">
        <v>#N/A</v>
      </c>
      <c r="R496" s="68" t="e">
        <v>#N/A</v>
      </c>
      <c r="S496" s="62" t="e">
        <v>#N/A</v>
      </c>
      <c r="T496" s="62" t="e">
        <v>#N/A</v>
      </c>
      <c r="U496" s="63">
        <v>0.0</v>
      </c>
      <c r="V496" s="69" t="e">
        <v>#N/A</v>
      </c>
      <c r="W496" s="70" t="e">
        <v>#N/A</v>
      </c>
      <c r="X496" s="64" t="s">
        <v>6764</v>
      </c>
      <c r="Y496" s="64" t="s">
        <v>6764</v>
      </c>
      <c r="Z496" s="66" t="s">
        <v>6597</v>
      </c>
      <c r="AA496" s="71"/>
    </row>
    <row r="497" ht="15.75" hidden="1" customHeight="1">
      <c r="A497" s="56" t="s">
        <v>6764</v>
      </c>
      <c r="B497" s="56" t="s">
        <v>6764</v>
      </c>
      <c r="C497" s="57"/>
      <c r="D497" s="127" t="s">
        <v>6559</v>
      </c>
      <c r="E497" s="59" t="s">
        <v>6764</v>
      </c>
      <c r="F497" s="60"/>
      <c r="G497" s="61" t="s">
        <v>6764</v>
      </c>
      <c r="H497" s="83"/>
      <c r="I497" s="89" t="e">
        <v>#N/A</v>
      </c>
      <c r="J497" s="65" t="e">
        <v>#N/A</v>
      </c>
      <c r="K497" s="66"/>
      <c r="L497" s="66"/>
      <c r="M497" s="66"/>
      <c r="N497" s="66"/>
      <c r="O497" s="127" t="s">
        <v>6559</v>
      </c>
      <c r="P497" s="59" t="e">
        <v>#N/A</v>
      </c>
      <c r="Q497" s="67" t="e">
        <v>#N/A</v>
      </c>
      <c r="R497" s="68" t="e">
        <v>#N/A</v>
      </c>
      <c r="S497" s="62" t="e">
        <v>#N/A</v>
      </c>
      <c r="T497" s="62" t="e">
        <v>#N/A</v>
      </c>
      <c r="U497" s="63">
        <v>0.0</v>
      </c>
      <c r="V497" s="69" t="e">
        <v>#N/A</v>
      </c>
      <c r="W497" s="70" t="e">
        <v>#N/A</v>
      </c>
      <c r="X497" s="64" t="s">
        <v>6764</v>
      </c>
      <c r="Y497" s="64" t="s">
        <v>6764</v>
      </c>
      <c r="Z497" s="66" t="s">
        <v>6597</v>
      </c>
      <c r="AA497" s="71"/>
    </row>
    <row r="498" ht="15.75" hidden="1" customHeight="1">
      <c r="A498" s="56" t="s">
        <v>6764</v>
      </c>
      <c r="B498" s="56" t="s">
        <v>6764</v>
      </c>
      <c r="C498" s="57"/>
      <c r="D498" s="127" t="s">
        <v>6559</v>
      </c>
      <c r="E498" s="59" t="s">
        <v>6764</v>
      </c>
      <c r="F498" s="60"/>
      <c r="G498" s="61" t="s">
        <v>6764</v>
      </c>
      <c r="H498" s="83"/>
      <c r="I498" s="89" t="e">
        <v>#N/A</v>
      </c>
      <c r="J498" s="65" t="e">
        <v>#N/A</v>
      </c>
      <c r="K498" s="66"/>
      <c r="L498" s="66"/>
      <c r="M498" s="66"/>
      <c r="N498" s="66"/>
      <c r="O498" s="127" t="s">
        <v>6559</v>
      </c>
      <c r="P498" s="59" t="e">
        <v>#N/A</v>
      </c>
      <c r="Q498" s="67" t="e">
        <v>#N/A</v>
      </c>
      <c r="R498" s="68" t="e">
        <v>#N/A</v>
      </c>
      <c r="S498" s="62" t="e">
        <v>#N/A</v>
      </c>
      <c r="T498" s="62" t="e">
        <v>#N/A</v>
      </c>
      <c r="U498" s="63">
        <v>0.0</v>
      </c>
      <c r="V498" s="69" t="e">
        <v>#N/A</v>
      </c>
      <c r="W498" s="70" t="e">
        <v>#N/A</v>
      </c>
      <c r="X498" s="64" t="s">
        <v>6764</v>
      </c>
      <c r="Y498" s="64" t="s">
        <v>6764</v>
      </c>
      <c r="Z498" s="66" t="s">
        <v>6597</v>
      </c>
      <c r="AA498" s="71"/>
    </row>
    <row r="499" ht="15.75" hidden="1" customHeight="1">
      <c r="A499" s="56" t="s">
        <v>6764</v>
      </c>
      <c r="B499" s="56" t="s">
        <v>6764</v>
      </c>
      <c r="C499" s="57"/>
      <c r="D499" s="127" t="s">
        <v>6559</v>
      </c>
      <c r="E499" s="59" t="s">
        <v>6764</v>
      </c>
      <c r="F499" s="60"/>
      <c r="G499" s="61" t="s">
        <v>6764</v>
      </c>
      <c r="H499" s="83"/>
      <c r="I499" s="89" t="e">
        <v>#N/A</v>
      </c>
      <c r="J499" s="65" t="e">
        <v>#N/A</v>
      </c>
      <c r="K499" s="66"/>
      <c r="L499" s="66"/>
      <c r="M499" s="66"/>
      <c r="N499" s="66"/>
      <c r="O499" s="127" t="s">
        <v>6559</v>
      </c>
      <c r="P499" s="59" t="e">
        <v>#N/A</v>
      </c>
      <c r="Q499" s="67" t="e">
        <v>#N/A</v>
      </c>
      <c r="R499" s="68" t="e">
        <v>#N/A</v>
      </c>
      <c r="S499" s="62" t="e">
        <v>#N/A</v>
      </c>
      <c r="T499" s="62" t="e">
        <v>#N/A</v>
      </c>
      <c r="U499" s="63">
        <v>0.0</v>
      </c>
      <c r="V499" s="69" t="e">
        <v>#N/A</v>
      </c>
      <c r="W499" s="70" t="e">
        <v>#N/A</v>
      </c>
      <c r="X499" s="64" t="s">
        <v>6764</v>
      </c>
      <c r="Y499" s="64" t="s">
        <v>6764</v>
      </c>
      <c r="Z499" s="66" t="s">
        <v>6597</v>
      </c>
      <c r="AA499" s="71"/>
    </row>
    <row r="500" ht="15.75" hidden="1" customHeight="1">
      <c r="A500" s="56" t="s">
        <v>6764</v>
      </c>
      <c r="B500" s="56" t="s">
        <v>6764</v>
      </c>
      <c r="C500" s="57"/>
      <c r="D500" s="127" t="s">
        <v>6559</v>
      </c>
      <c r="E500" s="59" t="s">
        <v>6764</v>
      </c>
      <c r="F500" s="60"/>
      <c r="G500" s="61" t="s">
        <v>6764</v>
      </c>
      <c r="H500" s="83"/>
      <c r="I500" s="89" t="e">
        <v>#N/A</v>
      </c>
      <c r="J500" s="65" t="e">
        <v>#N/A</v>
      </c>
      <c r="K500" s="66"/>
      <c r="L500" s="66"/>
      <c r="M500" s="66"/>
      <c r="N500" s="66"/>
      <c r="O500" s="127" t="s">
        <v>6559</v>
      </c>
      <c r="P500" s="59" t="e">
        <v>#N/A</v>
      </c>
      <c r="Q500" s="67" t="e">
        <v>#N/A</v>
      </c>
      <c r="R500" s="68" t="e">
        <v>#N/A</v>
      </c>
      <c r="S500" s="62" t="e">
        <v>#N/A</v>
      </c>
      <c r="T500" s="62" t="e">
        <v>#N/A</v>
      </c>
      <c r="U500" s="63">
        <v>0.0</v>
      </c>
      <c r="V500" s="69" t="e">
        <v>#N/A</v>
      </c>
      <c r="W500" s="70" t="e">
        <v>#N/A</v>
      </c>
      <c r="X500" s="64" t="s">
        <v>6764</v>
      </c>
      <c r="Y500" s="64" t="s">
        <v>6764</v>
      </c>
      <c r="Z500" s="66" t="s">
        <v>6597</v>
      </c>
      <c r="AA500" s="71"/>
    </row>
    <row r="501" ht="15.75" hidden="1" customHeight="1">
      <c r="A501" s="56" t="s">
        <v>6764</v>
      </c>
      <c r="B501" s="56" t="s">
        <v>6764</v>
      </c>
      <c r="C501" s="57"/>
      <c r="D501" s="127" t="s">
        <v>6559</v>
      </c>
      <c r="E501" s="59" t="s">
        <v>6764</v>
      </c>
      <c r="F501" s="60"/>
      <c r="G501" s="61" t="s">
        <v>6764</v>
      </c>
      <c r="H501" s="83"/>
      <c r="I501" s="89" t="e">
        <v>#N/A</v>
      </c>
      <c r="J501" s="65" t="e">
        <v>#N/A</v>
      </c>
      <c r="K501" s="66"/>
      <c r="L501" s="66"/>
      <c r="M501" s="66"/>
      <c r="N501" s="66"/>
      <c r="O501" s="127" t="s">
        <v>6559</v>
      </c>
      <c r="P501" s="59" t="e">
        <v>#N/A</v>
      </c>
      <c r="Q501" s="67" t="e">
        <v>#N/A</v>
      </c>
      <c r="R501" s="68" t="e">
        <v>#N/A</v>
      </c>
      <c r="S501" s="62" t="e">
        <v>#N/A</v>
      </c>
      <c r="T501" s="62" t="e">
        <v>#N/A</v>
      </c>
      <c r="U501" s="63">
        <v>0.0</v>
      </c>
      <c r="V501" s="69" t="e">
        <v>#N/A</v>
      </c>
      <c r="W501" s="70" t="e">
        <v>#N/A</v>
      </c>
      <c r="X501" s="64" t="s">
        <v>6764</v>
      </c>
      <c r="Y501" s="64" t="s">
        <v>6764</v>
      </c>
      <c r="Z501" s="66" t="s">
        <v>6597</v>
      </c>
      <c r="AA501" s="71"/>
    </row>
    <row r="502" ht="15.75" hidden="1" customHeight="1">
      <c r="A502" s="56" t="s">
        <v>6764</v>
      </c>
      <c r="B502" s="56" t="s">
        <v>6764</v>
      </c>
      <c r="C502" s="57"/>
      <c r="D502" s="127" t="s">
        <v>6559</v>
      </c>
      <c r="E502" s="59" t="s">
        <v>6764</v>
      </c>
      <c r="F502" s="60"/>
      <c r="G502" s="61" t="s">
        <v>6764</v>
      </c>
      <c r="H502" s="83"/>
      <c r="I502" s="89" t="e">
        <v>#N/A</v>
      </c>
      <c r="J502" s="65" t="e">
        <v>#N/A</v>
      </c>
      <c r="K502" s="66"/>
      <c r="L502" s="66"/>
      <c r="M502" s="66"/>
      <c r="N502" s="66"/>
      <c r="O502" s="127" t="s">
        <v>6559</v>
      </c>
      <c r="P502" s="59" t="e">
        <v>#N/A</v>
      </c>
      <c r="Q502" s="67" t="e">
        <v>#N/A</v>
      </c>
      <c r="R502" s="68" t="e">
        <v>#N/A</v>
      </c>
      <c r="S502" s="62" t="e">
        <v>#N/A</v>
      </c>
      <c r="T502" s="62" t="e">
        <v>#N/A</v>
      </c>
      <c r="U502" s="63">
        <v>0.0</v>
      </c>
      <c r="V502" s="69" t="e">
        <v>#N/A</v>
      </c>
      <c r="W502" s="70" t="e">
        <v>#N/A</v>
      </c>
      <c r="X502" s="64" t="s">
        <v>6764</v>
      </c>
      <c r="Y502" s="64" t="s">
        <v>6764</v>
      </c>
      <c r="Z502" s="66" t="s">
        <v>6597</v>
      </c>
      <c r="AA502" s="71"/>
    </row>
    <row r="503" ht="15.75" hidden="1" customHeight="1">
      <c r="A503" s="56" t="s">
        <v>6764</v>
      </c>
      <c r="B503" s="56" t="s">
        <v>6764</v>
      </c>
      <c r="C503" s="57"/>
      <c r="D503" s="127" t="s">
        <v>6559</v>
      </c>
      <c r="E503" s="59" t="s">
        <v>6764</v>
      </c>
      <c r="F503" s="60"/>
      <c r="G503" s="61" t="s">
        <v>6764</v>
      </c>
      <c r="H503" s="83"/>
      <c r="I503" s="89" t="e">
        <v>#N/A</v>
      </c>
      <c r="J503" s="65" t="e">
        <v>#N/A</v>
      </c>
      <c r="K503" s="66"/>
      <c r="L503" s="66"/>
      <c r="M503" s="66"/>
      <c r="N503" s="66"/>
      <c r="O503" s="127" t="s">
        <v>6559</v>
      </c>
      <c r="P503" s="59" t="e">
        <v>#N/A</v>
      </c>
      <c r="Q503" s="67" t="e">
        <v>#N/A</v>
      </c>
      <c r="R503" s="68" t="e">
        <v>#N/A</v>
      </c>
      <c r="S503" s="62" t="e">
        <v>#N/A</v>
      </c>
      <c r="T503" s="62" t="e">
        <v>#N/A</v>
      </c>
      <c r="U503" s="63">
        <v>0.0</v>
      </c>
      <c r="V503" s="69" t="e">
        <v>#N/A</v>
      </c>
      <c r="W503" s="70" t="e">
        <v>#N/A</v>
      </c>
      <c r="X503" s="64" t="s">
        <v>6764</v>
      </c>
      <c r="Y503" s="64" t="s">
        <v>6764</v>
      </c>
      <c r="Z503" s="66" t="s">
        <v>6597</v>
      </c>
      <c r="AA503" s="71"/>
    </row>
    <row r="504" ht="15.75" hidden="1" customHeight="1">
      <c r="A504" s="56" t="s">
        <v>6764</v>
      </c>
      <c r="B504" s="56" t="s">
        <v>6764</v>
      </c>
      <c r="C504" s="57"/>
      <c r="D504" s="127" t="s">
        <v>6559</v>
      </c>
      <c r="E504" s="59" t="s">
        <v>6764</v>
      </c>
      <c r="F504" s="60"/>
      <c r="G504" s="61" t="s">
        <v>6764</v>
      </c>
      <c r="H504" s="83"/>
      <c r="I504" s="89" t="e">
        <v>#N/A</v>
      </c>
      <c r="J504" s="65" t="e">
        <v>#N/A</v>
      </c>
      <c r="K504" s="66"/>
      <c r="L504" s="66"/>
      <c r="M504" s="66"/>
      <c r="N504" s="66"/>
      <c r="O504" s="127" t="s">
        <v>6559</v>
      </c>
      <c r="P504" s="59" t="e">
        <v>#N/A</v>
      </c>
      <c r="Q504" s="67" t="e">
        <v>#N/A</v>
      </c>
      <c r="R504" s="68" t="e">
        <v>#N/A</v>
      </c>
      <c r="S504" s="62" t="e">
        <v>#N/A</v>
      </c>
      <c r="T504" s="62" t="e">
        <v>#N/A</v>
      </c>
      <c r="U504" s="63">
        <v>0.0</v>
      </c>
      <c r="V504" s="69" t="e">
        <v>#N/A</v>
      </c>
      <c r="W504" s="70" t="e">
        <v>#N/A</v>
      </c>
      <c r="X504" s="64" t="s">
        <v>6764</v>
      </c>
      <c r="Y504" s="64" t="s">
        <v>6764</v>
      </c>
      <c r="Z504" s="66" t="s">
        <v>6597</v>
      </c>
      <c r="AA504" s="71"/>
    </row>
    <row r="505" ht="15.75" hidden="1" customHeight="1">
      <c r="A505" s="56" t="s">
        <v>6764</v>
      </c>
      <c r="B505" s="56" t="s">
        <v>6764</v>
      </c>
      <c r="C505" s="57"/>
      <c r="D505" s="127" t="s">
        <v>6559</v>
      </c>
      <c r="E505" s="59" t="s">
        <v>6764</v>
      </c>
      <c r="F505" s="60"/>
      <c r="G505" s="61" t="s">
        <v>6764</v>
      </c>
      <c r="H505" s="83"/>
      <c r="I505" s="89" t="e">
        <v>#N/A</v>
      </c>
      <c r="J505" s="65" t="e">
        <v>#N/A</v>
      </c>
      <c r="K505" s="66"/>
      <c r="L505" s="66"/>
      <c r="M505" s="66"/>
      <c r="N505" s="66"/>
      <c r="O505" s="127" t="s">
        <v>6559</v>
      </c>
      <c r="P505" s="59" t="e">
        <v>#N/A</v>
      </c>
      <c r="Q505" s="67" t="e">
        <v>#N/A</v>
      </c>
      <c r="R505" s="68" t="e">
        <v>#N/A</v>
      </c>
      <c r="S505" s="62" t="e">
        <v>#N/A</v>
      </c>
      <c r="T505" s="62" t="e">
        <v>#N/A</v>
      </c>
      <c r="U505" s="63">
        <v>0.0</v>
      </c>
      <c r="V505" s="69" t="e">
        <v>#N/A</v>
      </c>
      <c r="W505" s="70" t="e">
        <v>#N/A</v>
      </c>
      <c r="X505" s="64" t="s">
        <v>6764</v>
      </c>
      <c r="Y505" s="64" t="s">
        <v>6764</v>
      </c>
      <c r="Z505" s="66" t="s">
        <v>6597</v>
      </c>
      <c r="AA505" s="71"/>
    </row>
    <row r="506" ht="15.75" hidden="1" customHeight="1">
      <c r="A506" s="56" t="s">
        <v>6764</v>
      </c>
      <c r="B506" s="56" t="s">
        <v>6764</v>
      </c>
      <c r="C506" s="57"/>
      <c r="D506" s="127" t="s">
        <v>6559</v>
      </c>
      <c r="E506" s="59" t="s">
        <v>6764</v>
      </c>
      <c r="F506" s="60"/>
      <c r="G506" s="61" t="s">
        <v>6764</v>
      </c>
      <c r="H506" s="83"/>
      <c r="I506" s="89" t="e">
        <v>#N/A</v>
      </c>
      <c r="J506" s="65" t="e">
        <v>#N/A</v>
      </c>
      <c r="K506" s="66"/>
      <c r="L506" s="66"/>
      <c r="M506" s="66"/>
      <c r="N506" s="66"/>
      <c r="O506" s="127" t="s">
        <v>6559</v>
      </c>
      <c r="P506" s="59" t="e">
        <v>#N/A</v>
      </c>
      <c r="Q506" s="67" t="e">
        <v>#N/A</v>
      </c>
      <c r="R506" s="68" t="e">
        <v>#N/A</v>
      </c>
      <c r="S506" s="62" t="e">
        <v>#N/A</v>
      </c>
      <c r="T506" s="62" t="e">
        <v>#N/A</v>
      </c>
      <c r="U506" s="63">
        <v>0.0</v>
      </c>
      <c r="V506" s="69" t="e">
        <v>#N/A</v>
      </c>
      <c r="W506" s="70" t="e">
        <v>#N/A</v>
      </c>
      <c r="X506" s="64" t="s">
        <v>6764</v>
      </c>
      <c r="Y506" s="64" t="s">
        <v>6764</v>
      </c>
      <c r="Z506" s="66" t="s">
        <v>6597</v>
      </c>
      <c r="AA506" s="71"/>
    </row>
    <row r="507" ht="15.75" hidden="1" customHeight="1">
      <c r="A507" s="56" t="s">
        <v>6764</v>
      </c>
      <c r="B507" s="56" t="s">
        <v>6764</v>
      </c>
      <c r="C507" s="57"/>
      <c r="D507" s="127" t="s">
        <v>6559</v>
      </c>
      <c r="E507" s="59" t="s">
        <v>6764</v>
      </c>
      <c r="F507" s="60"/>
      <c r="G507" s="61" t="s">
        <v>6764</v>
      </c>
      <c r="H507" s="83"/>
      <c r="I507" s="89" t="e">
        <v>#N/A</v>
      </c>
      <c r="J507" s="65" t="e">
        <v>#N/A</v>
      </c>
      <c r="K507" s="66"/>
      <c r="L507" s="66"/>
      <c r="M507" s="66"/>
      <c r="N507" s="66"/>
      <c r="O507" s="127" t="s">
        <v>6559</v>
      </c>
      <c r="P507" s="59" t="e">
        <v>#N/A</v>
      </c>
      <c r="Q507" s="67" t="e">
        <v>#N/A</v>
      </c>
      <c r="R507" s="68" t="e">
        <v>#N/A</v>
      </c>
      <c r="S507" s="62" t="e">
        <v>#N/A</v>
      </c>
      <c r="T507" s="62" t="e">
        <v>#N/A</v>
      </c>
      <c r="U507" s="63">
        <v>0.0</v>
      </c>
      <c r="V507" s="69" t="e">
        <v>#N/A</v>
      </c>
      <c r="W507" s="70" t="e">
        <v>#N/A</v>
      </c>
      <c r="X507" s="64" t="s">
        <v>6764</v>
      </c>
      <c r="Y507" s="64" t="s">
        <v>6764</v>
      </c>
      <c r="Z507" s="66" t="s">
        <v>6597</v>
      </c>
      <c r="AA507" s="71"/>
    </row>
    <row r="508" ht="15.75" hidden="1" customHeight="1">
      <c r="A508" s="56" t="s">
        <v>6764</v>
      </c>
      <c r="B508" s="56" t="s">
        <v>6764</v>
      </c>
      <c r="C508" s="57"/>
      <c r="D508" s="127" t="s">
        <v>6559</v>
      </c>
      <c r="E508" s="59" t="s">
        <v>6764</v>
      </c>
      <c r="F508" s="60"/>
      <c r="G508" s="61" t="s">
        <v>6764</v>
      </c>
      <c r="H508" s="83"/>
      <c r="I508" s="89" t="e">
        <v>#N/A</v>
      </c>
      <c r="J508" s="65" t="e">
        <v>#N/A</v>
      </c>
      <c r="K508" s="66"/>
      <c r="L508" s="66"/>
      <c r="M508" s="66"/>
      <c r="N508" s="66"/>
      <c r="O508" s="127" t="s">
        <v>6559</v>
      </c>
      <c r="P508" s="59" t="e">
        <v>#N/A</v>
      </c>
      <c r="Q508" s="67" t="e">
        <v>#N/A</v>
      </c>
      <c r="R508" s="68" t="e">
        <v>#N/A</v>
      </c>
      <c r="S508" s="62" t="e">
        <v>#N/A</v>
      </c>
      <c r="T508" s="62" t="e">
        <v>#N/A</v>
      </c>
      <c r="U508" s="63">
        <v>0.0</v>
      </c>
      <c r="V508" s="69" t="e">
        <v>#N/A</v>
      </c>
      <c r="W508" s="70" t="e">
        <v>#N/A</v>
      </c>
      <c r="X508" s="64" t="s">
        <v>6764</v>
      </c>
      <c r="Y508" s="64" t="s">
        <v>6764</v>
      </c>
      <c r="Z508" s="66" t="s">
        <v>6597</v>
      </c>
      <c r="AA508" s="71"/>
    </row>
    <row r="509" ht="15.75" hidden="1" customHeight="1">
      <c r="A509" s="56" t="s">
        <v>6764</v>
      </c>
      <c r="B509" s="56" t="s">
        <v>6764</v>
      </c>
      <c r="C509" s="57"/>
      <c r="D509" s="127" t="s">
        <v>6559</v>
      </c>
      <c r="E509" s="59" t="s">
        <v>6764</v>
      </c>
      <c r="F509" s="60"/>
      <c r="G509" s="61" t="s">
        <v>6764</v>
      </c>
      <c r="H509" s="83"/>
      <c r="I509" s="89" t="e">
        <v>#N/A</v>
      </c>
      <c r="J509" s="65" t="e">
        <v>#N/A</v>
      </c>
      <c r="K509" s="66"/>
      <c r="L509" s="66"/>
      <c r="M509" s="66"/>
      <c r="N509" s="66"/>
      <c r="O509" s="127" t="s">
        <v>6559</v>
      </c>
      <c r="P509" s="59" t="e">
        <v>#N/A</v>
      </c>
      <c r="Q509" s="67" t="e">
        <v>#N/A</v>
      </c>
      <c r="R509" s="68" t="e">
        <v>#N/A</v>
      </c>
      <c r="S509" s="62" t="e">
        <v>#N/A</v>
      </c>
      <c r="T509" s="62" t="e">
        <v>#N/A</v>
      </c>
      <c r="U509" s="63">
        <v>0.0</v>
      </c>
      <c r="V509" s="69" t="e">
        <v>#N/A</v>
      </c>
      <c r="W509" s="70" t="e">
        <v>#N/A</v>
      </c>
      <c r="X509" s="64" t="s">
        <v>6764</v>
      </c>
      <c r="Y509" s="64" t="s">
        <v>6764</v>
      </c>
      <c r="Z509" s="66" t="s">
        <v>6597</v>
      </c>
      <c r="AA509" s="71"/>
    </row>
    <row r="510" ht="15.75" hidden="1" customHeight="1">
      <c r="A510" s="56" t="s">
        <v>6764</v>
      </c>
      <c r="B510" s="56" t="s">
        <v>6764</v>
      </c>
      <c r="C510" s="57"/>
      <c r="D510" s="127" t="s">
        <v>6559</v>
      </c>
      <c r="E510" s="59" t="s">
        <v>6764</v>
      </c>
      <c r="F510" s="60"/>
      <c r="G510" s="61" t="s">
        <v>6764</v>
      </c>
      <c r="H510" s="83"/>
      <c r="I510" s="89" t="e">
        <v>#N/A</v>
      </c>
      <c r="J510" s="65" t="e">
        <v>#N/A</v>
      </c>
      <c r="K510" s="66"/>
      <c r="L510" s="66"/>
      <c r="M510" s="66"/>
      <c r="N510" s="66"/>
      <c r="O510" s="127" t="s">
        <v>6559</v>
      </c>
      <c r="P510" s="59" t="e">
        <v>#N/A</v>
      </c>
      <c r="Q510" s="67" t="e">
        <v>#N/A</v>
      </c>
      <c r="R510" s="68" t="e">
        <v>#N/A</v>
      </c>
      <c r="S510" s="62" t="e">
        <v>#N/A</v>
      </c>
      <c r="T510" s="62" t="e">
        <v>#N/A</v>
      </c>
      <c r="U510" s="63">
        <v>0.0</v>
      </c>
      <c r="V510" s="69" t="e">
        <v>#N/A</v>
      </c>
      <c r="W510" s="70" t="e">
        <v>#N/A</v>
      </c>
      <c r="X510" s="64" t="s">
        <v>6764</v>
      </c>
      <c r="Y510" s="64" t="s">
        <v>6764</v>
      </c>
      <c r="Z510" s="66" t="s">
        <v>6597</v>
      </c>
      <c r="AA510" s="71"/>
    </row>
    <row r="511" ht="15.75" hidden="1" customHeight="1">
      <c r="A511" s="56" t="s">
        <v>6764</v>
      </c>
      <c r="B511" s="56" t="s">
        <v>6764</v>
      </c>
      <c r="C511" s="57"/>
      <c r="D511" s="127" t="s">
        <v>6559</v>
      </c>
      <c r="E511" s="59" t="s">
        <v>6764</v>
      </c>
      <c r="F511" s="60"/>
      <c r="G511" s="61" t="s">
        <v>6764</v>
      </c>
      <c r="H511" s="83"/>
      <c r="I511" s="89" t="e">
        <v>#N/A</v>
      </c>
      <c r="J511" s="65" t="e">
        <v>#N/A</v>
      </c>
      <c r="K511" s="66"/>
      <c r="L511" s="66"/>
      <c r="M511" s="66"/>
      <c r="N511" s="66"/>
      <c r="O511" s="127" t="s">
        <v>6559</v>
      </c>
      <c r="P511" s="59" t="e">
        <v>#N/A</v>
      </c>
      <c r="Q511" s="67" t="e">
        <v>#N/A</v>
      </c>
      <c r="R511" s="68" t="e">
        <v>#N/A</v>
      </c>
      <c r="S511" s="62" t="e">
        <v>#N/A</v>
      </c>
      <c r="T511" s="62" t="e">
        <v>#N/A</v>
      </c>
      <c r="U511" s="63">
        <v>0.0</v>
      </c>
      <c r="V511" s="69" t="e">
        <v>#N/A</v>
      </c>
      <c r="W511" s="70" t="e">
        <v>#N/A</v>
      </c>
      <c r="X511" s="64" t="s">
        <v>6764</v>
      </c>
      <c r="Y511" s="64" t="s">
        <v>6764</v>
      </c>
      <c r="Z511" s="66" t="s">
        <v>6597</v>
      </c>
      <c r="AA511" s="71"/>
    </row>
    <row r="512" ht="15.75" hidden="1" customHeight="1">
      <c r="A512" s="56" t="s">
        <v>6764</v>
      </c>
      <c r="B512" s="56" t="s">
        <v>6764</v>
      </c>
      <c r="C512" s="57"/>
      <c r="D512" s="127" t="s">
        <v>6559</v>
      </c>
      <c r="E512" s="59" t="s">
        <v>6764</v>
      </c>
      <c r="F512" s="60"/>
      <c r="G512" s="61" t="s">
        <v>6764</v>
      </c>
      <c r="H512" s="83"/>
      <c r="I512" s="89" t="e">
        <v>#N/A</v>
      </c>
      <c r="J512" s="65" t="e">
        <v>#N/A</v>
      </c>
      <c r="K512" s="66"/>
      <c r="L512" s="66"/>
      <c r="M512" s="66"/>
      <c r="N512" s="66"/>
      <c r="O512" s="127" t="s">
        <v>6559</v>
      </c>
      <c r="P512" s="59" t="e">
        <v>#N/A</v>
      </c>
      <c r="Q512" s="67" t="e">
        <v>#N/A</v>
      </c>
      <c r="R512" s="68" t="e">
        <v>#N/A</v>
      </c>
      <c r="S512" s="62" t="e">
        <v>#N/A</v>
      </c>
      <c r="T512" s="62" t="e">
        <v>#N/A</v>
      </c>
      <c r="U512" s="63">
        <v>0.0</v>
      </c>
      <c r="V512" s="69" t="e">
        <v>#N/A</v>
      </c>
      <c r="W512" s="70" t="e">
        <v>#N/A</v>
      </c>
      <c r="X512" s="64" t="s">
        <v>6764</v>
      </c>
      <c r="Y512" s="64" t="s">
        <v>6764</v>
      </c>
      <c r="Z512" s="66" t="s">
        <v>6597</v>
      </c>
      <c r="AA512" s="71"/>
    </row>
    <row r="513" ht="15.75" hidden="1" customHeight="1">
      <c r="A513" s="56" t="s">
        <v>6764</v>
      </c>
      <c r="B513" s="56" t="s">
        <v>6764</v>
      </c>
      <c r="C513" s="57"/>
      <c r="D513" s="127" t="s">
        <v>6559</v>
      </c>
      <c r="E513" s="59" t="s">
        <v>6764</v>
      </c>
      <c r="F513" s="60"/>
      <c r="G513" s="61" t="s">
        <v>6764</v>
      </c>
      <c r="H513" s="83"/>
      <c r="I513" s="89" t="e">
        <v>#N/A</v>
      </c>
      <c r="J513" s="65" t="e">
        <v>#N/A</v>
      </c>
      <c r="K513" s="66"/>
      <c r="L513" s="66"/>
      <c r="M513" s="66"/>
      <c r="N513" s="66"/>
      <c r="O513" s="127" t="s">
        <v>6559</v>
      </c>
      <c r="P513" s="59" t="e">
        <v>#N/A</v>
      </c>
      <c r="Q513" s="67" t="e">
        <v>#N/A</v>
      </c>
      <c r="R513" s="68" t="e">
        <v>#N/A</v>
      </c>
      <c r="S513" s="62" t="e">
        <v>#N/A</v>
      </c>
      <c r="T513" s="62" t="e">
        <v>#N/A</v>
      </c>
      <c r="U513" s="63">
        <v>0.0</v>
      </c>
      <c r="V513" s="69" t="e">
        <v>#N/A</v>
      </c>
      <c r="W513" s="70" t="e">
        <v>#N/A</v>
      </c>
      <c r="X513" s="64" t="s">
        <v>6764</v>
      </c>
      <c r="Y513" s="64" t="s">
        <v>6764</v>
      </c>
      <c r="Z513" s="66" t="s">
        <v>6597</v>
      </c>
      <c r="AA513" s="71"/>
    </row>
    <row r="514" ht="15.75" hidden="1" customHeight="1">
      <c r="A514" s="56" t="s">
        <v>6764</v>
      </c>
      <c r="B514" s="56" t="s">
        <v>6764</v>
      </c>
      <c r="C514" s="57"/>
      <c r="D514" s="127" t="s">
        <v>6559</v>
      </c>
      <c r="E514" s="59" t="s">
        <v>6764</v>
      </c>
      <c r="F514" s="60"/>
      <c r="G514" s="61" t="s">
        <v>6764</v>
      </c>
      <c r="H514" s="83"/>
      <c r="I514" s="89" t="e">
        <v>#N/A</v>
      </c>
      <c r="J514" s="65" t="e">
        <v>#N/A</v>
      </c>
      <c r="K514" s="66"/>
      <c r="L514" s="66"/>
      <c r="M514" s="66"/>
      <c r="N514" s="66"/>
      <c r="O514" s="127" t="s">
        <v>6559</v>
      </c>
      <c r="P514" s="59" t="e">
        <v>#N/A</v>
      </c>
      <c r="Q514" s="67" t="e">
        <v>#N/A</v>
      </c>
      <c r="R514" s="68" t="e">
        <v>#N/A</v>
      </c>
      <c r="S514" s="62" t="e">
        <v>#N/A</v>
      </c>
      <c r="T514" s="62" t="e">
        <v>#N/A</v>
      </c>
      <c r="U514" s="63">
        <v>0.0</v>
      </c>
      <c r="V514" s="69" t="e">
        <v>#N/A</v>
      </c>
      <c r="W514" s="70" t="e">
        <v>#N/A</v>
      </c>
      <c r="X514" s="64" t="s">
        <v>6764</v>
      </c>
      <c r="Y514" s="64" t="s">
        <v>6764</v>
      </c>
      <c r="Z514" s="66" t="s">
        <v>6597</v>
      </c>
      <c r="AA514" s="71"/>
    </row>
    <row r="515" ht="15.75" hidden="1" customHeight="1">
      <c r="A515" s="56" t="s">
        <v>6764</v>
      </c>
      <c r="B515" s="56" t="s">
        <v>6764</v>
      </c>
      <c r="C515" s="57"/>
      <c r="D515" s="127" t="s">
        <v>6559</v>
      </c>
      <c r="E515" s="59" t="s">
        <v>6764</v>
      </c>
      <c r="F515" s="60"/>
      <c r="G515" s="61" t="s">
        <v>6764</v>
      </c>
      <c r="H515" s="83"/>
      <c r="I515" s="89" t="e">
        <v>#N/A</v>
      </c>
      <c r="J515" s="65" t="e">
        <v>#N/A</v>
      </c>
      <c r="K515" s="66"/>
      <c r="L515" s="66"/>
      <c r="M515" s="66"/>
      <c r="N515" s="66"/>
      <c r="O515" s="127" t="s">
        <v>6559</v>
      </c>
      <c r="P515" s="59" t="e">
        <v>#N/A</v>
      </c>
      <c r="Q515" s="67" t="e">
        <v>#N/A</v>
      </c>
      <c r="R515" s="68" t="e">
        <v>#N/A</v>
      </c>
      <c r="S515" s="62" t="e">
        <v>#N/A</v>
      </c>
      <c r="T515" s="62" t="e">
        <v>#N/A</v>
      </c>
      <c r="U515" s="63">
        <v>0.0</v>
      </c>
      <c r="V515" s="69" t="e">
        <v>#N/A</v>
      </c>
      <c r="W515" s="70" t="e">
        <v>#N/A</v>
      </c>
      <c r="X515" s="64" t="s">
        <v>6764</v>
      </c>
      <c r="Y515" s="64" t="s">
        <v>6764</v>
      </c>
      <c r="Z515" s="66" t="s">
        <v>6597</v>
      </c>
      <c r="AA515" s="71"/>
    </row>
    <row r="516" ht="15.75" hidden="1" customHeight="1">
      <c r="A516" s="56" t="s">
        <v>6764</v>
      </c>
      <c r="B516" s="56" t="s">
        <v>6764</v>
      </c>
      <c r="C516" s="57"/>
      <c r="D516" s="127" t="s">
        <v>6559</v>
      </c>
      <c r="E516" s="59" t="s">
        <v>6764</v>
      </c>
      <c r="F516" s="60"/>
      <c r="G516" s="61" t="s">
        <v>6764</v>
      </c>
      <c r="H516" s="83"/>
      <c r="I516" s="89" t="e">
        <v>#N/A</v>
      </c>
      <c r="J516" s="65" t="e">
        <v>#N/A</v>
      </c>
      <c r="K516" s="66"/>
      <c r="L516" s="66"/>
      <c r="M516" s="66"/>
      <c r="N516" s="66"/>
      <c r="O516" s="127" t="s">
        <v>6559</v>
      </c>
      <c r="P516" s="59" t="e">
        <v>#N/A</v>
      </c>
      <c r="Q516" s="67" t="e">
        <v>#N/A</v>
      </c>
      <c r="R516" s="68" t="e">
        <v>#N/A</v>
      </c>
      <c r="S516" s="62" t="e">
        <v>#N/A</v>
      </c>
      <c r="T516" s="62" t="e">
        <v>#N/A</v>
      </c>
      <c r="U516" s="63">
        <v>0.0</v>
      </c>
      <c r="V516" s="69" t="e">
        <v>#N/A</v>
      </c>
      <c r="W516" s="70" t="e">
        <v>#N/A</v>
      </c>
      <c r="X516" s="64" t="s">
        <v>6764</v>
      </c>
      <c r="Y516" s="64" t="s">
        <v>6764</v>
      </c>
      <c r="Z516" s="66" t="s">
        <v>6597</v>
      </c>
      <c r="AA516" s="71"/>
    </row>
    <row r="517" ht="15.75" hidden="1" customHeight="1">
      <c r="A517" s="56" t="s">
        <v>6764</v>
      </c>
      <c r="B517" s="56" t="s">
        <v>6764</v>
      </c>
      <c r="C517" s="57"/>
      <c r="D517" s="127" t="s">
        <v>6559</v>
      </c>
      <c r="E517" s="59" t="s">
        <v>6764</v>
      </c>
      <c r="F517" s="60"/>
      <c r="G517" s="61" t="s">
        <v>6764</v>
      </c>
      <c r="H517" s="83"/>
      <c r="I517" s="89" t="e">
        <v>#N/A</v>
      </c>
      <c r="J517" s="65" t="e">
        <v>#N/A</v>
      </c>
      <c r="K517" s="66"/>
      <c r="L517" s="66"/>
      <c r="M517" s="66"/>
      <c r="N517" s="66"/>
      <c r="O517" s="127" t="s">
        <v>6559</v>
      </c>
      <c r="P517" s="59" t="e">
        <v>#N/A</v>
      </c>
      <c r="Q517" s="67" t="e">
        <v>#N/A</v>
      </c>
      <c r="R517" s="68" t="e">
        <v>#N/A</v>
      </c>
      <c r="S517" s="62" t="e">
        <v>#N/A</v>
      </c>
      <c r="T517" s="62" t="e">
        <v>#N/A</v>
      </c>
      <c r="U517" s="63">
        <v>0.0</v>
      </c>
      <c r="V517" s="69" t="e">
        <v>#N/A</v>
      </c>
      <c r="W517" s="70" t="e">
        <v>#N/A</v>
      </c>
      <c r="X517" s="64" t="s">
        <v>6764</v>
      </c>
      <c r="Y517" s="64" t="s">
        <v>6764</v>
      </c>
      <c r="Z517" s="66" t="s">
        <v>6597</v>
      </c>
      <c r="AA517" s="71"/>
    </row>
    <row r="518" ht="15.75" hidden="1" customHeight="1">
      <c r="A518" s="56" t="s">
        <v>6764</v>
      </c>
      <c r="B518" s="56" t="s">
        <v>6764</v>
      </c>
      <c r="C518" s="57"/>
      <c r="D518" s="127" t="s">
        <v>6559</v>
      </c>
      <c r="E518" s="59" t="s">
        <v>6764</v>
      </c>
      <c r="F518" s="60"/>
      <c r="G518" s="61" t="s">
        <v>6764</v>
      </c>
      <c r="H518" s="83"/>
      <c r="I518" s="89" t="e">
        <v>#N/A</v>
      </c>
      <c r="J518" s="65" t="e">
        <v>#N/A</v>
      </c>
      <c r="K518" s="66"/>
      <c r="L518" s="66"/>
      <c r="M518" s="66"/>
      <c r="N518" s="66"/>
      <c r="O518" s="127" t="s">
        <v>6559</v>
      </c>
      <c r="P518" s="59" t="e">
        <v>#N/A</v>
      </c>
      <c r="Q518" s="67" t="e">
        <v>#N/A</v>
      </c>
      <c r="R518" s="68" t="e">
        <v>#N/A</v>
      </c>
      <c r="S518" s="62" t="e">
        <v>#N/A</v>
      </c>
      <c r="T518" s="62" t="e">
        <v>#N/A</v>
      </c>
      <c r="U518" s="63">
        <v>0.0</v>
      </c>
      <c r="V518" s="69" t="e">
        <v>#N/A</v>
      </c>
      <c r="W518" s="70" t="e">
        <v>#N/A</v>
      </c>
      <c r="X518" s="64" t="s">
        <v>6764</v>
      </c>
      <c r="Y518" s="64" t="s">
        <v>6764</v>
      </c>
      <c r="Z518" s="66" t="s">
        <v>6597</v>
      </c>
      <c r="AA518" s="71"/>
    </row>
    <row r="519" ht="15.75" hidden="1" customHeight="1">
      <c r="A519" s="56" t="s">
        <v>6764</v>
      </c>
      <c r="B519" s="56" t="s">
        <v>6764</v>
      </c>
      <c r="C519" s="57"/>
      <c r="D519" s="127" t="s">
        <v>6559</v>
      </c>
      <c r="E519" s="59" t="s">
        <v>6764</v>
      </c>
      <c r="F519" s="60"/>
      <c r="G519" s="61" t="s">
        <v>6764</v>
      </c>
      <c r="H519" s="83"/>
      <c r="I519" s="89" t="e">
        <v>#N/A</v>
      </c>
      <c r="J519" s="65" t="e">
        <v>#N/A</v>
      </c>
      <c r="K519" s="66"/>
      <c r="L519" s="66"/>
      <c r="M519" s="66"/>
      <c r="N519" s="66"/>
      <c r="O519" s="127" t="s">
        <v>6559</v>
      </c>
      <c r="P519" s="59" t="e">
        <v>#N/A</v>
      </c>
      <c r="Q519" s="67" t="e">
        <v>#N/A</v>
      </c>
      <c r="R519" s="68" t="e">
        <v>#N/A</v>
      </c>
      <c r="S519" s="62" t="e">
        <v>#N/A</v>
      </c>
      <c r="T519" s="62" t="e">
        <v>#N/A</v>
      </c>
      <c r="U519" s="63">
        <v>0.0</v>
      </c>
      <c r="V519" s="69" t="e">
        <v>#N/A</v>
      </c>
      <c r="W519" s="70" t="e">
        <v>#N/A</v>
      </c>
      <c r="X519" s="64" t="s">
        <v>6764</v>
      </c>
      <c r="Y519" s="64" t="s">
        <v>6764</v>
      </c>
      <c r="Z519" s="66" t="s">
        <v>6597</v>
      </c>
      <c r="AA519" s="71"/>
    </row>
    <row r="520" ht="15.75" hidden="1" customHeight="1">
      <c r="A520" s="56" t="s">
        <v>6764</v>
      </c>
      <c r="B520" s="56" t="s">
        <v>6764</v>
      </c>
      <c r="C520" s="57"/>
      <c r="D520" s="127" t="s">
        <v>6559</v>
      </c>
      <c r="E520" s="59" t="s">
        <v>6764</v>
      </c>
      <c r="F520" s="60"/>
      <c r="G520" s="61" t="s">
        <v>6764</v>
      </c>
      <c r="H520" s="83"/>
      <c r="I520" s="89" t="e">
        <v>#N/A</v>
      </c>
      <c r="J520" s="65" t="e">
        <v>#N/A</v>
      </c>
      <c r="K520" s="66"/>
      <c r="L520" s="66"/>
      <c r="M520" s="66"/>
      <c r="N520" s="66"/>
      <c r="O520" s="127" t="s">
        <v>6559</v>
      </c>
      <c r="P520" s="59" t="e">
        <v>#N/A</v>
      </c>
      <c r="Q520" s="67" t="e">
        <v>#N/A</v>
      </c>
      <c r="R520" s="68" t="e">
        <v>#N/A</v>
      </c>
      <c r="S520" s="62" t="e">
        <v>#N/A</v>
      </c>
      <c r="T520" s="62" t="e">
        <v>#N/A</v>
      </c>
      <c r="U520" s="63">
        <v>0.0</v>
      </c>
      <c r="V520" s="69" t="e">
        <v>#N/A</v>
      </c>
      <c r="W520" s="70" t="e">
        <v>#N/A</v>
      </c>
      <c r="X520" s="64" t="s">
        <v>6764</v>
      </c>
      <c r="Y520" s="64" t="s">
        <v>6764</v>
      </c>
      <c r="Z520" s="66" t="s">
        <v>6597</v>
      </c>
      <c r="AA520" s="71"/>
    </row>
    <row r="521" ht="15.75" hidden="1" customHeight="1">
      <c r="A521" s="56" t="s">
        <v>6764</v>
      </c>
      <c r="B521" s="56" t="s">
        <v>6764</v>
      </c>
      <c r="C521" s="57"/>
      <c r="D521" s="127" t="s">
        <v>6559</v>
      </c>
      <c r="E521" s="59" t="s">
        <v>6764</v>
      </c>
      <c r="F521" s="60"/>
      <c r="G521" s="61" t="s">
        <v>6764</v>
      </c>
      <c r="H521" s="83"/>
      <c r="I521" s="89" t="e">
        <v>#N/A</v>
      </c>
      <c r="J521" s="65" t="e">
        <v>#N/A</v>
      </c>
      <c r="K521" s="66"/>
      <c r="L521" s="66"/>
      <c r="M521" s="66"/>
      <c r="N521" s="66"/>
      <c r="O521" s="127" t="s">
        <v>6559</v>
      </c>
      <c r="P521" s="59" t="e">
        <v>#N/A</v>
      </c>
      <c r="Q521" s="67" t="e">
        <v>#N/A</v>
      </c>
      <c r="R521" s="68" t="e">
        <v>#N/A</v>
      </c>
      <c r="S521" s="62" t="e">
        <v>#N/A</v>
      </c>
      <c r="T521" s="62" t="e">
        <v>#N/A</v>
      </c>
      <c r="U521" s="63">
        <v>0.0</v>
      </c>
      <c r="V521" s="69" t="e">
        <v>#N/A</v>
      </c>
      <c r="W521" s="70" t="e">
        <v>#N/A</v>
      </c>
      <c r="X521" s="64" t="s">
        <v>6764</v>
      </c>
      <c r="Y521" s="64" t="s">
        <v>6764</v>
      </c>
      <c r="Z521" s="66" t="s">
        <v>6597</v>
      </c>
      <c r="AA521" s="71"/>
    </row>
    <row r="522" ht="15.75" hidden="1" customHeight="1">
      <c r="A522" s="56" t="s">
        <v>6764</v>
      </c>
      <c r="B522" s="56" t="s">
        <v>6764</v>
      </c>
      <c r="C522" s="57"/>
      <c r="D522" s="127" t="s">
        <v>6559</v>
      </c>
      <c r="E522" s="59" t="s">
        <v>6764</v>
      </c>
      <c r="F522" s="60"/>
      <c r="G522" s="61" t="s">
        <v>6764</v>
      </c>
      <c r="H522" s="83"/>
      <c r="I522" s="89" t="e">
        <v>#N/A</v>
      </c>
      <c r="J522" s="65" t="e">
        <v>#N/A</v>
      </c>
      <c r="K522" s="66"/>
      <c r="L522" s="66"/>
      <c r="M522" s="66"/>
      <c r="N522" s="66"/>
      <c r="O522" s="127" t="s">
        <v>6559</v>
      </c>
      <c r="P522" s="59" t="e">
        <v>#N/A</v>
      </c>
      <c r="Q522" s="67" t="e">
        <v>#N/A</v>
      </c>
      <c r="R522" s="68" t="e">
        <v>#N/A</v>
      </c>
      <c r="S522" s="62" t="e">
        <v>#N/A</v>
      </c>
      <c r="T522" s="62" t="e">
        <v>#N/A</v>
      </c>
      <c r="U522" s="63">
        <v>0.0</v>
      </c>
      <c r="V522" s="69" t="e">
        <v>#N/A</v>
      </c>
      <c r="W522" s="70" t="e">
        <v>#N/A</v>
      </c>
      <c r="X522" s="64" t="s">
        <v>6764</v>
      </c>
      <c r="Y522" s="64" t="s">
        <v>6764</v>
      </c>
      <c r="Z522" s="66" t="s">
        <v>6597</v>
      </c>
      <c r="AA522" s="71"/>
    </row>
    <row r="523" ht="15.75" hidden="1" customHeight="1">
      <c r="A523" s="56" t="s">
        <v>6764</v>
      </c>
      <c r="B523" s="56" t="s">
        <v>6764</v>
      </c>
      <c r="C523" s="57"/>
      <c r="D523" s="127" t="s">
        <v>6559</v>
      </c>
      <c r="E523" s="59" t="s">
        <v>6764</v>
      </c>
      <c r="F523" s="60"/>
      <c r="G523" s="61" t="s">
        <v>6764</v>
      </c>
      <c r="H523" s="83"/>
      <c r="I523" s="89" t="e">
        <v>#N/A</v>
      </c>
      <c r="J523" s="65" t="e">
        <v>#N/A</v>
      </c>
      <c r="K523" s="66"/>
      <c r="L523" s="66"/>
      <c r="M523" s="66"/>
      <c r="N523" s="66"/>
      <c r="O523" s="127" t="s">
        <v>6559</v>
      </c>
      <c r="P523" s="59" t="e">
        <v>#N/A</v>
      </c>
      <c r="Q523" s="67" t="e">
        <v>#N/A</v>
      </c>
      <c r="R523" s="68" t="e">
        <v>#N/A</v>
      </c>
      <c r="S523" s="62" t="e">
        <v>#N/A</v>
      </c>
      <c r="T523" s="62" t="e">
        <v>#N/A</v>
      </c>
      <c r="U523" s="63">
        <v>0.0</v>
      </c>
      <c r="V523" s="69" t="e">
        <v>#N/A</v>
      </c>
      <c r="W523" s="70" t="e">
        <v>#N/A</v>
      </c>
      <c r="X523" s="64" t="s">
        <v>6764</v>
      </c>
      <c r="Y523" s="64" t="s">
        <v>6764</v>
      </c>
      <c r="Z523" s="66" t="s">
        <v>6597</v>
      </c>
      <c r="AA523" s="71"/>
    </row>
    <row r="524" ht="15.75" hidden="1" customHeight="1">
      <c r="A524" s="56" t="s">
        <v>6764</v>
      </c>
      <c r="B524" s="56" t="s">
        <v>6764</v>
      </c>
      <c r="C524" s="57"/>
      <c r="D524" s="127" t="s">
        <v>6559</v>
      </c>
      <c r="E524" s="59" t="s">
        <v>6764</v>
      </c>
      <c r="F524" s="60"/>
      <c r="G524" s="61" t="s">
        <v>6764</v>
      </c>
      <c r="H524" s="83"/>
      <c r="I524" s="89" t="e">
        <v>#N/A</v>
      </c>
      <c r="J524" s="65" t="e">
        <v>#N/A</v>
      </c>
      <c r="K524" s="66"/>
      <c r="L524" s="66"/>
      <c r="M524" s="66"/>
      <c r="N524" s="66"/>
      <c r="O524" s="127" t="s">
        <v>6559</v>
      </c>
      <c r="P524" s="59" t="e">
        <v>#N/A</v>
      </c>
      <c r="Q524" s="67" t="e">
        <v>#N/A</v>
      </c>
      <c r="R524" s="68" t="e">
        <v>#N/A</v>
      </c>
      <c r="S524" s="62" t="e">
        <v>#N/A</v>
      </c>
      <c r="T524" s="62" t="e">
        <v>#N/A</v>
      </c>
      <c r="U524" s="63">
        <v>0.0</v>
      </c>
      <c r="V524" s="69" t="e">
        <v>#N/A</v>
      </c>
      <c r="W524" s="70" t="e">
        <v>#N/A</v>
      </c>
      <c r="X524" s="64" t="s">
        <v>6764</v>
      </c>
      <c r="Y524" s="64" t="s">
        <v>6764</v>
      </c>
      <c r="Z524" s="66" t="s">
        <v>6597</v>
      </c>
      <c r="AA524" s="71"/>
    </row>
    <row r="525" ht="15.75" hidden="1" customHeight="1">
      <c r="A525" s="56" t="s">
        <v>6764</v>
      </c>
      <c r="B525" s="56" t="s">
        <v>6764</v>
      </c>
      <c r="C525" s="57"/>
      <c r="D525" s="127" t="s">
        <v>6559</v>
      </c>
      <c r="E525" s="59" t="s">
        <v>6764</v>
      </c>
      <c r="F525" s="60"/>
      <c r="G525" s="61" t="s">
        <v>6764</v>
      </c>
      <c r="H525" s="83"/>
      <c r="I525" s="89" t="e">
        <v>#N/A</v>
      </c>
      <c r="J525" s="65" t="e">
        <v>#N/A</v>
      </c>
      <c r="K525" s="66"/>
      <c r="L525" s="66"/>
      <c r="M525" s="66"/>
      <c r="N525" s="66"/>
      <c r="O525" s="127" t="s">
        <v>6559</v>
      </c>
      <c r="P525" s="59" t="e">
        <v>#N/A</v>
      </c>
      <c r="Q525" s="67" t="e">
        <v>#N/A</v>
      </c>
      <c r="R525" s="68" t="e">
        <v>#N/A</v>
      </c>
      <c r="S525" s="62" t="e">
        <v>#N/A</v>
      </c>
      <c r="T525" s="62" t="e">
        <v>#N/A</v>
      </c>
      <c r="U525" s="63">
        <v>0.0</v>
      </c>
      <c r="V525" s="69" t="e">
        <v>#N/A</v>
      </c>
      <c r="W525" s="70" t="e">
        <v>#N/A</v>
      </c>
      <c r="X525" s="64" t="s">
        <v>6764</v>
      </c>
      <c r="Y525" s="64" t="s">
        <v>6764</v>
      </c>
      <c r="Z525" s="66" t="s">
        <v>6597</v>
      </c>
      <c r="AA525" s="71"/>
    </row>
    <row r="526" ht="15.75" hidden="1" customHeight="1">
      <c r="A526" s="56" t="s">
        <v>6764</v>
      </c>
      <c r="B526" s="56" t="s">
        <v>6764</v>
      </c>
      <c r="C526" s="57"/>
      <c r="D526" s="127" t="s">
        <v>6559</v>
      </c>
      <c r="E526" s="59" t="s">
        <v>6764</v>
      </c>
      <c r="F526" s="60"/>
      <c r="G526" s="61" t="s">
        <v>6764</v>
      </c>
      <c r="H526" s="83"/>
      <c r="I526" s="89" t="e">
        <v>#N/A</v>
      </c>
      <c r="J526" s="65" t="e">
        <v>#N/A</v>
      </c>
      <c r="K526" s="66"/>
      <c r="L526" s="66"/>
      <c r="M526" s="66"/>
      <c r="N526" s="66"/>
      <c r="O526" s="127" t="s">
        <v>6559</v>
      </c>
      <c r="P526" s="59" t="e">
        <v>#N/A</v>
      </c>
      <c r="Q526" s="67" t="e">
        <v>#N/A</v>
      </c>
      <c r="R526" s="68" t="e">
        <v>#N/A</v>
      </c>
      <c r="S526" s="62" t="e">
        <v>#N/A</v>
      </c>
      <c r="T526" s="62" t="e">
        <v>#N/A</v>
      </c>
      <c r="U526" s="63">
        <v>0.0</v>
      </c>
      <c r="V526" s="69" t="e">
        <v>#N/A</v>
      </c>
      <c r="W526" s="70" t="e">
        <v>#N/A</v>
      </c>
      <c r="X526" s="64" t="s">
        <v>6764</v>
      </c>
      <c r="Y526" s="64" t="s">
        <v>6764</v>
      </c>
      <c r="Z526" s="66" t="s">
        <v>6597</v>
      </c>
      <c r="AA526" s="71"/>
    </row>
    <row r="527" ht="15.75" hidden="1" customHeight="1">
      <c r="A527" s="56" t="s">
        <v>6764</v>
      </c>
      <c r="B527" s="56" t="s">
        <v>6764</v>
      </c>
      <c r="C527" s="57"/>
      <c r="D527" s="127" t="s">
        <v>6559</v>
      </c>
      <c r="E527" s="59" t="s">
        <v>6764</v>
      </c>
      <c r="F527" s="60"/>
      <c r="G527" s="61" t="s">
        <v>6764</v>
      </c>
      <c r="H527" s="83"/>
      <c r="I527" s="89" t="e">
        <v>#N/A</v>
      </c>
      <c r="J527" s="65" t="e">
        <v>#N/A</v>
      </c>
      <c r="K527" s="66"/>
      <c r="L527" s="66"/>
      <c r="M527" s="66"/>
      <c r="N527" s="66"/>
      <c r="O527" s="127" t="s">
        <v>6559</v>
      </c>
      <c r="P527" s="59" t="e">
        <v>#N/A</v>
      </c>
      <c r="Q527" s="67" t="e">
        <v>#N/A</v>
      </c>
      <c r="R527" s="68" t="e">
        <v>#N/A</v>
      </c>
      <c r="S527" s="62" t="e">
        <v>#N/A</v>
      </c>
      <c r="T527" s="62" t="e">
        <v>#N/A</v>
      </c>
      <c r="U527" s="63">
        <v>0.0</v>
      </c>
      <c r="V527" s="69" t="e">
        <v>#N/A</v>
      </c>
      <c r="W527" s="70" t="e">
        <v>#N/A</v>
      </c>
      <c r="X527" s="64" t="s">
        <v>6764</v>
      </c>
      <c r="Y527" s="64" t="s">
        <v>6764</v>
      </c>
      <c r="Z527" s="66" t="s">
        <v>6597</v>
      </c>
      <c r="AA527" s="71"/>
    </row>
    <row r="528" ht="15.75" hidden="1" customHeight="1">
      <c r="A528" s="56" t="s">
        <v>6764</v>
      </c>
      <c r="B528" s="56" t="s">
        <v>6764</v>
      </c>
      <c r="C528" s="57"/>
      <c r="D528" s="127" t="s">
        <v>6559</v>
      </c>
      <c r="E528" s="59" t="s">
        <v>6764</v>
      </c>
      <c r="F528" s="60"/>
      <c r="G528" s="61" t="s">
        <v>6764</v>
      </c>
      <c r="H528" s="83"/>
      <c r="I528" s="89" t="e">
        <v>#N/A</v>
      </c>
      <c r="J528" s="65" t="e">
        <v>#N/A</v>
      </c>
      <c r="K528" s="66"/>
      <c r="L528" s="66"/>
      <c r="M528" s="66"/>
      <c r="N528" s="66"/>
      <c r="O528" s="127" t="s">
        <v>6559</v>
      </c>
      <c r="P528" s="59" t="e">
        <v>#N/A</v>
      </c>
      <c r="Q528" s="67" t="e">
        <v>#N/A</v>
      </c>
      <c r="R528" s="68" t="e">
        <v>#N/A</v>
      </c>
      <c r="S528" s="62" t="e">
        <v>#N/A</v>
      </c>
      <c r="T528" s="62" t="e">
        <v>#N/A</v>
      </c>
      <c r="U528" s="63">
        <v>0.0</v>
      </c>
      <c r="V528" s="69" t="e">
        <v>#N/A</v>
      </c>
      <c r="W528" s="70" t="e">
        <v>#N/A</v>
      </c>
      <c r="X528" s="64" t="s">
        <v>6764</v>
      </c>
      <c r="Y528" s="64" t="s">
        <v>6764</v>
      </c>
      <c r="Z528" s="66" t="s">
        <v>6597</v>
      </c>
      <c r="AA528" s="71"/>
    </row>
    <row r="529" ht="15.75" hidden="1" customHeight="1">
      <c r="A529" s="56" t="s">
        <v>6764</v>
      </c>
      <c r="B529" s="56" t="s">
        <v>6764</v>
      </c>
      <c r="C529" s="57"/>
      <c r="D529" s="127" t="s">
        <v>6559</v>
      </c>
      <c r="E529" s="59" t="s">
        <v>6764</v>
      </c>
      <c r="F529" s="60"/>
      <c r="G529" s="61" t="s">
        <v>6764</v>
      </c>
      <c r="H529" s="83"/>
      <c r="I529" s="89" t="e">
        <v>#N/A</v>
      </c>
      <c r="J529" s="65" t="e">
        <v>#N/A</v>
      </c>
      <c r="K529" s="66"/>
      <c r="L529" s="66"/>
      <c r="M529" s="66"/>
      <c r="N529" s="66"/>
      <c r="O529" s="127" t="s">
        <v>6559</v>
      </c>
      <c r="P529" s="59" t="e">
        <v>#N/A</v>
      </c>
      <c r="Q529" s="67" t="e">
        <v>#N/A</v>
      </c>
      <c r="R529" s="68" t="e">
        <v>#N/A</v>
      </c>
      <c r="S529" s="62" t="e">
        <v>#N/A</v>
      </c>
      <c r="T529" s="62" t="e">
        <v>#N/A</v>
      </c>
      <c r="U529" s="63">
        <v>0.0</v>
      </c>
      <c r="V529" s="69" t="e">
        <v>#N/A</v>
      </c>
      <c r="W529" s="70" t="e">
        <v>#N/A</v>
      </c>
      <c r="X529" s="64" t="s">
        <v>6764</v>
      </c>
      <c r="Y529" s="64" t="s">
        <v>6764</v>
      </c>
      <c r="Z529" s="66" t="s">
        <v>6597</v>
      </c>
      <c r="AA529" s="71"/>
    </row>
    <row r="530" ht="15.75" hidden="1" customHeight="1">
      <c r="A530" s="56" t="s">
        <v>6764</v>
      </c>
      <c r="B530" s="56" t="s">
        <v>6764</v>
      </c>
      <c r="C530" s="57"/>
      <c r="D530" s="127" t="s">
        <v>6559</v>
      </c>
      <c r="E530" s="59" t="s">
        <v>6764</v>
      </c>
      <c r="F530" s="60"/>
      <c r="G530" s="61" t="s">
        <v>6764</v>
      </c>
      <c r="H530" s="83"/>
      <c r="I530" s="89" t="e">
        <v>#N/A</v>
      </c>
      <c r="J530" s="65" t="e">
        <v>#N/A</v>
      </c>
      <c r="K530" s="66"/>
      <c r="L530" s="66"/>
      <c r="M530" s="66"/>
      <c r="N530" s="66"/>
      <c r="O530" s="127" t="s">
        <v>6559</v>
      </c>
      <c r="P530" s="59" t="e">
        <v>#N/A</v>
      </c>
      <c r="Q530" s="67" t="e">
        <v>#N/A</v>
      </c>
      <c r="R530" s="68" t="e">
        <v>#N/A</v>
      </c>
      <c r="S530" s="62" t="e">
        <v>#N/A</v>
      </c>
      <c r="T530" s="62" t="e">
        <v>#N/A</v>
      </c>
      <c r="U530" s="63">
        <v>0.0</v>
      </c>
      <c r="V530" s="69" t="e">
        <v>#N/A</v>
      </c>
      <c r="W530" s="70" t="e">
        <v>#N/A</v>
      </c>
      <c r="X530" s="64" t="s">
        <v>6764</v>
      </c>
      <c r="Y530" s="64" t="s">
        <v>6764</v>
      </c>
      <c r="Z530" s="66" t="s">
        <v>6597</v>
      </c>
      <c r="AA530" s="71"/>
    </row>
    <row r="531" ht="15.75" hidden="1" customHeight="1">
      <c r="A531" s="56" t="s">
        <v>6764</v>
      </c>
      <c r="B531" s="56" t="s">
        <v>6764</v>
      </c>
      <c r="C531" s="57"/>
      <c r="D531" s="127" t="s">
        <v>6559</v>
      </c>
      <c r="E531" s="59" t="s">
        <v>6764</v>
      </c>
      <c r="F531" s="60"/>
      <c r="G531" s="61" t="s">
        <v>6764</v>
      </c>
      <c r="H531" s="83"/>
      <c r="I531" s="89" t="e">
        <v>#N/A</v>
      </c>
      <c r="J531" s="65" t="e">
        <v>#N/A</v>
      </c>
      <c r="K531" s="66"/>
      <c r="L531" s="66"/>
      <c r="M531" s="66"/>
      <c r="N531" s="66"/>
      <c r="O531" s="127" t="s">
        <v>6559</v>
      </c>
      <c r="P531" s="59" t="e">
        <v>#N/A</v>
      </c>
      <c r="Q531" s="67" t="e">
        <v>#N/A</v>
      </c>
      <c r="R531" s="68" t="e">
        <v>#N/A</v>
      </c>
      <c r="S531" s="62" t="e">
        <v>#N/A</v>
      </c>
      <c r="T531" s="62" t="e">
        <v>#N/A</v>
      </c>
      <c r="U531" s="63">
        <v>0.0</v>
      </c>
      <c r="V531" s="69" t="e">
        <v>#N/A</v>
      </c>
      <c r="W531" s="70" t="e">
        <v>#N/A</v>
      </c>
      <c r="X531" s="64" t="s">
        <v>6764</v>
      </c>
      <c r="Y531" s="64" t="s">
        <v>6764</v>
      </c>
      <c r="Z531" s="66" t="s">
        <v>6597</v>
      </c>
      <c r="AA531" s="71"/>
    </row>
    <row r="532" ht="15.75" hidden="1" customHeight="1">
      <c r="A532" s="56" t="s">
        <v>6764</v>
      </c>
      <c r="B532" s="56" t="s">
        <v>6764</v>
      </c>
      <c r="C532" s="57"/>
      <c r="D532" s="127" t="s">
        <v>6559</v>
      </c>
      <c r="E532" s="59" t="s">
        <v>6764</v>
      </c>
      <c r="F532" s="60"/>
      <c r="G532" s="61" t="s">
        <v>6764</v>
      </c>
      <c r="H532" s="83"/>
      <c r="I532" s="89" t="e">
        <v>#N/A</v>
      </c>
      <c r="J532" s="65" t="e">
        <v>#N/A</v>
      </c>
      <c r="K532" s="66"/>
      <c r="L532" s="66"/>
      <c r="M532" s="66"/>
      <c r="N532" s="66"/>
      <c r="O532" s="127" t="s">
        <v>6559</v>
      </c>
      <c r="P532" s="59" t="e">
        <v>#N/A</v>
      </c>
      <c r="Q532" s="67" t="e">
        <v>#N/A</v>
      </c>
      <c r="R532" s="68" t="e">
        <v>#N/A</v>
      </c>
      <c r="S532" s="62" t="e">
        <v>#N/A</v>
      </c>
      <c r="T532" s="62" t="e">
        <v>#N/A</v>
      </c>
      <c r="U532" s="63">
        <v>0.0</v>
      </c>
      <c r="V532" s="69" t="e">
        <v>#N/A</v>
      </c>
      <c r="W532" s="70" t="e">
        <v>#N/A</v>
      </c>
      <c r="X532" s="64" t="s">
        <v>6764</v>
      </c>
      <c r="Y532" s="64" t="s">
        <v>6764</v>
      </c>
      <c r="Z532" s="66" t="s">
        <v>6597</v>
      </c>
      <c r="AA532" s="71"/>
    </row>
    <row r="533" ht="15.75" hidden="1" customHeight="1">
      <c r="A533" s="56" t="s">
        <v>6764</v>
      </c>
      <c r="B533" s="56" t="s">
        <v>6764</v>
      </c>
      <c r="C533" s="57"/>
      <c r="D533" s="127" t="s">
        <v>6559</v>
      </c>
      <c r="E533" s="59" t="s">
        <v>6764</v>
      </c>
      <c r="F533" s="60"/>
      <c r="G533" s="61" t="s">
        <v>6764</v>
      </c>
      <c r="H533" s="83"/>
      <c r="I533" s="89" t="e">
        <v>#N/A</v>
      </c>
      <c r="J533" s="65" t="e">
        <v>#N/A</v>
      </c>
      <c r="K533" s="66"/>
      <c r="L533" s="66"/>
      <c r="M533" s="66"/>
      <c r="N533" s="66"/>
      <c r="O533" s="127" t="s">
        <v>6559</v>
      </c>
      <c r="P533" s="59" t="e">
        <v>#N/A</v>
      </c>
      <c r="Q533" s="67" t="e">
        <v>#N/A</v>
      </c>
      <c r="R533" s="68" t="e">
        <v>#N/A</v>
      </c>
      <c r="S533" s="62" t="e">
        <v>#N/A</v>
      </c>
      <c r="T533" s="62" t="e">
        <v>#N/A</v>
      </c>
      <c r="U533" s="63">
        <v>0.0</v>
      </c>
      <c r="V533" s="69" t="e">
        <v>#N/A</v>
      </c>
      <c r="W533" s="70" t="e">
        <v>#N/A</v>
      </c>
      <c r="X533" s="64" t="s">
        <v>6764</v>
      </c>
      <c r="Y533" s="64" t="s">
        <v>6764</v>
      </c>
      <c r="Z533" s="66" t="s">
        <v>6597</v>
      </c>
      <c r="AA533" s="71"/>
    </row>
    <row r="534" ht="15.75" hidden="1" customHeight="1">
      <c r="A534" s="56" t="s">
        <v>6764</v>
      </c>
      <c r="B534" s="56" t="s">
        <v>6764</v>
      </c>
      <c r="C534" s="57"/>
      <c r="D534" s="127" t="s">
        <v>6559</v>
      </c>
      <c r="E534" s="59" t="s">
        <v>6764</v>
      </c>
      <c r="F534" s="60"/>
      <c r="G534" s="61" t="s">
        <v>6764</v>
      </c>
      <c r="H534" s="83"/>
      <c r="I534" s="89" t="e">
        <v>#N/A</v>
      </c>
      <c r="J534" s="65" t="e">
        <v>#N/A</v>
      </c>
      <c r="K534" s="66"/>
      <c r="L534" s="66"/>
      <c r="M534" s="66"/>
      <c r="N534" s="66"/>
      <c r="O534" s="127" t="s">
        <v>6559</v>
      </c>
      <c r="P534" s="59" t="e">
        <v>#N/A</v>
      </c>
      <c r="Q534" s="67" t="e">
        <v>#N/A</v>
      </c>
      <c r="R534" s="68" t="e">
        <v>#N/A</v>
      </c>
      <c r="S534" s="62" t="e">
        <v>#N/A</v>
      </c>
      <c r="T534" s="62" t="e">
        <v>#N/A</v>
      </c>
      <c r="U534" s="63">
        <v>0.0</v>
      </c>
      <c r="V534" s="69" t="e">
        <v>#N/A</v>
      </c>
      <c r="W534" s="70" t="e">
        <v>#N/A</v>
      </c>
      <c r="X534" s="64" t="s">
        <v>6764</v>
      </c>
      <c r="Y534" s="64" t="s">
        <v>6764</v>
      </c>
      <c r="Z534" s="66" t="s">
        <v>6597</v>
      </c>
      <c r="AA534" s="71"/>
    </row>
    <row r="535" ht="15.75" hidden="1" customHeight="1">
      <c r="A535" s="56" t="s">
        <v>6764</v>
      </c>
      <c r="B535" s="56" t="s">
        <v>6764</v>
      </c>
      <c r="C535" s="57"/>
      <c r="D535" s="127" t="s">
        <v>6559</v>
      </c>
      <c r="E535" s="59" t="s">
        <v>6764</v>
      </c>
      <c r="F535" s="60"/>
      <c r="G535" s="61" t="s">
        <v>6764</v>
      </c>
      <c r="H535" s="83"/>
      <c r="I535" s="89" t="e">
        <v>#N/A</v>
      </c>
      <c r="J535" s="65" t="e">
        <v>#N/A</v>
      </c>
      <c r="K535" s="66"/>
      <c r="L535" s="66"/>
      <c r="M535" s="66"/>
      <c r="N535" s="66"/>
      <c r="O535" s="127" t="s">
        <v>6559</v>
      </c>
      <c r="P535" s="59" t="e">
        <v>#N/A</v>
      </c>
      <c r="Q535" s="67" t="e">
        <v>#N/A</v>
      </c>
      <c r="R535" s="68" t="e">
        <v>#N/A</v>
      </c>
      <c r="S535" s="62" t="e">
        <v>#N/A</v>
      </c>
      <c r="T535" s="62" t="e">
        <v>#N/A</v>
      </c>
      <c r="U535" s="63">
        <v>0.0</v>
      </c>
      <c r="V535" s="69" t="e">
        <v>#N/A</v>
      </c>
      <c r="W535" s="70" t="e">
        <v>#N/A</v>
      </c>
      <c r="X535" s="64" t="s">
        <v>6764</v>
      </c>
      <c r="Y535" s="64" t="s">
        <v>6764</v>
      </c>
      <c r="Z535" s="66" t="s">
        <v>6597</v>
      </c>
      <c r="AA535" s="71"/>
    </row>
    <row r="536" ht="15.75" hidden="1" customHeight="1">
      <c r="A536" s="56" t="s">
        <v>6764</v>
      </c>
      <c r="B536" s="56" t="s">
        <v>6764</v>
      </c>
      <c r="C536" s="57"/>
      <c r="D536" s="127" t="s">
        <v>6559</v>
      </c>
      <c r="E536" s="59" t="s">
        <v>6764</v>
      </c>
      <c r="F536" s="60"/>
      <c r="G536" s="61" t="s">
        <v>6764</v>
      </c>
      <c r="H536" s="83"/>
      <c r="I536" s="89" t="e">
        <v>#N/A</v>
      </c>
      <c r="J536" s="65" t="e">
        <v>#N/A</v>
      </c>
      <c r="K536" s="66"/>
      <c r="L536" s="66"/>
      <c r="M536" s="66"/>
      <c r="N536" s="66"/>
      <c r="O536" s="127" t="s">
        <v>6559</v>
      </c>
      <c r="P536" s="59" t="e">
        <v>#N/A</v>
      </c>
      <c r="Q536" s="67" t="e">
        <v>#N/A</v>
      </c>
      <c r="R536" s="68" t="e">
        <v>#N/A</v>
      </c>
      <c r="S536" s="62" t="e">
        <v>#N/A</v>
      </c>
      <c r="T536" s="62" t="e">
        <v>#N/A</v>
      </c>
      <c r="U536" s="63">
        <v>0.0</v>
      </c>
      <c r="V536" s="69" t="e">
        <v>#N/A</v>
      </c>
      <c r="W536" s="70" t="e">
        <v>#N/A</v>
      </c>
      <c r="X536" s="64" t="s">
        <v>6764</v>
      </c>
      <c r="Y536" s="64" t="s">
        <v>6764</v>
      </c>
      <c r="Z536" s="66" t="s">
        <v>6597</v>
      </c>
      <c r="AA536" s="71"/>
    </row>
    <row r="537" ht="15.75" hidden="1" customHeight="1">
      <c r="A537" s="56" t="s">
        <v>6764</v>
      </c>
      <c r="B537" s="56" t="s">
        <v>6764</v>
      </c>
      <c r="C537" s="57"/>
      <c r="D537" s="127" t="s">
        <v>6559</v>
      </c>
      <c r="E537" s="59" t="s">
        <v>6764</v>
      </c>
      <c r="F537" s="60"/>
      <c r="G537" s="61" t="s">
        <v>6764</v>
      </c>
      <c r="H537" s="83"/>
      <c r="I537" s="89" t="e">
        <v>#N/A</v>
      </c>
      <c r="J537" s="65" t="e">
        <v>#N/A</v>
      </c>
      <c r="K537" s="66"/>
      <c r="L537" s="66"/>
      <c r="M537" s="66"/>
      <c r="N537" s="66"/>
      <c r="O537" s="127" t="s">
        <v>6559</v>
      </c>
      <c r="P537" s="59" t="e">
        <v>#N/A</v>
      </c>
      <c r="Q537" s="67" t="e">
        <v>#N/A</v>
      </c>
      <c r="R537" s="68" t="e">
        <v>#N/A</v>
      </c>
      <c r="S537" s="62" t="e">
        <v>#N/A</v>
      </c>
      <c r="T537" s="62" t="e">
        <v>#N/A</v>
      </c>
      <c r="U537" s="63">
        <v>0.0</v>
      </c>
      <c r="V537" s="69" t="e">
        <v>#N/A</v>
      </c>
      <c r="W537" s="70" t="e">
        <v>#N/A</v>
      </c>
      <c r="X537" s="64" t="s">
        <v>6764</v>
      </c>
      <c r="Y537" s="64" t="s">
        <v>6764</v>
      </c>
      <c r="Z537" s="66" t="s">
        <v>6597</v>
      </c>
      <c r="AA537" s="71"/>
    </row>
    <row r="538" ht="15.75" hidden="1" customHeight="1">
      <c r="A538" s="56" t="s">
        <v>6764</v>
      </c>
      <c r="B538" s="56" t="s">
        <v>6764</v>
      </c>
      <c r="C538" s="57"/>
      <c r="D538" s="127" t="s">
        <v>6559</v>
      </c>
      <c r="E538" s="59" t="s">
        <v>6764</v>
      </c>
      <c r="F538" s="60"/>
      <c r="G538" s="61" t="s">
        <v>6764</v>
      </c>
      <c r="H538" s="83"/>
      <c r="I538" s="89" t="e">
        <v>#N/A</v>
      </c>
      <c r="J538" s="65" t="e">
        <v>#N/A</v>
      </c>
      <c r="K538" s="66"/>
      <c r="L538" s="66"/>
      <c r="M538" s="66"/>
      <c r="N538" s="66"/>
      <c r="O538" s="127" t="s">
        <v>6559</v>
      </c>
      <c r="P538" s="59" t="e">
        <v>#N/A</v>
      </c>
      <c r="Q538" s="67" t="e">
        <v>#N/A</v>
      </c>
      <c r="R538" s="68" t="e">
        <v>#N/A</v>
      </c>
      <c r="S538" s="62" t="e">
        <v>#N/A</v>
      </c>
      <c r="T538" s="62" t="e">
        <v>#N/A</v>
      </c>
      <c r="U538" s="63">
        <v>0.0</v>
      </c>
      <c r="V538" s="69" t="e">
        <v>#N/A</v>
      </c>
      <c r="W538" s="70" t="e">
        <v>#N/A</v>
      </c>
      <c r="X538" s="64" t="s">
        <v>6764</v>
      </c>
      <c r="Y538" s="64" t="s">
        <v>6764</v>
      </c>
      <c r="Z538" s="66" t="s">
        <v>6597</v>
      </c>
      <c r="AA538" s="71"/>
    </row>
    <row r="539" ht="15.75" hidden="1" customHeight="1">
      <c r="A539" s="56" t="s">
        <v>6764</v>
      </c>
      <c r="B539" s="56" t="s">
        <v>6764</v>
      </c>
      <c r="C539" s="57"/>
      <c r="D539" s="127" t="s">
        <v>6559</v>
      </c>
      <c r="E539" s="59" t="s">
        <v>6764</v>
      </c>
      <c r="F539" s="60"/>
      <c r="G539" s="61" t="s">
        <v>6764</v>
      </c>
      <c r="H539" s="83"/>
      <c r="I539" s="89" t="e">
        <v>#N/A</v>
      </c>
      <c r="J539" s="65" t="e">
        <v>#N/A</v>
      </c>
      <c r="K539" s="66"/>
      <c r="L539" s="66"/>
      <c r="M539" s="66"/>
      <c r="N539" s="66"/>
      <c r="O539" s="127" t="s">
        <v>6559</v>
      </c>
      <c r="P539" s="59" t="e">
        <v>#N/A</v>
      </c>
      <c r="Q539" s="67" t="e">
        <v>#N/A</v>
      </c>
      <c r="R539" s="68" t="e">
        <v>#N/A</v>
      </c>
      <c r="S539" s="62" t="e">
        <v>#N/A</v>
      </c>
      <c r="T539" s="62" t="e">
        <v>#N/A</v>
      </c>
      <c r="U539" s="63">
        <v>0.0</v>
      </c>
      <c r="V539" s="69" t="e">
        <v>#N/A</v>
      </c>
      <c r="W539" s="70" t="e">
        <v>#N/A</v>
      </c>
      <c r="X539" s="64" t="s">
        <v>6764</v>
      </c>
      <c r="Y539" s="64" t="s">
        <v>6764</v>
      </c>
      <c r="Z539" s="66" t="s">
        <v>6597</v>
      </c>
      <c r="AA539" s="71"/>
    </row>
    <row r="540" ht="15.75" hidden="1" customHeight="1">
      <c r="A540" s="56" t="s">
        <v>6764</v>
      </c>
      <c r="B540" s="56" t="s">
        <v>6764</v>
      </c>
      <c r="C540" s="57"/>
      <c r="D540" s="127" t="s">
        <v>6559</v>
      </c>
      <c r="E540" s="59" t="s">
        <v>6764</v>
      </c>
      <c r="F540" s="60"/>
      <c r="G540" s="61" t="s">
        <v>6764</v>
      </c>
      <c r="H540" s="83"/>
      <c r="I540" s="89" t="e">
        <v>#N/A</v>
      </c>
      <c r="J540" s="65" t="e">
        <v>#N/A</v>
      </c>
      <c r="K540" s="66"/>
      <c r="L540" s="66"/>
      <c r="M540" s="66"/>
      <c r="N540" s="66"/>
      <c r="O540" s="127" t="s">
        <v>6559</v>
      </c>
      <c r="P540" s="59" t="e">
        <v>#N/A</v>
      </c>
      <c r="Q540" s="67" t="e">
        <v>#N/A</v>
      </c>
      <c r="R540" s="68" t="e">
        <v>#N/A</v>
      </c>
      <c r="S540" s="62" t="e">
        <v>#N/A</v>
      </c>
      <c r="T540" s="62" t="e">
        <v>#N/A</v>
      </c>
      <c r="U540" s="63">
        <v>0.0</v>
      </c>
      <c r="V540" s="69" t="e">
        <v>#N/A</v>
      </c>
      <c r="W540" s="70" t="e">
        <v>#N/A</v>
      </c>
      <c r="X540" s="64" t="s">
        <v>6764</v>
      </c>
      <c r="Y540" s="64" t="s">
        <v>6764</v>
      </c>
      <c r="Z540" s="66" t="s">
        <v>6597</v>
      </c>
      <c r="AA540" s="71"/>
    </row>
    <row r="541" ht="15.75" hidden="1" customHeight="1">
      <c r="A541" s="56" t="s">
        <v>6764</v>
      </c>
      <c r="B541" s="56" t="s">
        <v>6764</v>
      </c>
      <c r="C541" s="57"/>
      <c r="D541" s="127" t="s">
        <v>6559</v>
      </c>
      <c r="E541" s="59" t="s">
        <v>6764</v>
      </c>
      <c r="F541" s="60"/>
      <c r="G541" s="61" t="s">
        <v>6764</v>
      </c>
      <c r="H541" s="83"/>
      <c r="I541" s="89" t="e">
        <v>#N/A</v>
      </c>
      <c r="J541" s="65" t="e">
        <v>#N/A</v>
      </c>
      <c r="K541" s="66"/>
      <c r="L541" s="66"/>
      <c r="M541" s="66"/>
      <c r="N541" s="66"/>
      <c r="O541" s="127" t="s">
        <v>6559</v>
      </c>
      <c r="P541" s="59" t="e">
        <v>#N/A</v>
      </c>
      <c r="Q541" s="67" t="e">
        <v>#N/A</v>
      </c>
      <c r="R541" s="68" t="e">
        <v>#N/A</v>
      </c>
      <c r="S541" s="62" t="e">
        <v>#N/A</v>
      </c>
      <c r="T541" s="62" t="e">
        <v>#N/A</v>
      </c>
      <c r="U541" s="63">
        <v>0.0</v>
      </c>
      <c r="V541" s="69" t="e">
        <v>#N/A</v>
      </c>
      <c r="W541" s="70" t="e">
        <v>#N/A</v>
      </c>
      <c r="X541" s="64" t="s">
        <v>6764</v>
      </c>
      <c r="Y541" s="64" t="s">
        <v>6764</v>
      </c>
      <c r="Z541" s="66" t="s">
        <v>6597</v>
      </c>
      <c r="AA541" s="71"/>
    </row>
    <row r="542" ht="15.75" hidden="1" customHeight="1">
      <c r="A542" s="56" t="s">
        <v>6764</v>
      </c>
      <c r="B542" s="56" t="s">
        <v>6764</v>
      </c>
      <c r="C542" s="57"/>
      <c r="D542" s="127" t="s">
        <v>6559</v>
      </c>
      <c r="E542" s="59" t="s">
        <v>6764</v>
      </c>
      <c r="F542" s="60"/>
      <c r="G542" s="61" t="s">
        <v>6764</v>
      </c>
      <c r="H542" s="83"/>
      <c r="I542" s="89" t="e">
        <v>#N/A</v>
      </c>
      <c r="J542" s="65" t="e">
        <v>#N/A</v>
      </c>
      <c r="K542" s="66"/>
      <c r="L542" s="66"/>
      <c r="M542" s="66"/>
      <c r="N542" s="66"/>
      <c r="O542" s="127" t="s">
        <v>6559</v>
      </c>
      <c r="P542" s="59" t="e">
        <v>#N/A</v>
      </c>
      <c r="Q542" s="67" t="e">
        <v>#N/A</v>
      </c>
      <c r="R542" s="68" t="e">
        <v>#N/A</v>
      </c>
      <c r="S542" s="62" t="e">
        <v>#N/A</v>
      </c>
      <c r="T542" s="62" t="e">
        <v>#N/A</v>
      </c>
      <c r="U542" s="63">
        <v>0.0</v>
      </c>
      <c r="V542" s="69" t="e">
        <v>#N/A</v>
      </c>
      <c r="W542" s="70" t="e">
        <v>#N/A</v>
      </c>
      <c r="X542" s="64" t="s">
        <v>6764</v>
      </c>
      <c r="Y542" s="64" t="s">
        <v>6764</v>
      </c>
      <c r="Z542" s="66" t="s">
        <v>6597</v>
      </c>
      <c r="AA542" s="71"/>
    </row>
    <row r="543" ht="15.75" hidden="1" customHeight="1">
      <c r="A543" s="56" t="s">
        <v>6764</v>
      </c>
      <c r="B543" s="56" t="s">
        <v>6764</v>
      </c>
      <c r="C543" s="57"/>
      <c r="D543" s="127" t="s">
        <v>6559</v>
      </c>
      <c r="E543" s="59" t="s">
        <v>6764</v>
      </c>
      <c r="F543" s="60"/>
      <c r="G543" s="61" t="s">
        <v>6764</v>
      </c>
      <c r="H543" s="83"/>
      <c r="I543" s="89" t="e">
        <v>#N/A</v>
      </c>
      <c r="J543" s="65" t="e">
        <v>#N/A</v>
      </c>
      <c r="K543" s="66"/>
      <c r="L543" s="66"/>
      <c r="M543" s="66"/>
      <c r="N543" s="66"/>
      <c r="O543" s="127" t="s">
        <v>6559</v>
      </c>
      <c r="P543" s="59" t="e">
        <v>#N/A</v>
      </c>
      <c r="Q543" s="67" t="e">
        <v>#N/A</v>
      </c>
      <c r="R543" s="68" t="e">
        <v>#N/A</v>
      </c>
      <c r="S543" s="62" t="e">
        <v>#N/A</v>
      </c>
      <c r="T543" s="62" t="e">
        <v>#N/A</v>
      </c>
      <c r="U543" s="63">
        <v>0.0</v>
      </c>
      <c r="V543" s="69" t="e">
        <v>#N/A</v>
      </c>
      <c r="W543" s="70" t="e">
        <v>#N/A</v>
      </c>
      <c r="X543" s="64" t="s">
        <v>6764</v>
      </c>
      <c r="Y543" s="64" t="s">
        <v>6764</v>
      </c>
      <c r="Z543" s="66" t="s">
        <v>6597</v>
      </c>
      <c r="AA543" s="71"/>
    </row>
    <row r="544" ht="15.75" hidden="1" customHeight="1">
      <c r="A544" s="56" t="s">
        <v>6764</v>
      </c>
      <c r="B544" s="56" t="s">
        <v>6764</v>
      </c>
      <c r="C544" s="57"/>
      <c r="D544" s="127" t="s">
        <v>6559</v>
      </c>
      <c r="E544" s="59" t="s">
        <v>6764</v>
      </c>
      <c r="F544" s="60"/>
      <c r="G544" s="61" t="s">
        <v>6764</v>
      </c>
      <c r="H544" s="83"/>
      <c r="I544" s="89" t="e">
        <v>#N/A</v>
      </c>
      <c r="J544" s="65" t="e">
        <v>#N/A</v>
      </c>
      <c r="K544" s="66"/>
      <c r="L544" s="66"/>
      <c r="M544" s="66"/>
      <c r="N544" s="66"/>
      <c r="O544" s="127" t="s">
        <v>6559</v>
      </c>
      <c r="P544" s="59" t="e">
        <v>#N/A</v>
      </c>
      <c r="Q544" s="67" t="e">
        <v>#N/A</v>
      </c>
      <c r="R544" s="68" t="e">
        <v>#N/A</v>
      </c>
      <c r="S544" s="62" t="e">
        <v>#N/A</v>
      </c>
      <c r="T544" s="62" t="e">
        <v>#N/A</v>
      </c>
      <c r="U544" s="63">
        <v>0.0</v>
      </c>
      <c r="V544" s="69" t="e">
        <v>#N/A</v>
      </c>
      <c r="W544" s="70" t="e">
        <v>#N/A</v>
      </c>
      <c r="X544" s="64" t="s">
        <v>6764</v>
      </c>
      <c r="Y544" s="64" t="s">
        <v>6764</v>
      </c>
      <c r="Z544" s="66" t="s">
        <v>6597</v>
      </c>
      <c r="AA544" s="71"/>
    </row>
    <row r="545" ht="15.75" hidden="1" customHeight="1">
      <c r="A545" s="56" t="s">
        <v>6764</v>
      </c>
      <c r="B545" s="56" t="s">
        <v>6764</v>
      </c>
      <c r="C545" s="57"/>
      <c r="D545" s="127" t="s">
        <v>6559</v>
      </c>
      <c r="E545" s="59" t="s">
        <v>6764</v>
      </c>
      <c r="F545" s="60"/>
      <c r="G545" s="61" t="s">
        <v>6764</v>
      </c>
      <c r="H545" s="83"/>
      <c r="I545" s="89" t="e">
        <v>#N/A</v>
      </c>
      <c r="J545" s="65" t="e">
        <v>#N/A</v>
      </c>
      <c r="K545" s="66"/>
      <c r="L545" s="66"/>
      <c r="M545" s="66"/>
      <c r="N545" s="66"/>
      <c r="O545" s="127" t="s">
        <v>6559</v>
      </c>
      <c r="P545" s="59" t="e">
        <v>#N/A</v>
      </c>
      <c r="Q545" s="67" t="e">
        <v>#N/A</v>
      </c>
      <c r="R545" s="68" t="e">
        <v>#N/A</v>
      </c>
      <c r="S545" s="62" t="e">
        <v>#N/A</v>
      </c>
      <c r="T545" s="62" t="e">
        <v>#N/A</v>
      </c>
      <c r="U545" s="63">
        <v>0.0</v>
      </c>
      <c r="V545" s="69" t="e">
        <v>#N/A</v>
      </c>
      <c r="W545" s="70" t="e">
        <v>#N/A</v>
      </c>
      <c r="X545" s="64" t="s">
        <v>6764</v>
      </c>
      <c r="Y545" s="64" t="s">
        <v>6764</v>
      </c>
      <c r="Z545" s="66" t="s">
        <v>6597</v>
      </c>
      <c r="AA545" s="71"/>
    </row>
    <row r="546" ht="15.75" hidden="1" customHeight="1">
      <c r="A546" s="56" t="s">
        <v>6764</v>
      </c>
      <c r="B546" s="56" t="s">
        <v>6764</v>
      </c>
      <c r="C546" s="57"/>
      <c r="D546" s="127" t="s">
        <v>6559</v>
      </c>
      <c r="E546" s="59" t="s">
        <v>6764</v>
      </c>
      <c r="F546" s="60"/>
      <c r="G546" s="61" t="s">
        <v>6764</v>
      </c>
      <c r="H546" s="83"/>
      <c r="I546" s="89" t="e">
        <v>#N/A</v>
      </c>
      <c r="J546" s="65" t="e">
        <v>#N/A</v>
      </c>
      <c r="K546" s="66"/>
      <c r="L546" s="66"/>
      <c r="M546" s="66"/>
      <c r="N546" s="66"/>
      <c r="O546" s="127" t="s">
        <v>6559</v>
      </c>
      <c r="P546" s="59" t="e">
        <v>#N/A</v>
      </c>
      <c r="Q546" s="67" t="e">
        <v>#N/A</v>
      </c>
      <c r="R546" s="68" t="e">
        <v>#N/A</v>
      </c>
      <c r="S546" s="62" t="e">
        <v>#N/A</v>
      </c>
      <c r="T546" s="62" t="e">
        <v>#N/A</v>
      </c>
      <c r="U546" s="63">
        <v>0.0</v>
      </c>
      <c r="V546" s="69" t="e">
        <v>#N/A</v>
      </c>
      <c r="W546" s="70" t="e">
        <v>#N/A</v>
      </c>
      <c r="X546" s="64" t="s">
        <v>6764</v>
      </c>
      <c r="Y546" s="64" t="s">
        <v>6764</v>
      </c>
      <c r="Z546" s="66" t="s">
        <v>6597</v>
      </c>
      <c r="AA546" s="71"/>
    </row>
    <row r="547" ht="15.75" hidden="1" customHeight="1">
      <c r="A547" s="56" t="s">
        <v>6764</v>
      </c>
      <c r="B547" s="56" t="s">
        <v>6764</v>
      </c>
      <c r="C547" s="57"/>
      <c r="D547" s="127" t="s">
        <v>6559</v>
      </c>
      <c r="E547" s="59" t="s">
        <v>6764</v>
      </c>
      <c r="F547" s="60"/>
      <c r="G547" s="61" t="s">
        <v>6764</v>
      </c>
      <c r="H547" s="83"/>
      <c r="I547" s="89" t="e">
        <v>#N/A</v>
      </c>
      <c r="J547" s="65" t="e">
        <v>#N/A</v>
      </c>
      <c r="K547" s="66"/>
      <c r="L547" s="66"/>
      <c r="M547" s="66"/>
      <c r="N547" s="66"/>
      <c r="O547" s="127" t="s">
        <v>6559</v>
      </c>
      <c r="P547" s="59" t="e">
        <v>#N/A</v>
      </c>
      <c r="Q547" s="67" t="e">
        <v>#N/A</v>
      </c>
      <c r="R547" s="68" t="e">
        <v>#N/A</v>
      </c>
      <c r="S547" s="62" t="e">
        <v>#N/A</v>
      </c>
      <c r="T547" s="62" t="e">
        <v>#N/A</v>
      </c>
      <c r="U547" s="63">
        <v>0.0</v>
      </c>
      <c r="V547" s="69" t="e">
        <v>#N/A</v>
      </c>
      <c r="W547" s="70" t="e">
        <v>#N/A</v>
      </c>
      <c r="X547" s="64" t="s">
        <v>6764</v>
      </c>
      <c r="Y547" s="64" t="s">
        <v>6764</v>
      </c>
      <c r="Z547" s="66" t="s">
        <v>6597</v>
      </c>
      <c r="AA547" s="71"/>
    </row>
    <row r="548" ht="15.75" hidden="1" customHeight="1">
      <c r="A548" s="56" t="s">
        <v>6764</v>
      </c>
      <c r="B548" s="56" t="s">
        <v>6764</v>
      </c>
      <c r="C548" s="57"/>
      <c r="D548" s="127" t="s">
        <v>6559</v>
      </c>
      <c r="E548" s="59" t="s">
        <v>6764</v>
      </c>
      <c r="F548" s="60"/>
      <c r="G548" s="61" t="s">
        <v>6764</v>
      </c>
      <c r="H548" s="83"/>
      <c r="I548" s="89" t="e">
        <v>#N/A</v>
      </c>
      <c r="J548" s="65" t="e">
        <v>#N/A</v>
      </c>
      <c r="K548" s="66"/>
      <c r="L548" s="66"/>
      <c r="M548" s="66"/>
      <c r="N548" s="66"/>
      <c r="O548" s="127" t="s">
        <v>6559</v>
      </c>
      <c r="P548" s="59" t="e">
        <v>#N/A</v>
      </c>
      <c r="Q548" s="67" t="e">
        <v>#N/A</v>
      </c>
      <c r="R548" s="68" t="e">
        <v>#N/A</v>
      </c>
      <c r="S548" s="62" t="e">
        <v>#N/A</v>
      </c>
      <c r="T548" s="62" t="e">
        <v>#N/A</v>
      </c>
      <c r="U548" s="63">
        <v>0.0</v>
      </c>
      <c r="V548" s="69" t="e">
        <v>#N/A</v>
      </c>
      <c r="W548" s="70" t="e">
        <v>#N/A</v>
      </c>
      <c r="X548" s="64" t="s">
        <v>6764</v>
      </c>
      <c r="Y548" s="64" t="s">
        <v>6764</v>
      </c>
      <c r="Z548" s="66" t="s">
        <v>6597</v>
      </c>
      <c r="AA548" s="71"/>
    </row>
    <row r="549" ht="15.75" hidden="1" customHeight="1">
      <c r="A549" s="56" t="s">
        <v>6764</v>
      </c>
      <c r="B549" s="56" t="s">
        <v>6764</v>
      </c>
      <c r="C549" s="57"/>
      <c r="D549" s="127" t="s">
        <v>6559</v>
      </c>
      <c r="E549" s="59" t="s">
        <v>6764</v>
      </c>
      <c r="F549" s="60"/>
      <c r="G549" s="61" t="s">
        <v>6764</v>
      </c>
      <c r="H549" s="83"/>
      <c r="I549" s="89" t="e">
        <v>#N/A</v>
      </c>
      <c r="J549" s="65" t="e">
        <v>#N/A</v>
      </c>
      <c r="K549" s="66"/>
      <c r="L549" s="66"/>
      <c r="M549" s="66"/>
      <c r="N549" s="66"/>
      <c r="O549" s="127" t="s">
        <v>6559</v>
      </c>
      <c r="P549" s="59" t="e">
        <v>#N/A</v>
      </c>
      <c r="Q549" s="67" t="e">
        <v>#N/A</v>
      </c>
      <c r="R549" s="68" t="e">
        <v>#N/A</v>
      </c>
      <c r="S549" s="62" t="e">
        <v>#N/A</v>
      </c>
      <c r="T549" s="62" t="e">
        <v>#N/A</v>
      </c>
      <c r="U549" s="63">
        <v>0.0</v>
      </c>
      <c r="V549" s="69" t="e">
        <v>#N/A</v>
      </c>
      <c r="W549" s="70" t="e">
        <v>#N/A</v>
      </c>
      <c r="X549" s="64" t="s">
        <v>6764</v>
      </c>
      <c r="Y549" s="64" t="s">
        <v>6764</v>
      </c>
      <c r="Z549" s="66" t="s">
        <v>6597</v>
      </c>
      <c r="AA549" s="71"/>
    </row>
    <row r="550" ht="15.75" hidden="1" customHeight="1">
      <c r="A550" s="56" t="s">
        <v>6764</v>
      </c>
      <c r="B550" s="56" t="s">
        <v>6764</v>
      </c>
      <c r="C550" s="57"/>
      <c r="D550" s="127" t="s">
        <v>6559</v>
      </c>
      <c r="E550" s="59" t="s">
        <v>6764</v>
      </c>
      <c r="F550" s="60"/>
      <c r="G550" s="61" t="s">
        <v>6764</v>
      </c>
      <c r="H550" s="83"/>
      <c r="I550" s="89" t="e">
        <v>#N/A</v>
      </c>
      <c r="J550" s="65" t="e">
        <v>#N/A</v>
      </c>
      <c r="K550" s="66"/>
      <c r="L550" s="66"/>
      <c r="M550" s="66"/>
      <c r="N550" s="66"/>
      <c r="O550" s="127" t="s">
        <v>6559</v>
      </c>
      <c r="P550" s="59" t="e">
        <v>#N/A</v>
      </c>
      <c r="Q550" s="67" t="e">
        <v>#N/A</v>
      </c>
      <c r="R550" s="68" t="e">
        <v>#N/A</v>
      </c>
      <c r="S550" s="62" t="e">
        <v>#N/A</v>
      </c>
      <c r="T550" s="62" t="e">
        <v>#N/A</v>
      </c>
      <c r="U550" s="63">
        <v>0.0</v>
      </c>
      <c r="V550" s="69" t="e">
        <v>#N/A</v>
      </c>
      <c r="W550" s="70" t="e">
        <v>#N/A</v>
      </c>
      <c r="X550" s="64" t="s">
        <v>6764</v>
      </c>
      <c r="Y550" s="64" t="s">
        <v>6764</v>
      </c>
      <c r="Z550" s="66" t="s">
        <v>6597</v>
      </c>
      <c r="AA550" s="71"/>
    </row>
    <row r="551" ht="15.75" hidden="1" customHeight="1">
      <c r="A551" s="56" t="s">
        <v>6764</v>
      </c>
      <c r="B551" s="56" t="s">
        <v>6764</v>
      </c>
      <c r="C551" s="57"/>
      <c r="D551" s="127" t="s">
        <v>6559</v>
      </c>
      <c r="E551" s="59" t="s">
        <v>6764</v>
      </c>
      <c r="F551" s="60"/>
      <c r="G551" s="61" t="s">
        <v>6764</v>
      </c>
      <c r="H551" s="83"/>
      <c r="I551" s="89" t="e">
        <v>#N/A</v>
      </c>
      <c r="J551" s="65" t="e">
        <v>#N/A</v>
      </c>
      <c r="K551" s="66"/>
      <c r="L551" s="66"/>
      <c r="M551" s="66"/>
      <c r="N551" s="66"/>
      <c r="O551" s="127" t="s">
        <v>6559</v>
      </c>
      <c r="P551" s="59" t="e">
        <v>#N/A</v>
      </c>
      <c r="Q551" s="67" t="e">
        <v>#N/A</v>
      </c>
      <c r="R551" s="68" t="e">
        <v>#N/A</v>
      </c>
      <c r="S551" s="62" t="e">
        <v>#N/A</v>
      </c>
      <c r="T551" s="62" t="e">
        <v>#N/A</v>
      </c>
      <c r="U551" s="63">
        <v>0.0</v>
      </c>
      <c r="V551" s="69" t="e">
        <v>#N/A</v>
      </c>
      <c r="W551" s="70" t="e">
        <v>#N/A</v>
      </c>
      <c r="X551" s="64" t="s">
        <v>6764</v>
      </c>
      <c r="Y551" s="64" t="s">
        <v>6764</v>
      </c>
      <c r="Z551" s="66" t="s">
        <v>6597</v>
      </c>
      <c r="AA551" s="71"/>
    </row>
    <row r="552" ht="15.75" hidden="1" customHeight="1">
      <c r="A552" s="56" t="s">
        <v>6764</v>
      </c>
      <c r="B552" s="56" t="s">
        <v>6764</v>
      </c>
      <c r="C552" s="57"/>
      <c r="D552" s="127" t="s">
        <v>6559</v>
      </c>
      <c r="E552" s="59" t="s">
        <v>6764</v>
      </c>
      <c r="F552" s="60"/>
      <c r="G552" s="61" t="s">
        <v>6764</v>
      </c>
      <c r="H552" s="83"/>
      <c r="I552" s="89" t="e">
        <v>#N/A</v>
      </c>
      <c r="J552" s="65" t="e">
        <v>#N/A</v>
      </c>
      <c r="K552" s="66"/>
      <c r="L552" s="66"/>
      <c r="M552" s="66"/>
      <c r="N552" s="66"/>
      <c r="O552" s="127" t="s">
        <v>6559</v>
      </c>
      <c r="P552" s="59" t="e">
        <v>#N/A</v>
      </c>
      <c r="Q552" s="67" t="e">
        <v>#N/A</v>
      </c>
      <c r="R552" s="68" t="e">
        <v>#N/A</v>
      </c>
      <c r="S552" s="62" t="e">
        <v>#N/A</v>
      </c>
      <c r="T552" s="62" t="e">
        <v>#N/A</v>
      </c>
      <c r="U552" s="63">
        <v>0.0</v>
      </c>
      <c r="V552" s="69" t="e">
        <v>#N/A</v>
      </c>
      <c r="W552" s="70" t="e">
        <v>#N/A</v>
      </c>
      <c r="X552" s="64" t="s">
        <v>6764</v>
      </c>
      <c r="Y552" s="64" t="s">
        <v>6764</v>
      </c>
      <c r="Z552" s="66" t="s">
        <v>6597</v>
      </c>
      <c r="AA552" s="71"/>
    </row>
    <row r="553" ht="15.75" hidden="1" customHeight="1">
      <c r="A553" s="56" t="s">
        <v>6764</v>
      </c>
      <c r="B553" s="56" t="s">
        <v>6764</v>
      </c>
      <c r="C553" s="57"/>
      <c r="D553" s="127" t="s">
        <v>6559</v>
      </c>
      <c r="E553" s="59" t="s">
        <v>6764</v>
      </c>
      <c r="F553" s="60"/>
      <c r="G553" s="61" t="s">
        <v>6764</v>
      </c>
      <c r="H553" s="83"/>
      <c r="I553" s="89" t="e">
        <v>#N/A</v>
      </c>
      <c r="J553" s="65" t="e">
        <v>#N/A</v>
      </c>
      <c r="K553" s="66"/>
      <c r="L553" s="66"/>
      <c r="M553" s="66"/>
      <c r="N553" s="66"/>
      <c r="O553" s="127" t="s">
        <v>6559</v>
      </c>
      <c r="P553" s="59" t="e">
        <v>#N/A</v>
      </c>
      <c r="Q553" s="67" t="e">
        <v>#N/A</v>
      </c>
      <c r="R553" s="68" t="e">
        <v>#N/A</v>
      </c>
      <c r="S553" s="62" t="e">
        <v>#N/A</v>
      </c>
      <c r="T553" s="62" t="e">
        <v>#N/A</v>
      </c>
      <c r="U553" s="63">
        <v>0.0</v>
      </c>
      <c r="V553" s="69" t="e">
        <v>#N/A</v>
      </c>
      <c r="W553" s="70" t="e">
        <v>#N/A</v>
      </c>
      <c r="X553" s="64" t="s">
        <v>6764</v>
      </c>
      <c r="Y553" s="64" t="s">
        <v>6764</v>
      </c>
      <c r="Z553" s="66" t="s">
        <v>6597</v>
      </c>
      <c r="AA553" s="71"/>
    </row>
    <row r="554" ht="15.75" hidden="1" customHeight="1">
      <c r="A554" s="56" t="s">
        <v>6764</v>
      </c>
      <c r="B554" s="56" t="s">
        <v>6764</v>
      </c>
      <c r="C554" s="57"/>
      <c r="D554" s="127" t="s">
        <v>6559</v>
      </c>
      <c r="E554" s="59" t="s">
        <v>6764</v>
      </c>
      <c r="F554" s="60"/>
      <c r="G554" s="61" t="s">
        <v>6764</v>
      </c>
      <c r="H554" s="83"/>
      <c r="I554" s="89" t="e">
        <v>#N/A</v>
      </c>
      <c r="J554" s="65" t="e">
        <v>#N/A</v>
      </c>
      <c r="K554" s="66"/>
      <c r="L554" s="66"/>
      <c r="M554" s="66"/>
      <c r="N554" s="66"/>
      <c r="O554" s="127" t="s">
        <v>6559</v>
      </c>
      <c r="P554" s="59" t="e">
        <v>#N/A</v>
      </c>
      <c r="Q554" s="67" t="e">
        <v>#N/A</v>
      </c>
      <c r="R554" s="68" t="e">
        <v>#N/A</v>
      </c>
      <c r="S554" s="62" t="e">
        <v>#N/A</v>
      </c>
      <c r="T554" s="62" t="e">
        <v>#N/A</v>
      </c>
      <c r="U554" s="63">
        <v>0.0</v>
      </c>
      <c r="V554" s="69" t="e">
        <v>#N/A</v>
      </c>
      <c r="W554" s="70" t="e">
        <v>#N/A</v>
      </c>
      <c r="X554" s="64" t="s">
        <v>6764</v>
      </c>
      <c r="Y554" s="64" t="s">
        <v>6764</v>
      </c>
      <c r="Z554" s="66" t="s">
        <v>6597</v>
      </c>
      <c r="AA554" s="71"/>
    </row>
    <row r="555" ht="15.75" hidden="1" customHeight="1">
      <c r="A555" s="56" t="s">
        <v>6764</v>
      </c>
      <c r="B555" s="56" t="s">
        <v>6764</v>
      </c>
      <c r="C555" s="57"/>
      <c r="D555" s="127" t="s">
        <v>6559</v>
      </c>
      <c r="E555" s="59" t="s">
        <v>6764</v>
      </c>
      <c r="F555" s="60"/>
      <c r="G555" s="61" t="s">
        <v>6764</v>
      </c>
      <c r="H555" s="83"/>
      <c r="I555" s="89" t="e">
        <v>#N/A</v>
      </c>
      <c r="J555" s="65" t="e">
        <v>#N/A</v>
      </c>
      <c r="K555" s="66"/>
      <c r="L555" s="66"/>
      <c r="M555" s="66"/>
      <c r="N555" s="66"/>
      <c r="O555" s="127" t="s">
        <v>6559</v>
      </c>
      <c r="P555" s="59" t="e">
        <v>#N/A</v>
      </c>
      <c r="Q555" s="67" t="e">
        <v>#N/A</v>
      </c>
      <c r="R555" s="68" t="e">
        <v>#N/A</v>
      </c>
      <c r="S555" s="62" t="e">
        <v>#N/A</v>
      </c>
      <c r="T555" s="62" t="e">
        <v>#N/A</v>
      </c>
      <c r="U555" s="63">
        <v>0.0</v>
      </c>
      <c r="V555" s="69" t="e">
        <v>#N/A</v>
      </c>
      <c r="W555" s="70" t="e">
        <v>#N/A</v>
      </c>
      <c r="X555" s="64" t="s">
        <v>6764</v>
      </c>
      <c r="Y555" s="64" t="s">
        <v>6764</v>
      </c>
      <c r="Z555" s="66" t="s">
        <v>6597</v>
      </c>
      <c r="AA555" s="71"/>
    </row>
    <row r="556" ht="15.75" hidden="1" customHeight="1">
      <c r="A556" s="56" t="s">
        <v>6764</v>
      </c>
      <c r="B556" s="56" t="s">
        <v>6764</v>
      </c>
      <c r="C556" s="57"/>
      <c r="D556" s="127" t="s">
        <v>6559</v>
      </c>
      <c r="E556" s="59" t="s">
        <v>6764</v>
      </c>
      <c r="F556" s="60"/>
      <c r="G556" s="61" t="s">
        <v>6764</v>
      </c>
      <c r="H556" s="83"/>
      <c r="I556" s="89" t="e">
        <v>#N/A</v>
      </c>
      <c r="J556" s="65" t="e">
        <v>#N/A</v>
      </c>
      <c r="K556" s="66"/>
      <c r="L556" s="66"/>
      <c r="M556" s="66"/>
      <c r="N556" s="66"/>
      <c r="O556" s="127" t="s">
        <v>6559</v>
      </c>
      <c r="P556" s="59" t="e">
        <v>#N/A</v>
      </c>
      <c r="Q556" s="67" t="e">
        <v>#N/A</v>
      </c>
      <c r="R556" s="68" t="e">
        <v>#N/A</v>
      </c>
      <c r="S556" s="62" t="e">
        <v>#N/A</v>
      </c>
      <c r="T556" s="62" t="e">
        <v>#N/A</v>
      </c>
      <c r="U556" s="63">
        <v>0.0</v>
      </c>
      <c r="V556" s="69" t="e">
        <v>#N/A</v>
      </c>
      <c r="W556" s="70" t="e">
        <v>#N/A</v>
      </c>
      <c r="X556" s="64" t="s">
        <v>6764</v>
      </c>
      <c r="Y556" s="64" t="s">
        <v>6764</v>
      </c>
      <c r="Z556" s="66" t="s">
        <v>6597</v>
      </c>
      <c r="AA556" s="71"/>
    </row>
    <row r="557" ht="15.75" hidden="1" customHeight="1">
      <c r="A557" s="56" t="s">
        <v>6764</v>
      </c>
      <c r="B557" s="56" t="s">
        <v>6764</v>
      </c>
      <c r="C557" s="57"/>
      <c r="D557" s="127" t="s">
        <v>6559</v>
      </c>
      <c r="E557" s="59" t="s">
        <v>6764</v>
      </c>
      <c r="F557" s="60"/>
      <c r="G557" s="61" t="s">
        <v>6764</v>
      </c>
      <c r="H557" s="83"/>
      <c r="I557" s="89" t="e">
        <v>#N/A</v>
      </c>
      <c r="J557" s="65" t="e">
        <v>#N/A</v>
      </c>
      <c r="K557" s="66"/>
      <c r="L557" s="66"/>
      <c r="M557" s="66"/>
      <c r="N557" s="66"/>
      <c r="O557" s="127" t="s">
        <v>6559</v>
      </c>
      <c r="P557" s="59" t="e">
        <v>#N/A</v>
      </c>
      <c r="Q557" s="67" t="e">
        <v>#N/A</v>
      </c>
      <c r="R557" s="68" t="e">
        <v>#N/A</v>
      </c>
      <c r="S557" s="62" t="e">
        <v>#N/A</v>
      </c>
      <c r="T557" s="62" t="e">
        <v>#N/A</v>
      </c>
      <c r="U557" s="63">
        <v>0.0</v>
      </c>
      <c r="V557" s="69" t="e">
        <v>#N/A</v>
      </c>
      <c r="W557" s="70" t="e">
        <v>#N/A</v>
      </c>
      <c r="X557" s="64" t="s">
        <v>6764</v>
      </c>
      <c r="Y557" s="64" t="s">
        <v>6764</v>
      </c>
      <c r="Z557" s="66" t="s">
        <v>6597</v>
      </c>
      <c r="AA557" s="71"/>
    </row>
    <row r="558" ht="15.75" hidden="1" customHeight="1">
      <c r="A558" s="56" t="s">
        <v>6764</v>
      </c>
      <c r="B558" s="56" t="s">
        <v>6764</v>
      </c>
      <c r="C558" s="57"/>
      <c r="D558" s="127" t="s">
        <v>6559</v>
      </c>
      <c r="E558" s="59" t="s">
        <v>6764</v>
      </c>
      <c r="F558" s="60"/>
      <c r="G558" s="61" t="s">
        <v>6764</v>
      </c>
      <c r="H558" s="83"/>
      <c r="I558" s="89" t="e">
        <v>#N/A</v>
      </c>
      <c r="J558" s="65" t="e">
        <v>#N/A</v>
      </c>
      <c r="K558" s="66"/>
      <c r="L558" s="66"/>
      <c r="M558" s="66"/>
      <c r="N558" s="66"/>
      <c r="O558" s="127" t="s">
        <v>6559</v>
      </c>
      <c r="P558" s="59" t="e">
        <v>#N/A</v>
      </c>
      <c r="Q558" s="67" t="e">
        <v>#N/A</v>
      </c>
      <c r="R558" s="68" t="e">
        <v>#N/A</v>
      </c>
      <c r="S558" s="62" t="e">
        <v>#N/A</v>
      </c>
      <c r="T558" s="62" t="e">
        <v>#N/A</v>
      </c>
      <c r="U558" s="63">
        <v>0.0</v>
      </c>
      <c r="V558" s="69" t="e">
        <v>#N/A</v>
      </c>
      <c r="W558" s="70" t="e">
        <v>#N/A</v>
      </c>
      <c r="X558" s="64" t="s">
        <v>6764</v>
      </c>
      <c r="Y558" s="64" t="s">
        <v>6764</v>
      </c>
      <c r="Z558" s="66" t="s">
        <v>6597</v>
      </c>
      <c r="AA558" s="71"/>
    </row>
    <row r="559" ht="15.75" hidden="1" customHeight="1">
      <c r="A559" s="56" t="s">
        <v>6764</v>
      </c>
      <c r="B559" s="56" t="s">
        <v>6764</v>
      </c>
      <c r="C559" s="57"/>
      <c r="D559" s="127" t="s">
        <v>6559</v>
      </c>
      <c r="E559" s="59" t="s">
        <v>6764</v>
      </c>
      <c r="F559" s="60"/>
      <c r="G559" s="61" t="s">
        <v>6764</v>
      </c>
      <c r="H559" s="83"/>
      <c r="I559" s="89" t="e">
        <v>#N/A</v>
      </c>
      <c r="J559" s="65" t="e">
        <v>#N/A</v>
      </c>
      <c r="K559" s="66"/>
      <c r="L559" s="66"/>
      <c r="M559" s="66"/>
      <c r="N559" s="66"/>
      <c r="O559" s="127" t="s">
        <v>6559</v>
      </c>
      <c r="P559" s="59" t="e">
        <v>#N/A</v>
      </c>
      <c r="Q559" s="67" t="e">
        <v>#N/A</v>
      </c>
      <c r="R559" s="68" t="e">
        <v>#N/A</v>
      </c>
      <c r="S559" s="62" t="e">
        <v>#N/A</v>
      </c>
      <c r="T559" s="62" t="e">
        <v>#N/A</v>
      </c>
      <c r="U559" s="63">
        <v>0.0</v>
      </c>
      <c r="V559" s="69" t="e">
        <v>#N/A</v>
      </c>
      <c r="W559" s="70" t="e">
        <v>#N/A</v>
      </c>
      <c r="X559" s="64" t="s">
        <v>6764</v>
      </c>
      <c r="Y559" s="64" t="s">
        <v>6764</v>
      </c>
      <c r="Z559" s="66" t="s">
        <v>6597</v>
      </c>
      <c r="AA559" s="71"/>
    </row>
    <row r="560" ht="15.75" hidden="1" customHeight="1">
      <c r="A560" s="56" t="s">
        <v>6764</v>
      </c>
      <c r="B560" s="56" t="s">
        <v>6764</v>
      </c>
      <c r="C560" s="57"/>
      <c r="D560" s="127" t="s">
        <v>6559</v>
      </c>
      <c r="E560" s="59" t="s">
        <v>6764</v>
      </c>
      <c r="F560" s="60"/>
      <c r="G560" s="61" t="s">
        <v>6764</v>
      </c>
      <c r="H560" s="83"/>
      <c r="I560" s="89" t="e">
        <v>#N/A</v>
      </c>
      <c r="J560" s="65" t="e">
        <v>#N/A</v>
      </c>
      <c r="K560" s="66"/>
      <c r="L560" s="66"/>
      <c r="M560" s="66"/>
      <c r="N560" s="66"/>
      <c r="O560" s="127" t="s">
        <v>6559</v>
      </c>
      <c r="P560" s="59" t="e">
        <v>#N/A</v>
      </c>
      <c r="Q560" s="67" t="e">
        <v>#N/A</v>
      </c>
      <c r="R560" s="68" t="e">
        <v>#N/A</v>
      </c>
      <c r="S560" s="62" t="e">
        <v>#N/A</v>
      </c>
      <c r="T560" s="62" t="e">
        <v>#N/A</v>
      </c>
      <c r="U560" s="63">
        <v>0.0</v>
      </c>
      <c r="V560" s="69" t="e">
        <v>#N/A</v>
      </c>
      <c r="W560" s="70" t="e">
        <v>#N/A</v>
      </c>
      <c r="X560" s="64" t="s">
        <v>6764</v>
      </c>
      <c r="Y560" s="64" t="s">
        <v>6764</v>
      </c>
      <c r="Z560" s="66" t="s">
        <v>6597</v>
      </c>
      <c r="AA560" s="71"/>
    </row>
    <row r="561" ht="15.75" hidden="1" customHeight="1">
      <c r="A561" s="56" t="s">
        <v>6764</v>
      </c>
      <c r="B561" s="56" t="s">
        <v>6764</v>
      </c>
      <c r="C561" s="57"/>
      <c r="D561" s="127" t="s">
        <v>6559</v>
      </c>
      <c r="E561" s="59" t="s">
        <v>6764</v>
      </c>
      <c r="F561" s="60"/>
      <c r="G561" s="61" t="s">
        <v>6764</v>
      </c>
      <c r="H561" s="83"/>
      <c r="I561" s="89" t="e">
        <v>#N/A</v>
      </c>
      <c r="J561" s="65" t="e">
        <v>#N/A</v>
      </c>
      <c r="K561" s="66"/>
      <c r="L561" s="66"/>
      <c r="M561" s="66"/>
      <c r="N561" s="66"/>
      <c r="O561" s="127" t="s">
        <v>6559</v>
      </c>
      <c r="P561" s="59" t="e">
        <v>#N/A</v>
      </c>
      <c r="Q561" s="67" t="e">
        <v>#N/A</v>
      </c>
      <c r="R561" s="68" t="e">
        <v>#N/A</v>
      </c>
      <c r="S561" s="62" t="e">
        <v>#N/A</v>
      </c>
      <c r="T561" s="62" t="e">
        <v>#N/A</v>
      </c>
      <c r="U561" s="63">
        <v>0.0</v>
      </c>
      <c r="V561" s="69" t="e">
        <v>#N/A</v>
      </c>
      <c r="W561" s="70" t="e">
        <v>#N/A</v>
      </c>
      <c r="X561" s="64" t="s">
        <v>6764</v>
      </c>
      <c r="Y561" s="64" t="s">
        <v>6764</v>
      </c>
      <c r="Z561" s="66" t="s">
        <v>6597</v>
      </c>
      <c r="AA561" s="71"/>
    </row>
    <row r="562" ht="15.75" hidden="1" customHeight="1">
      <c r="A562" s="56" t="s">
        <v>6764</v>
      </c>
      <c r="B562" s="56" t="s">
        <v>6764</v>
      </c>
      <c r="C562" s="57"/>
      <c r="D562" s="127" t="s">
        <v>6559</v>
      </c>
      <c r="E562" s="59" t="s">
        <v>6764</v>
      </c>
      <c r="F562" s="60"/>
      <c r="G562" s="61" t="s">
        <v>6764</v>
      </c>
      <c r="H562" s="83"/>
      <c r="I562" s="89" t="e">
        <v>#N/A</v>
      </c>
      <c r="J562" s="65" t="e">
        <v>#N/A</v>
      </c>
      <c r="K562" s="66"/>
      <c r="L562" s="66"/>
      <c r="M562" s="66"/>
      <c r="N562" s="66"/>
      <c r="O562" s="127" t="s">
        <v>6559</v>
      </c>
      <c r="P562" s="59" t="e">
        <v>#N/A</v>
      </c>
      <c r="Q562" s="67" t="e">
        <v>#N/A</v>
      </c>
      <c r="R562" s="68" t="e">
        <v>#N/A</v>
      </c>
      <c r="S562" s="62" t="e">
        <v>#N/A</v>
      </c>
      <c r="T562" s="62" t="e">
        <v>#N/A</v>
      </c>
      <c r="U562" s="63">
        <v>0.0</v>
      </c>
      <c r="V562" s="69" t="e">
        <v>#N/A</v>
      </c>
      <c r="W562" s="70" t="e">
        <v>#N/A</v>
      </c>
      <c r="X562" s="64" t="s">
        <v>6764</v>
      </c>
      <c r="Y562" s="64" t="s">
        <v>6764</v>
      </c>
      <c r="Z562" s="66" t="s">
        <v>6597</v>
      </c>
      <c r="AA562" s="71"/>
    </row>
    <row r="563" ht="15.75" hidden="1" customHeight="1">
      <c r="A563" s="56" t="s">
        <v>6764</v>
      </c>
      <c r="B563" s="56" t="s">
        <v>6764</v>
      </c>
      <c r="C563" s="57"/>
      <c r="D563" s="127" t="s">
        <v>6559</v>
      </c>
      <c r="E563" s="59" t="s">
        <v>6764</v>
      </c>
      <c r="F563" s="60"/>
      <c r="G563" s="61" t="s">
        <v>6764</v>
      </c>
      <c r="H563" s="83"/>
      <c r="I563" s="89" t="e">
        <v>#N/A</v>
      </c>
      <c r="J563" s="65" t="e">
        <v>#N/A</v>
      </c>
      <c r="K563" s="66"/>
      <c r="L563" s="66"/>
      <c r="M563" s="66"/>
      <c r="N563" s="66"/>
      <c r="O563" s="127" t="s">
        <v>6559</v>
      </c>
      <c r="P563" s="59" t="e">
        <v>#N/A</v>
      </c>
      <c r="Q563" s="67" t="e">
        <v>#N/A</v>
      </c>
      <c r="R563" s="68" t="e">
        <v>#N/A</v>
      </c>
      <c r="S563" s="62" t="e">
        <v>#N/A</v>
      </c>
      <c r="T563" s="62" t="e">
        <v>#N/A</v>
      </c>
      <c r="U563" s="63">
        <v>0.0</v>
      </c>
      <c r="V563" s="69" t="e">
        <v>#N/A</v>
      </c>
      <c r="W563" s="70" t="e">
        <v>#N/A</v>
      </c>
      <c r="X563" s="64" t="s">
        <v>6764</v>
      </c>
      <c r="Y563" s="64" t="s">
        <v>6764</v>
      </c>
      <c r="Z563" s="66" t="s">
        <v>6597</v>
      </c>
      <c r="AA563" s="71"/>
    </row>
    <row r="564" ht="15.75" hidden="1" customHeight="1">
      <c r="A564" s="56" t="s">
        <v>6764</v>
      </c>
      <c r="B564" s="56" t="s">
        <v>6764</v>
      </c>
      <c r="C564" s="57"/>
      <c r="D564" s="127" t="s">
        <v>6559</v>
      </c>
      <c r="E564" s="59" t="s">
        <v>6764</v>
      </c>
      <c r="F564" s="60"/>
      <c r="G564" s="61" t="s">
        <v>6764</v>
      </c>
      <c r="H564" s="83"/>
      <c r="I564" s="89" t="e">
        <v>#N/A</v>
      </c>
      <c r="J564" s="65" t="e">
        <v>#N/A</v>
      </c>
      <c r="K564" s="66"/>
      <c r="L564" s="66"/>
      <c r="M564" s="66"/>
      <c r="N564" s="66"/>
      <c r="O564" s="127" t="s">
        <v>6559</v>
      </c>
      <c r="P564" s="59" t="e">
        <v>#N/A</v>
      </c>
      <c r="Q564" s="67" t="e">
        <v>#N/A</v>
      </c>
      <c r="R564" s="68" t="e">
        <v>#N/A</v>
      </c>
      <c r="S564" s="62" t="e">
        <v>#N/A</v>
      </c>
      <c r="T564" s="62" t="e">
        <v>#N/A</v>
      </c>
      <c r="U564" s="63">
        <v>0.0</v>
      </c>
      <c r="V564" s="69" t="e">
        <v>#N/A</v>
      </c>
      <c r="W564" s="70" t="e">
        <v>#N/A</v>
      </c>
      <c r="X564" s="64" t="s">
        <v>6764</v>
      </c>
      <c r="Y564" s="64" t="s">
        <v>6764</v>
      </c>
      <c r="Z564" s="66" t="s">
        <v>6597</v>
      </c>
      <c r="AA564" s="71"/>
    </row>
    <row r="565" ht="15.75" hidden="1" customHeight="1">
      <c r="A565" s="56" t="s">
        <v>6764</v>
      </c>
      <c r="B565" s="56" t="s">
        <v>6764</v>
      </c>
      <c r="C565" s="57"/>
      <c r="D565" s="127" t="s">
        <v>6559</v>
      </c>
      <c r="E565" s="59" t="s">
        <v>6764</v>
      </c>
      <c r="F565" s="60"/>
      <c r="G565" s="61" t="s">
        <v>6764</v>
      </c>
      <c r="H565" s="83"/>
      <c r="I565" s="89" t="e">
        <v>#N/A</v>
      </c>
      <c r="J565" s="65" t="e">
        <v>#N/A</v>
      </c>
      <c r="K565" s="66"/>
      <c r="L565" s="66"/>
      <c r="M565" s="66"/>
      <c r="N565" s="66"/>
      <c r="O565" s="127" t="s">
        <v>6559</v>
      </c>
      <c r="P565" s="59" t="e">
        <v>#N/A</v>
      </c>
      <c r="Q565" s="67" t="e">
        <v>#N/A</v>
      </c>
      <c r="R565" s="68" t="e">
        <v>#N/A</v>
      </c>
      <c r="S565" s="62" t="e">
        <v>#N/A</v>
      </c>
      <c r="T565" s="62" t="e">
        <v>#N/A</v>
      </c>
      <c r="U565" s="63">
        <v>0.0</v>
      </c>
      <c r="V565" s="69" t="e">
        <v>#N/A</v>
      </c>
      <c r="W565" s="70" t="e">
        <v>#N/A</v>
      </c>
      <c r="X565" s="64" t="s">
        <v>6764</v>
      </c>
      <c r="Y565" s="64" t="s">
        <v>6764</v>
      </c>
      <c r="Z565" s="66" t="s">
        <v>6597</v>
      </c>
      <c r="AA565" s="71"/>
    </row>
    <row r="566" ht="15.75" hidden="1" customHeight="1">
      <c r="A566" s="56" t="s">
        <v>6764</v>
      </c>
      <c r="B566" s="56" t="s">
        <v>6764</v>
      </c>
      <c r="C566" s="57"/>
      <c r="D566" s="127" t="s">
        <v>6559</v>
      </c>
      <c r="E566" s="59" t="s">
        <v>6764</v>
      </c>
      <c r="F566" s="60"/>
      <c r="G566" s="61" t="s">
        <v>6764</v>
      </c>
      <c r="H566" s="83"/>
      <c r="I566" s="89" t="e">
        <v>#N/A</v>
      </c>
      <c r="J566" s="65" t="e">
        <v>#N/A</v>
      </c>
      <c r="K566" s="66"/>
      <c r="L566" s="66"/>
      <c r="M566" s="66"/>
      <c r="N566" s="66"/>
      <c r="O566" s="127" t="s">
        <v>6559</v>
      </c>
      <c r="P566" s="59" t="e">
        <v>#N/A</v>
      </c>
      <c r="Q566" s="67" t="e">
        <v>#N/A</v>
      </c>
      <c r="R566" s="68" t="e">
        <v>#N/A</v>
      </c>
      <c r="S566" s="62" t="e">
        <v>#N/A</v>
      </c>
      <c r="T566" s="62" t="e">
        <v>#N/A</v>
      </c>
      <c r="U566" s="63">
        <v>0.0</v>
      </c>
      <c r="V566" s="69" t="e">
        <v>#N/A</v>
      </c>
      <c r="W566" s="70" t="e">
        <v>#N/A</v>
      </c>
      <c r="X566" s="64" t="s">
        <v>6764</v>
      </c>
      <c r="Y566" s="64" t="s">
        <v>6764</v>
      </c>
      <c r="Z566" s="66" t="s">
        <v>6597</v>
      </c>
      <c r="AA566" s="71"/>
    </row>
    <row r="567" ht="15.75" hidden="1" customHeight="1">
      <c r="A567" s="56" t="s">
        <v>6764</v>
      </c>
      <c r="B567" s="56" t="s">
        <v>6764</v>
      </c>
      <c r="C567" s="57"/>
      <c r="D567" s="127" t="s">
        <v>6559</v>
      </c>
      <c r="E567" s="59" t="s">
        <v>6764</v>
      </c>
      <c r="F567" s="60"/>
      <c r="G567" s="61" t="s">
        <v>6764</v>
      </c>
      <c r="H567" s="83"/>
      <c r="I567" s="89" t="e">
        <v>#N/A</v>
      </c>
      <c r="J567" s="65" t="e">
        <v>#N/A</v>
      </c>
      <c r="K567" s="66"/>
      <c r="L567" s="66"/>
      <c r="M567" s="66"/>
      <c r="N567" s="66"/>
      <c r="O567" s="127" t="s">
        <v>6559</v>
      </c>
      <c r="P567" s="59" t="e">
        <v>#N/A</v>
      </c>
      <c r="Q567" s="67" t="e">
        <v>#N/A</v>
      </c>
      <c r="R567" s="68" t="e">
        <v>#N/A</v>
      </c>
      <c r="S567" s="62" t="e">
        <v>#N/A</v>
      </c>
      <c r="T567" s="62" t="e">
        <v>#N/A</v>
      </c>
      <c r="U567" s="63">
        <v>0.0</v>
      </c>
      <c r="V567" s="69" t="e">
        <v>#N/A</v>
      </c>
      <c r="W567" s="70" t="e">
        <v>#N/A</v>
      </c>
      <c r="X567" s="64" t="s">
        <v>6764</v>
      </c>
      <c r="Y567" s="64" t="s">
        <v>6764</v>
      </c>
      <c r="Z567" s="66" t="s">
        <v>6597</v>
      </c>
      <c r="AA567" s="71"/>
    </row>
    <row r="568" ht="15.75" hidden="1" customHeight="1">
      <c r="A568" s="56" t="s">
        <v>6764</v>
      </c>
      <c r="B568" s="56" t="s">
        <v>6764</v>
      </c>
      <c r="C568" s="57"/>
      <c r="D568" s="127" t="s">
        <v>6559</v>
      </c>
      <c r="E568" s="59" t="s">
        <v>6764</v>
      </c>
      <c r="F568" s="60"/>
      <c r="G568" s="61" t="s">
        <v>6764</v>
      </c>
      <c r="H568" s="83"/>
      <c r="I568" s="89" t="e">
        <v>#N/A</v>
      </c>
      <c r="J568" s="65" t="e">
        <v>#N/A</v>
      </c>
      <c r="K568" s="66"/>
      <c r="L568" s="66"/>
      <c r="M568" s="66"/>
      <c r="N568" s="66"/>
      <c r="O568" s="127" t="s">
        <v>6559</v>
      </c>
      <c r="P568" s="59" t="e">
        <v>#N/A</v>
      </c>
      <c r="Q568" s="67" t="e">
        <v>#N/A</v>
      </c>
      <c r="R568" s="68" t="e">
        <v>#N/A</v>
      </c>
      <c r="S568" s="62" t="e">
        <v>#N/A</v>
      </c>
      <c r="T568" s="62" t="e">
        <v>#N/A</v>
      </c>
      <c r="U568" s="63">
        <v>0.0</v>
      </c>
      <c r="V568" s="69" t="e">
        <v>#N/A</v>
      </c>
      <c r="W568" s="70" t="e">
        <v>#N/A</v>
      </c>
      <c r="X568" s="64" t="s">
        <v>6764</v>
      </c>
      <c r="Y568" s="64" t="s">
        <v>6764</v>
      </c>
      <c r="Z568" s="66" t="s">
        <v>6597</v>
      </c>
      <c r="AA568" s="71"/>
    </row>
    <row r="569" ht="15.75" hidden="1" customHeight="1">
      <c r="A569" s="56" t="s">
        <v>6764</v>
      </c>
      <c r="B569" s="56" t="s">
        <v>6764</v>
      </c>
      <c r="C569" s="57"/>
      <c r="D569" s="127" t="s">
        <v>6559</v>
      </c>
      <c r="E569" s="59" t="s">
        <v>6764</v>
      </c>
      <c r="F569" s="60"/>
      <c r="G569" s="61" t="s">
        <v>6764</v>
      </c>
      <c r="H569" s="83"/>
      <c r="I569" s="89" t="e">
        <v>#N/A</v>
      </c>
      <c r="J569" s="65" t="e">
        <v>#N/A</v>
      </c>
      <c r="K569" s="66"/>
      <c r="L569" s="66"/>
      <c r="M569" s="66"/>
      <c r="N569" s="66"/>
      <c r="O569" s="127" t="s">
        <v>6559</v>
      </c>
      <c r="P569" s="59" t="e">
        <v>#N/A</v>
      </c>
      <c r="Q569" s="67" t="e">
        <v>#N/A</v>
      </c>
      <c r="R569" s="68" t="e">
        <v>#N/A</v>
      </c>
      <c r="S569" s="62" t="e">
        <v>#N/A</v>
      </c>
      <c r="T569" s="62" t="e">
        <v>#N/A</v>
      </c>
      <c r="U569" s="63">
        <v>0.0</v>
      </c>
      <c r="V569" s="69" t="e">
        <v>#N/A</v>
      </c>
      <c r="W569" s="70" t="e">
        <v>#N/A</v>
      </c>
      <c r="X569" s="64" t="s">
        <v>6764</v>
      </c>
      <c r="Y569" s="64" t="s">
        <v>6764</v>
      </c>
      <c r="Z569" s="66" t="s">
        <v>6597</v>
      </c>
      <c r="AA569" s="71"/>
    </row>
    <row r="570" ht="15.75" hidden="1" customHeight="1">
      <c r="A570" s="56" t="s">
        <v>6764</v>
      </c>
      <c r="B570" s="56" t="s">
        <v>6764</v>
      </c>
      <c r="C570" s="57"/>
      <c r="D570" s="127" t="s">
        <v>6559</v>
      </c>
      <c r="E570" s="59" t="s">
        <v>6764</v>
      </c>
      <c r="F570" s="60"/>
      <c r="G570" s="61" t="s">
        <v>6764</v>
      </c>
      <c r="H570" s="83"/>
      <c r="I570" s="89" t="e">
        <v>#N/A</v>
      </c>
      <c r="J570" s="65" t="e">
        <v>#N/A</v>
      </c>
      <c r="K570" s="66"/>
      <c r="L570" s="66"/>
      <c r="M570" s="66"/>
      <c r="N570" s="66"/>
      <c r="O570" s="127" t="s">
        <v>6559</v>
      </c>
      <c r="P570" s="59" t="e">
        <v>#N/A</v>
      </c>
      <c r="Q570" s="67" t="e">
        <v>#N/A</v>
      </c>
      <c r="R570" s="68" t="e">
        <v>#N/A</v>
      </c>
      <c r="S570" s="62" t="e">
        <v>#N/A</v>
      </c>
      <c r="T570" s="62" t="e">
        <v>#N/A</v>
      </c>
      <c r="U570" s="63">
        <v>0.0</v>
      </c>
      <c r="V570" s="69" t="e">
        <v>#N/A</v>
      </c>
      <c r="W570" s="70" t="e">
        <v>#N/A</v>
      </c>
      <c r="X570" s="64" t="s">
        <v>6764</v>
      </c>
      <c r="Y570" s="64" t="s">
        <v>6764</v>
      </c>
      <c r="Z570" s="66" t="s">
        <v>6597</v>
      </c>
      <c r="AA570" s="71"/>
    </row>
    <row r="571" ht="15.75" hidden="1" customHeight="1">
      <c r="A571" s="56" t="s">
        <v>6764</v>
      </c>
      <c r="B571" s="56" t="s">
        <v>6764</v>
      </c>
      <c r="C571" s="57"/>
      <c r="D571" s="127" t="s">
        <v>6559</v>
      </c>
      <c r="E571" s="59" t="s">
        <v>6764</v>
      </c>
      <c r="F571" s="60"/>
      <c r="G571" s="61" t="s">
        <v>6764</v>
      </c>
      <c r="H571" s="83"/>
      <c r="I571" s="89" t="e">
        <v>#N/A</v>
      </c>
      <c r="J571" s="65" t="e">
        <v>#N/A</v>
      </c>
      <c r="K571" s="66"/>
      <c r="L571" s="66"/>
      <c r="M571" s="66"/>
      <c r="N571" s="66"/>
      <c r="O571" s="127" t="s">
        <v>6559</v>
      </c>
      <c r="P571" s="59" t="e">
        <v>#N/A</v>
      </c>
      <c r="Q571" s="67" t="e">
        <v>#N/A</v>
      </c>
      <c r="R571" s="68" t="e">
        <v>#N/A</v>
      </c>
      <c r="S571" s="62" t="e">
        <v>#N/A</v>
      </c>
      <c r="T571" s="62" t="e">
        <v>#N/A</v>
      </c>
      <c r="U571" s="63">
        <v>0.0</v>
      </c>
      <c r="V571" s="69" t="e">
        <v>#N/A</v>
      </c>
      <c r="W571" s="70" t="e">
        <v>#N/A</v>
      </c>
      <c r="X571" s="64" t="s">
        <v>6764</v>
      </c>
      <c r="Y571" s="64" t="s">
        <v>6764</v>
      </c>
      <c r="Z571" s="66" t="s">
        <v>6597</v>
      </c>
      <c r="AA571" s="71"/>
    </row>
    <row r="572" ht="15.75" hidden="1" customHeight="1">
      <c r="A572" s="56" t="s">
        <v>6764</v>
      </c>
      <c r="B572" s="56" t="s">
        <v>6764</v>
      </c>
      <c r="C572" s="57"/>
      <c r="D572" s="127" t="s">
        <v>6559</v>
      </c>
      <c r="E572" s="59" t="s">
        <v>6764</v>
      </c>
      <c r="F572" s="60"/>
      <c r="G572" s="61" t="s">
        <v>6764</v>
      </c>
      <c r="H572" s="83"/>
      <c r="I572" s="89" t="e">
        <v>#N/A</v>
      </c>
      <c r="J572" s="65" t="e">
        <v>#N/A</v>
      </c>
      <c r="K572" s="66"/>
      <c r="L572" s="66"/>
      <c r="M572" s="66"/>
      <c r="N572" s="66"/>
      <c r="O572" s="127" t="s">
        <v>6559</v>
      </c>
      <c r="P572" s="59" t="e">
        <v>#N/A</v>
      </c>
      <c r="Q572" s="67" t="e">
        <v>#N/A</v>
      </c>
      <c r="R572" s="68" t="e">
        <v>#N/A</v>
      </c>
      <c r="S572" s="62" t="e">
        <v>#N/A</v>
      </c>
      <c r="T572" s="62" t="e">
        <v>#N/A</v>
      </c>
      <c r="U572" s="63">
        <v>0.0</v>
      </c>
      <c r="V572" s="69" t="e">
        <v>#N/A</v>
      </c>
      <c r="W572" s="70" t="e">
        <v>#N/A</v>
      </c>
      <c r="X572" s="64" t="s">
        <v>6764</v>
      </c>
      <c r="Y572" s="64" t="s">
        <v>6764</v>
      </c>
      <c r="Z572" s="66" t="s">
        <v>6597</v>
      </c>
      <c r="AA572" s="71"/>
    </row>
    <row r="573" ht="15.75" hidden="1" customHeight="1">
      <c r="A573" s="56" t="s">
        <v>6764</v>
      </c>
      <c r="B573" s="56" t="s">
        <v>6764</v>
      </c>
      <c r="C573" s="57"/>
      <c r="D573" s="127" t="s">
        <v>6559</v>
      </c>
      <c r="E573" s="59" t="s">
        <v>6764</v>
      </c>
      <c r="F573" s="60"/>
      <c r="G573" s="61" t="s">
        <v>6764</v>
      </c>
      <c r="H573" s="83"/>
      <c r="I573" s="89" t="e">
        <v>#N/A</v>
      </c>
      <c r="J573" s="65" t="e">
        <v>#N/A</v>
      </c>
      <c r="K573" s="66"/>
      <c r="L573" s="66"/>
      <c r="M573" s="66"/>
      <c r="N573" s="66"/>
      <c r="O573" s="127" t="s">
        <v>6559</v>
      </c>
      <c r="P573" s="59" t="e">
        <v>#N/A</v>
      </c>
      <c r="Q573" s="67" t="e">
        <v>#N/A</v>
      </c>
      <c r="R573" s="68" t="e">
        <v>#N/A</v>
      </c>
      <c r="S573" s="62" t="e">
        <v>#N/A</v>
      </c>
      <c r="T573" s="62" t="e">
        <v>#N/A</v>
      </c>
      <c r="U573" s="63">
        <v>0.0</v>
      </c>
      <c r="V573" s="69" t="e">
        <v>#N/A</v>
      </c>
      <c r="W573" s="70" t="e">
        <v>#N/A</v>
      </c>
      <c r="X573" s="64" t="s">
        <v>6764</v>
      </c>
      <c r="Y573" s="64" t="s">
        <v>6764</v>
      </c>
      <c r="Z573" s="66" t="s">
        <v>6597</v>
      </c>
      <c r="AA573" s="71"/>
    </row>
    <row r="574" ht="15.75" hidden="1" customHeight="1">
      <c r="A574" s="56" t="s">
        <v>6764</v>
      </c>
      <c r="B574" s="56" t="s">
        <v>6764</v>
      </c>
      <c r="C574" s="57"/>
      <c r="D574" s="127" t="s">
        <v>6559</v>
      </c>
      <c r="E574" s="59" t="s">
        <v>6764</v>
      </c>
      <c r="F574" s="60"/>
      <c r="G574" s="61" t="s">
        <v>6764</v>
      </c>
      <c r="H574" s="83"/>
      <c r="I574" s="89" t="e">
        <v>#N/A</v>
      </c>
      <c r="J574" s="65" t="e">
        <v>#N/A</v>
      </c>
      <c r="K574" s="66"/>
      <c r="L574" s="66"/>
      <c r="M574" s="66"/>
      <c r="N574" s="66"/>
      <c r="O574" s="127" t="s">
        <v>6559</v>
      </c>
      <c r="P574" s="59" t="e">
        <v>#N/A</v>
      </c>
      <c r="Q574" s="67" t="e">
        <v>#N/A</v>
      </c>
      <c r="R574" s="68" t="e">
        <v>#N/A</v>
      </c>
      <c r="S574" s="62" t="e">
        <v>#N/A</v>
      </c>
      <c r="T574" s="62" t="e">
        <v>#N/A</v>
      </c>
      <c r="U574" s="63">
        <v>0.0</v>
      </c>
      <c r="V574" s="69" t="e">
        <v>#N/A</v>
      </c>
      <c r="W574" s="70" t="e">
        <v>#N/A</v>
      </c>
      <c r="X574" s="64" t="s">
        <v>6764</v>
      </c>
      <c r="Y574" s="64" t="s">
        <v>6764</v>
      </c>
      <c r="Z574" s="66" t="s">
        <v>6597</v>
      </c>
      <c r="AA574" s="71"/>
    </row>
    <row r="575" ht="15.75" hidden="1" customHeight="1">
      <c r="A575" s="56" t="s">
        <v>6764</v>
      </c>
      <c r="B575" s="56" t="s">
        <v>6764</v>
      </c>
      <c r="C575" s="57"/>
      <c r="D575" s="127" t="s">
        <v>6559</v>
      </c>
      <c r="E575" s="59" t="s">
        <v>6764</v>
      </c>
      <c r="F575" s="60"/>
      <c r="G575" s="61" t="s">
        <v>6764</v>
      </c>
      <c r="H575" s="83"/>
      <c r="I575" s="89" t="e">
        <v>#N/A</v>
      </c>
      <c r="J575" s="65" t="e">
        <v>#N/A</v>
      </c>
      <c r="K575" s="66"/>
      <c r="L575" s="66"/>
      <c r="M575" s="66"/>
      <c r="N575" s="66"/>
      <c r="O575" s="127" t="s">
        <v>6559</v>
      </c>
      <c r="P575" s="59" t="e">
        <v>#N/A</v>
      </c>
      <c r="Q575" s="67" t="e">
        <v>#N/A</v>
      </c>
      <c r="R575" s="68" t="e">
        <v>#N/A</v>
      </c>
      <c r="S575" s="62" t="e">
        <v>#N/A</v>
      </c>
      <c r="T575" s="62" t="e">
        <v>#N/A</v>
      </c>
      <c r="U575" s="63">
        <v>0.0</v>
      </c>
      <c r="V575" s="69" t="e">
        <v>#N/A</v>
      </c>
      <c r="W575" s="70" t="e">
        <v>#N/A</v>
      </c>
      <c r="X575" s="64" t="s">
        <v>6764</v>
      </c>
      <c r="Y575" s="64" t="s">
        <v>6764</v>
      </c>
      <c r="Z575" s="66" t="s">
        <v>6597</v>
      </c>
      <c r="AA575" s="71"/>
    </row>
    <row r="576" ht="15.75" hidden="1" customHeight="1">
      <c r="A576" s="56" t="s">
        <v>6764</v>
      </c>
      <c r="B576" s="56" t="s">
        <v>6764</v>
      </c>
      <c r="C576" s="57"/>
      <c r="D576" s="127" t="s">
        <v>6559</v>
      </c>
      <c r="E576" s="59" t="s">
        <v>6764</v>
      </c>
      <c r="F576" s="60"/>
      <c r="G576" s="61" t="s">
        <v>6764</v>
      </c>
      <c r="H576" s="83"/>
      <c r="I576" s="89" t="e">
        <v>#N/A</v>
      </c>
      <c r="J576" s="65" t="e">
        <v>#N/A</v>
      </c>
      <c r="K576" s="66"/>
      <c r="L576" s="66"/>
      <c r="M576" s="66"/>
      <c r="N576" s="66"/>
      <c r="O576" s="127" t="s">
        <v>6559</v>
      </c>
      <c r="P576" s="59" t="e">
        <v>#N/A</v>
      </c>
      <c r="Q576" s="67" t="e">
        <v>#N/A</v>
      </c>
      <c r="R576" s="68" t="e">
        <v>#N/A</v>
      </c>
      <c r="S576" s="62" t="e">
        <v>#N/A</v>
      </c>
      <c r="T576" s="62" t="e">
        <v>#N/A</v>
      </c>
      <c r="U576" s="63">
        <v>0.0</v>
      </c>
      <c r="V576" s="69" t="e">
        <v>#N/A</v>
      </c>
      <c r="W576" s="70" t="e">
        <v>#N/A</v>
      </c>
      <c r="X576" s="64" t="s">
        <v>6764</v>
      </c>
      <c r="Y576" s="64" t="s">
        <v>6764</v>
      </c>
      <c r="Z576" s="66" t="s">
        <v>6597</v>
      </c>
      <c r="AA576" s="71"/>
    </row>
    <row r="577" ht="15.75" hidden="1" customHeight="1">
      <c r="A577" s="56" t="s">
        <v>6764</v>
      </c>
      <c r="B577" s="56" t="s">
        <v>6764</v>
      </c>
      <c r="C577" s="57"/>
      <c r="D577" s="127" t="s">
        <v>6559</v>
      </c>
      <c r="E577" s="59" t="s">
        <v>6764</v>
      </c>
      <c r="F577" s="60"/>
      <c r="G577" s="61" t="s">
        <v>6764</v>
      </c>
      <c r="H577" s="83"/>
      <c r="I577" s="89" t="e">
        <v>#N/A</v>
      </c>
      <c r="J577" s="65" t="e">
        <v>#N/A</v>
      </c>
      <c r="K577" s="66"/>
      <c r="L577" s="66"/>
      <c r="M577" s="66"/>
      <c r="N577" s="66"/>
      <c r="O577" s="127" t="s">
        <v>6559</v>
      </c>
      <c r="P577" s="59" t="e">
        <v>#N/A</v>
      </c>
      <c r="Q577" s="67" t="e">
        <v>#N/A</v>
      </c>
      <c r="R577" s="68" t="e">
        <v>#N/A</v>
      </c>
      <c r="S577" s="62" t="e">
        <v>#N/A</v>
      </c>
      <c r="T577" s="62" t="e">
        <v>#N/A</v>
      </c>
      <c r="U577" s="63">
        <v>0.0</v>
      </c>
      <c r="V577" s="69" t="e">
        <v>#N/A</v>
      </c>
      <c r="W577" s="70" t="e">
        <v>#N/A</v>
      </c>
      <c r="X577" s="64" t="s">
        <v>6764</v>
      </c>
      <c r="Y577" s="64" t="s">
        <v>6764</v>
      </c>
      <c r="Z577" s="66" t="s">
        <v>6597</v>
      </c>
      <c r="AA577" s="71"/>
    </row>
    <row r="578" ht="15.75" hidden="1" customHeight="1">
      <c r="A578" s="56" t="s">
        <v>6764</v>
      </c>
      <c r="B578" s="56" t="s">
        <v>6764</v>
      </c>
      <c r="C578" s="57"/>
      <c r="D578" s="127" t="s">
        <v>6559</v>
      </c>
      <c r="E578" s="59" t="s">
        <v>6764</v>
      </c>
      <c r="F578" s="60"/>
      <c r="G578" s="61" t="s">
        <v>6764</v>
      </c>
      <c r="H578" s="83"/>
      <c r="I578" s="89" t="e">
        <v>#N/A</v>
      </c>
      <c r="J578" s="65" t="e">
        <v>#N/A</v>
      </c>
      <c r="K578" s="66"/>
      <c r="L578" s="66"/>
      <c r="M578" s="66"/>
      <c r="N578" s="66"/>
      <c r="O578" s="127" t="s">
        <v>6559</v>
      </c>
      <c r="P578" s="59" t="e">
        <v>#N/A</v>
      </c>
      <c r="Q578" s="67" t="e">
        <v>#N/A</v>
      </c>
      <c r="R578" s="68" t="e">
        <v>#N/A</v>
      </c>
      <c r="S578" s="62" t="e">
        <v>#N/A</v>
      </c>
      <c r="T578" s="62" t="e">
        <v>#N/A</v>
      </c>
      <c r="U578" s="63">
        <v>0.0</v>
      </c>
      <c r="V578" s="69" t="e">
        <v>#N/A</v>
      </c>
      <c r="W578" s="70" t="e">
        <v>#N/A</v>
      </c>
      <c r="X578" s="64" t="s">
        <v>6764</v>
      </c>
      <c r="Y578" s="64" t="s">
        <v>6764</v>
      </c>
      <c r="Z578" s="66" t="s">
        <v>6597</v>
      </c>
      <c r="AA578" s="71"/>
    </row>
    <row r="579" ht="15.75" hidden="1" customHeight="1">
      <c r="A579" s="56" t="s">
        <v>6764</v>
      </c>
      <c r="B579" s="56" t="s">
        <v>6764</v>
      </c>
      <c r="C579" s="57"/>
      <c r="D579" s="127" t="s">
        <v>6559</v>
      </c>
      <c r="E579" s="59" t="s">
        <v>6764</v>
      </c>
      <c r="F579" s="60"/>
      <c r="G579" s="61" t="s">
        <v>6764</v>
      </c>
      <c r="H579" s="83"/>
      <c r="I579" s="89" t="e">
        <v>#N/A</v>
      </c>
      <c r="J579" s="65" t="e">
        <v>#N/A</v>
      </c>
      <c r="K579" s="66"/>
      <c r="L579" s="66"/>
      <c r="M579" s="66"/>
      <c r="N579" s="66"/>
      <c r="O579" s="127" t="s">
        <v>6559</v>
      </c>
      <c r="P579" s="59" t="e">
        <v>#N/A</v>
      </c>
      <c r="Q579" s="67" t="e">
        <v>#N/A</v>
      </c>
      <c r="R579" s="68" t="e">
        <v>#N/A</v>
      </c>
      <c r="S579" s="62" t="e">
        <v>#N/A</v>
      </c>
      <c r="T579" s="62" t="e">
        <v>#N/A</v>
      </c>
      <c r="U579" s="63">
        <v>0.0</v>
      </c>
      <c r="V579" s="69" t="e">
        <v>#N/A</v>
      </c>
      <c r="W579" s="70" t="e">
        <v>#N/A</v>
      </c>
      <c r="X579" s="64" t="s">
        <v>6764</v>
      </c>
      <c r="Y579" s="64" t="s">
        <v>6764</v>
      </c>
      <c r="Z579" s="66" t="s">
        <v>6597</v>
      </c>
      <c r="AA579" s="71"/>
    </row>
    <row r="580" ht="15.75" hidden="1" customHeight="1">
      <c r="A580" s="56" t="s">
        <v>6764</v>
      </c>
      <c r="B580" s="56" t="s">
        <v>6764</v>
      </c>
      <c r="C580" s="57"/>
      <c r="D580" s="127" t="s">
        <v>6559</v>
      </c>
      <c r="E580" s="59" t="s">
        <v>6764</v>
      </c>
      <c r="F580" s="60"/>
      <c r="G580" s="61" t="s">
        <v>6764</v>
      </c>
      <c r="H580" s="83"/>
      <c r="I580" s="89" t="e">
        <v>#N/A</v>
      </c>
      <c r="J580" s="65" t="e">
        <v>#N/A</v>
      </c>
      <c r="K580" s="66"/>
      <c r="L580" s="66"/>
      <c r="M580" s="66"/>
      <c r="N580" s="66"/>
      <c r="O580" s="127" t="s">
        <v>6559</v>
      </c>
      <c r="P580" s="59" t="e">
        <v>#N/A</v>
      </c>
      <c r="Q580" s="67" t="e">
        <v>#N/A</v>
      </c>
      <c r="R580" s="68" t="e">
        <v>#N/A</v>
      </c>
      <c r="S580" s="62" t="e">
        <v>#N/A</v>
      </c>
      <c r="T580" s="62" t="e">
        <v>#N/A</v>
      </c>
      <c r="U580" s="63">
        <v>0.0</v>
      </c>
      <c r="V580" s="69" t="e">
        <v>#N/A</v>
      </c>
      <c r="W580" s="70" t="e">
        <v>#N/A</v>
      </c>
      <c r="X580" s="64" t="s">
        <v>6764</v>
      </c>
      <c r="Y580" s="64" t="s">
        <v>6764</v>
      </c>
      <c r="Z580" s="66" t="s">
        <v>6597</v>
      </c>
      <c r="AA580" s="71"/>
    </row>
    <row r="581" ht="15.75" hidden="1" customHeight="1">
      <c r="A581" s="56" t="s">
        <v>6764</v>
      </c>
      <c r="B581" s="56" t="s">
        <v>6764</v>
      </c>
      <c r="C581" s="57"/>
      <c r="D581" s="127" t="s">
        <v>6559</v>
      </c>
      <c r="E581" s="59" t="s">
        <v>6764</v>
      </c>
      <c r="F581" s="60"/>
      <c r="G581" s="61" t="s">
        <v>6764</v>
      </c>
      <c r="H581" s="83"/>
      <c r="I581" s="89" t="e">
        <v>#N/A</v>
      </c>
      <c r="J581" s="65" t="e">
        <v>#N/A</v>
      </c>
      <c r="K581" s="66"/>
      <c r="L581" s="66"/>
      <c r="M581" s="66"/>
      <c r="N581" s="66"/>
      <c r="O581" s="127" t="s">
        <v>6559</v>
      </c>
      <c r="P581" s="59" t="e">
        <v>#N/A</v>
      </c>
      <c r="Q581" s="67" t="e">
        <v>#N/A</v>
      </c>
      <c r="R581" s="68" t="e">
        <v>#N/A</v>
      </c>
      <c r="S581" s="62" t="e">
        <v>#N/A</v>
      </c>
      <c r="T581" s="62" t="e">
        <v>#N/A</v>
      </c>
      <c r="U581" s="63">
        <v>0.0</v>
      </c>
      <c r="V581" s="69" t="e">
        <v>#N/A</v>
      </c>
      <c r="W581" s="70" t="e">
        <v>#N/A</v>
      </c>
      <c r="X581" s="64" t="s">
        <v>6764</v>
      </c>
      <c r="Y581" s="64" t="s">
        <v>6764</v>
      </c>
      <c r="Z581" s="66" t="s">
        <v>6597</v>
      </c>
      <c r="AA581" s="71"/>
    </row>
    <row r="582" ht="15.75" hidden="1" customHeight="1">
      <c r="A582" s="56" t="s">
        <v>6764</v>
      </c>
      <c r="B582" s="56" t="s">
        <v>6764</v>
      </c>
      <c r="C582" s="57"/>
      <c r="D582" s="127" t="s">
        <v>6559</v>
      </c>
      <c r="E582" s="59" t="s">
        <v>6764</v>
      </c>
      <c r="F582" s="60"/>
      <c r="G582" s="61" t="s">
        <v>6764</v>
      </c>
      <c r="H582" s="83"/>
      <c r="I582" s="89" t="e">
        <v>#N/A</v>
      </c>
      <c r="J582" s="65" t="e">
        <v>#N/A</v>
      </c>
      <c r="K582" s="66"/>
      <c r="L582" s="66"/>
      <c r="M582" s="66"/>
      <c r="N582" s="66"/>
      <c r="O582" s="127" t="s">
        <v>6559</v>
      </c>
      <c r="P582" s="59" t="e">
        <v>#N/A</v>
      </c>
      <c r="Q582" s="67" t="e">
        <v>#N/A</v>
      </c>
      <c r="R582" s="68" t="e">
        <v>#N/A</v>
      </c>
      <c r="S582" s="62" t="e">
        <v>#N/A</v>
      </c>
      <c r="T582" s="62" t="e">
        <v>#N/A</v>
      </c>
      <c r="U582" s="63">
        <v>0.0</v>
      </c>
      <c r="V582" s="69" t="e">
        <v>#N/A</v>
      </c>
      <c r="W582" s="70" t="e">
        <v>#N/A</v>
      </c>
      <c r="X582" s="64" t="s">
        <v>6764</v>
      </c>
      <c r="Y582" s="64" t="s">
        <v>6764</v>
      </c>
      <c r="Z582" s="66" t="s">
        <v>6597</v>
      </c>
      <c r="AA582" s="71"/>
    </row>
    <row r="583" ht="15.75" hidden="1" customHeight="1">
      <c r="A583" s="56" t="s">
        <v>6764</v>
      </c>
      <c r="B583" s="56" t="s">
        <v>6764</v>
      </c>
      <c r="C583" s="57"/>
      <c r="D583" s="127" t="s">
        <v>6559</v>
      </c>
      <c r="E583" s="59" t="s">
        <v>6764</v>
      </c>
      <c r="F583" s="60"/>
      <c r="G583" s="61" t="s">
        <v>6764</v>
      </c>
      <c r="H583" s="83"/>
      <c r="I583" s="89" t="e">
        <v>#N/A</v>
      </c>
      <c r="J583" s="65" t="e">
        <v>#N/A</v>
      </c>
      <c r="K583" s="66"/>
      <c r="L583" s="66"/>
      <c r="M583" s="66"/>
      <c r="N583" s="66"/>
      <c r="O583" s="127" t="s">
        <v>6559</v>
      </c>
      <c r="P583" s="59" t="e">
        <v>#N/A</v>
      </c>
      <c r="Q583" s="67" t="e">
        <v>#N/A</v>
      </c>
      <c r="R583" s="68" t="e">
        <v>#N/A</v>
      </c>
      <c r="S583" s="62" t="e">
        <v>#N/A</v>
      </c>
      <c r="T583" s="62" t="e">
        <v>#N/A</v>
      </c>
      <c r="U583" s="63">
        <v>0.0</v>
      </c>
      <c r="V583" s="69" t="e">
        <v>#N/A</v>
      </c>
      <c r="W583" s="70" t="e">
        <v>#N/A</v>
      </c>
      <c r="X583" s="64" t="s">
        <v>6764</v>
      </c>
      <c r="Y583" s="64" t="s">
        <v>6764</v>
      </c>
      <c r="Z583" s="66" t="s">
        <v>6597</v>
      </c>
      <c r="AA583" s="71"/>
    </row>
    <row r="584" ht="15.75" hidden="1" customHeight="1">
      <c r="A584" s="56" t="s">
        <v>6764</v>
      </c>
      <c r="B584" s="56" t="s">
        <v>6764</v>
      </c>
      <c r="C584" s="57"/>
      <c r="D584" s="127" t="s">
        <v>6559</v>
      </c>
      <c r="E584" s="59" t="s">
        <v>6764</v>
      </c>
      <c r="F584" s="60"/>
      <c r="G584" s="61" t="s">
        <v>6764</v>
      </c>
      <c r="H584" s="83"/>
      <c r="I584" s="89" t="e">
        <v>#N/A</v>
      </c>
      <c r="J584" s="65" t="e">
        <v>#N/A</v>
      </c>
      <c r="K584" s="66"/>
      <c r="L584" s="66"/>
      <c r="M584" s="66"/>
      <c r="N584" s="66"/>
      <c r="O584" s="127" t="s">
        <v>6559</v>
      </c>
      <c r="P584" s="59" t="e">
        <v>#N/A</v>
      </c>
      <c r="Q584" s="67" t="e">
        <v>#N/A</v>
      </c>
      <c r="R584" s="68" t="e">
        <v>#N/A</v>
      </c>
      <c r="S584" s="62" t="e">
        <v>#N/A</v>
      </c>
      <c r="T584" s="62" t="e">
        <v>#N/A</v>
      </c>
      <c r="U584" s="63">
        <v>0.0</v>
      </c>
      <c r="V584" s="69" t="e">
        <v>#N/A</v>
      </c>
      <c r="W584" s="70" t="e">
        <v>#N/A</v>
      </c>
      <c r="X584" s="64" t="s">
        <v>6764</v>
      </c>
      <c r="Y584" s="64" t="s">
        <v>6764</v>
      </c>
      <c r="Z584" s="66" t="s">
        <v>6597</v>
      </c>
      <c r="AA584" s="71"/>
    </row>
    <row r="585" ht="15.75" hidden="1" customHeight="1">
      <c r="A585" s="56" t="s">
        <v>6764</v>
      </c>
      <c r="B585" s="56" t="s">
        <v>6764</v>
      </c>
      <c r="C585" s="57"/>
      <c r="D585" s="127" t="s">
        <v>6559</v>
      </c>
      <c r="E585" s="59" t="s">
        <v>6764</v>
      </c>
      <c r="F585" s="60"/>
      <c r="G585" s="61" t="s">
        <v>6764</v>
      </c>
      <c r="H585" s="83"/>
      <c r="I585" s="89" t="e">
        <v>#N/A</v>
      </c>
      <c r="J585" s="65" t="e">
        <v>#N/A</v>
      </c>
      <c r="K585" s="66"/>
      <c r="L585" s="66"/>
      <c r="M585" s="66"/>
      <c r="N585" s="66"/>
      <c r="O585" s="127" t="s">
        <v>6559</v>
      </c>
      <c r="P585" s="59" t="e">
        <v>#N/A</v>
      </c>
      <c r="Q585" s="67" t="e">
        <v>#N/A</v>
      </c>
      <c r="R585" s="68" t="e">
        <v>#N/A</v>
      </c>
      <c r="S585" s="62" t="e">
        <v>#N/A</v>
      </c>
      <c r="T585" s="62" t="e">
        <v>#N/A</v>
      </c>
      <c r="U585" s="63">
        <v>0.0</v>
      </c>
      <c r="V585" s="69" t="e">
        <v>#N/A</v>
      </c>
      <c r="W585" s="70" t="e">
        <v>#N/A</v>
      </c>
      <c r="X585" s="64" t="s">
        <v>6764</v>
      </c>
      <c r="Y585" s="64" t="s">
        <v>6764</v>
      </c>
      <c r="Z585" s="66" t="s">
        <v>6597</v>
      </c>
      <c r="AA585" s="71"/>
    </row>
    <row r="586" ht="15.75" hidden="1" customHeight="1">
      <c r="A586" s="56" t="s">
        <v>6764</v>
      </c>
      <c r="B586" s="56" t="s">
        <v>6764</v>
      </c>
      <c r="C586" s="57"/>
      <c r="D586" s="127" t="s">
        <v>6559</v>
      </c>
      <c r="E586" s="59" t="s">
        <v>6764</v>
      </c>
      <c r="F586" s="60"/>
      <c r="G586" s="61" t="s">
        <v>6764</v>
      </c>
      <c r="H586" s="83"/>
      <c r="I586" s="89" t="e">
        <v>#N/A</v>
      </c>
      <c r="J586" s="65" t="e">
        <v>#N/A</v>
      </c>
      <c r="K586" s="66"/>
      <c r="L586" s="66"/>
      <c r="M586" s="66"/>
      <c r="N586" s="66"/>
      <c r="O586" s="127" t="s">
        <v>6559</v>
      </c>
      <c r="P586" s="59" t="e">
        <v>#N/A</v>
      </c>
      <c r="Q586" s="67" t="e">
        <v>#N/A</v>
      </c>
      <c r="R586" s="68" t="e">
        <v>#N/A</v>
      </c>
      <c r="S586" s="62" t="e">
        <v>#N/A</v>
      </c>
      <c r="T586" s="62" t="e">
        <v>#N/A</v>
      </c>
      <c r="U586" s="63">
        <v>0.0</v>
      </c>
      <c r="V586" s="69" t="e">
        <v>#N/A</v>
      </c>
      <c r="W586" s="70" t="e">
        <v>#N/A</v>
      </c>
      <c r="X586" s="64" t="s">
        <v>6764</v>
      </c>
      <c r="Y586" s="64" t="s">
        <v>6764</v>
      </c>
      <c r="Z586" s="66" t="s">
        <v>6597</v>
      </c>
      <c r="AA586" s="71"/>
    </row>
    <row r="587" ht="15.75" hidden="1" customHeight="1">
      <c r="A587" s="56" t="s">
        <v>6764</v>
      </c>
      <c r="B587" s="56" t="s">
        <v>6764</v>
      </c>
      <c r="C587" s="57"/>
      <c r="D587" s="127" t="s">
        <v>6559</v>
      </c>
      <c r="E587" s="59" t="s">
        <v>6764</v>
      </c>
      <c r="F587" s="60"/>
      <c r="G587" s="61" t="s">
        <v>6764</v>
      </c>
      <c r="H587" s="83"/>
      <c r="I587" s="89" t="e">
        <v>#N/A</v>
      </c>
      <c r="J587" s="65" t="e">
        <v>#N/A</v>
      </c>
      <c r="K587" s="66"/>
      <c r="L587" s="66"/>
      <c r="M587" s="66"/>
      <c r="N587" s="66"/>
      <c r="O587" s="127" t="s">
        <v>6559</v>
      </c>
      <c r="P587" s="59" t="e">
        <v>#N/A</v>
      </c>
      <c r="Q587" s="67" t="e">
        <v>#N/A</v>
      </c>
      <c r="R587" s="68" t="e">
        <v>#N/A</v>
      </c>
      <c r="S587" s="62" t="e">
        <v>#N/A</v>
      </c>
      <c r="T587" s="62" t="e">
        <v>#N/A</v>
      </c>
      <c r="U587" s="63">
        <v>0.0</v>
      </c>
      <c r="V587" s="69" t="e">
        <v>#N/A</v>
      </c>
      <c r="W587" s="70" t="e">
        <v>#N/A</v>
      </c>
      <c r="X587" s="64" t="s">
        <v>6764</v>
      </c>
      <c r="Y587" s="64" t="s">
        <v>6764</v>
      </c>
      <c r="Z587" s="66" t="s">
        <v>6597</v>
      </c>
      <c r="AA587" s="71"/>
    </row>
    <row r="588" ht="15.75" hidden="1" customHeight="1">
      <c r="A588" s="56" t="s">
        <v>6764</v>
      </c>
      <c r="B588" s="56" t="s">
        <v>6764</v>
      </c>
      <c r="C588" s="57"/>
      <c r="D588" s="127" t="s">
        <v>6559</v>
      </c>
      <c r="E588" s="59" t="s">
        <v>6764</v>
      </c>
      <c r="F588" s="60"/>
      <c r="G588" s="61" t="s">
        <v>6764</v>
      </c>
      <c r="H588" s="83"/>
      <c r="I588" s="89" t="e">
        <v>#N/A</v>
      </c>
      <c r="J588" s="65" t="e">
        <v>#N/A</v>
      </c>
      <c r="K588" s="66"/>
      <c r="L588" s="66"/>
      <c r="M588" s="66"/>
      <c r="N588" s="66"/>
      <c r="O588" s="127" t="s">
        <v>6559</v>
      </c>
      <c r="P588" s="59" t="e">
        <v>#N/A</v>
      </c>
      <c r="Q588" s="67" t="e">
        <v>#N/A</v>
      </c>
      <c r="R588" s="68" t="e">
        <v>#N/A</v>
      </c>
      <c r="S588" s="62" t="e">
        <v>#N/A</v>
      </c>
      <c r="T588" s="62" t="e">
        <v>#N/A</v>
      </c>
      <c r="U588" s="63">
        <v>0.0</v>
      </c>
      <c r="V588" s="69" t="e">
        <v>#N/A</v>
      </c>
      <c r="W588" s="70" t="e">
        <v>#N/A</v>
      </c>
      <c r="X588" s="64" t="s">
        <v>6764</v>
      </c>
      <c r="Y588" s="64" t="s">
        <v>6764</v>
      </c>
      <c r="Z588" s="66" t="s">
        <v>6597</v>
      </c>
      <c r="AA588" s="71"/>
    </row>
    <row r="589" ht="15.75" hidden="1" customHeight="1">
      <c r="A589" s="56" t="s">
        <v>6764</v>
      </c>
      <c r="B589" s="56" t="s">
        <v>6764</v>
      </c>
      <c r="C589" s="57"/>
      <c r="D589" s="127" t="s">
        <v>6559</v>
      </c>
      <c r="E589" s="59" t="s">
        <v>6764</v>
      </c>
      <c r="F589" s="60"/>
      <c r="G589" s="61" t="s">
        <v>6764</v>
      </c>
      <c r="H589" s="83"/>
      <c r="I589" s="89" t="e">
        <v>#N/A</v>
      </c>
      <c r="J589" s="65" t="e">
        <v>#N/A</v>
      </c>
      <c r="K589" s="66"/>
      <c r="L589" s="66"/>
      <c r="M589" s="66"/>
      <c r="N589" s="66"/>
      <c r="O589" s="127" t="s">
        <v>6559</v>
      </c>
      <c r="P589" s="59" t="e">
        <v>#N/A</v>
      </c>
      <c r="Q589" s="67" t="e">
        <v>#N/A</v>
      </c>
      <c r="R589" s="68" t="e">
        <v>#N/A</v>
      </c>
      <c r="S589" s="62" t="e">
        <v>#N/A</v>
      </c>
      <c r="T589" s="62" t="e">
        <v>#N/A</v>
      </c>
      <c r="U589" s="63">
        <v>0.0</v>
      </c>
      <c r="V589" s="69" t="e">
        <v>#N/A</v>
      </c>
      <c r="W589" s="70" t="e">
        <v>#N/A</v>
      </c>
      <c r="X589" s="64" t="s">
        <v>6764</v>
      </c>
      <c r="Y589" s="64" t="s">
        <v>6764</v>
      </c>
      <c r="Z589" s="66" t="s">
        <v>6597</v>
      </c>
      <c r="AA589" s="71"/>
    </row>
    <row r="590" ht="15.75" hidden="1" customHeight="1">
      <c r="A590" s="56" t="s">
        <v>6764</v>
      </c>
      <c r="B590" s="56" t="s">
        <v>6764</v>
      </c>
      <c r="C590" s="57"/>
      <c r="D590" s="127" t="s">
        <v>6559</v>
      </c>
      <c r="E590" s="59" t="s">
        <v>6764</v>
      </c>
      <c r="F590" s="60"/>
      <c r="G590" s="61" t="s">
        <v>6764</v>
      </c>
      <c r="H590" s="83"/>
      <c r="I590" s="89" t="e">
        <v>#N/A</v>
      </c>
      <c r="J590" s="65" t="e">
        <v>#N/A</v>
      </c>
      <c r="K590" s="66"/>
      <c r="L590" s="66"/>
      <c r="M590" s="66"/>
      <c r="N590" s="66"/>
      <c r="O590" s="127" t="s">
        <v>6559</v>
      </c>
      <c r="P590" s="59" t="e">
        <v>#N/A</v>
      </c>
      <c r="Q590" s="67" t="e">
        <v>#N/A</v>
      </c>
      <c r="R590" s="68" t="e">
        <v>#N/A</v>
      </c>
      <c r="S590" s="62" t="e">
        <v>#N/A</v>
      </c>
      <c r="T590" s="62" t="e">
        <v>#N/A</v>
      </c>
      <c r="U590" s="63">
        <v>0.0</v>
      </c>
      <c r="V590" s="69" t="e">
        <v>#N/A</v>
      </c>
      <c r="W590" s="70" t="e">
        <v>#N/A</v>
      </c>
      <c r="X590" s="64" t="s">
        <v>6764</v>
      </c>
      <c r="Y590" s="64" t="s">
        <v>6764</v>
      </c>
      <c r="Z590" s="66" t="s">
        <v>6597</v>
      </c>
      <c r="AA590" s="71"/>
    </row>
    <row r="591" ht="15.75" hidden="1" customHeight="1">
      <c r="A591" s="56" t="s">
        <v>6764</v>
      </c>
      <c r="B591" s="56" t="s">
        <v>6764</v>
      </c>
      <c r="C591" s="57"/>
      <c r="D591" s="127" t="s">
        <v>6559</v>
      </c>
      <c r="E591" s="59" t="s">
        <v>6764</v>
      </c>
      <c r="F591" s="60"/>
      <c r="G591" s="61" t="s">
        <v>6764</v>
      </c>
      <c r="H591" s="83"/>
      <c r="I591" s="89" t="e">
        <v>#N/A</v>
      </c>
      <c r="J591" s="65" t="e">
        <v>#N/A</v>
      </c>
      <c r="K591" s="66"/>
      <c r="L591" s="66"/>
      <c r="M591" s="66"/>
      <c r="N591" s="66"/>
      <c r="O591" s="127" t="s">
        <v>6559</v>
      </c>
      <c r="P591" s="59" t="e">
        <v>#N/A</v>
      </c>
      <c r="Q591" s="67" t="e">
        <v>#N/A</v>
      </c>
      <c r="R591" s="68" t="e">
        <v>#N/A</v>
      </c>
      <c r="S591" s="62" t="e">
        <v>#N/A</v>
      </c>
      <c r="T591" s="62" t="e">
        <v>#N/A</v>
      </c>
      <c r="U591" s="63">
        <v>0.0</v>
      </c>
      <c r="V591" s="69" t="e">
        <v>#N/A</v>
      </c>
      <c r="W591" s="70" t="e">
        <v>#N/A</v>
      </c>
      <c r="X591" s="64" t="s">
        <v>6764</v>
      </c>
      <c r="Y591" s="64" t="s">
        <v>6764</v>
      </c>
      <c r="Z591" s="66" t="s">
        <v>6597</v>
      </c>
      <c r="AA591" s="71"/>
    </row>
    <row r="592" ht="15.75" hidden="1" customHeight="1">
      <c r="A592" s="56" t="s">
        <v>6764</v>
      </c>
      <c r="B592" s="56" t="s">
        <v>6764</v>
      </c>
      <c r="C592" s="57"/>
      <c r="D592" s="127" t="s">
        <v>6559</v>
      </c>
      <c r="E592" s="59" t="s">
        <v>6764</v>
      </c>
      <c r="F592" s="60"/>
      <c r="G592" s="61" t="s">
        <v>6764</v>
      </c>
      <c r="H592" s="83"/>
      <c r="I592" s="89" t="e">
        <v>#N/A</v>
      </c>
      <c r="J592" s="65" t="e">
        <v>#N/A</v>
      </c>
      <c r="K592" s="66"/>
      <c r="L592" s="66"/>
      <c r="M592" s="66"/>
      <c r="N592" s="66"/>
      <c r="O592" s="127" t="s">
        <v>6559</v>
      </c>
      <c r="P592" s="59" t="e">
        <v>#N/A</v>
      </c>
      <c r="Q592" s="67" t="e">
        <v>#N/A</v>
      </c>
      <c r="R592" s="68" t="e">
        <v>#N/A</v>
      </c>
      <c r="S592" s="62" t="e">
        <v>#N/A</v>
      </c>
      <c r="T592" s="62" t="e">
        <v>#N/A</v>
      </c>
      <c r="U592" s="63">
        <v>0.0</v>
      </c>
      <c r="V592" s="69" t="e">
        <v>#N/A</v>
      </c>
      <c r="W592" s="70" t="e">
        <v>#N/A</v>
      </c>
      <c r="X592" s="64" t="s">
        <v>6764</v>
      </c>
      <c r="Y592" s="64" t="s">
        <v>6764</v>
      </c>
      <c r="Z592" s="66" t="s">
        <v>6597</v>
      </c>
      <c r="AA592" s="71"/>
    </row>
    <row r="593" ht="15.75" hidden="1" customHeight="1">
      <c r="A593" s="56" t="s">
        <v>6764</v>
      </c>
      <c r="B593" s="56" t="s">
        <v>6764</v>
      </c>
      <c r="C593" s="57"/>
      <c r="D593" s="127" t="s">
        <v>6559</v>
      </c>
      <c r="E593" s="59" t="s">
        <v>6764</v>
      </c>
      <c r="F593" s="60"/>
      <c r="G593" s="61" t="s">
        <v>6764</v>
      </c>
      <c r="H593" s="83"/>
      <c r="I593" s="89" t="e">
        <v>#N/A</v>
      </c>
      <c r="J593" s="65" t="e">
        <v>#N/A</v>
      </c>
      <c r="K593" s="66"/>
      <c r="L593" s="66"/>
      <c r="M593" s="66"/>
      <c r="N593" s="66"/>
      <c r="O593" s="127" t="s">
        <v>6559</v>
      </c>
      <c r="P593" s="59" t="e">
        <v>#N/A</v>
      </c>
      <c r="Q593" s="67" t="e">
        <v>#N/A</v>
      </c>
      <c r="R593" s="68" t="e">
        <v>#N/A</v>
      </c>
      <c r="S593" s="62" t="e">
        <v>#N/A</v>
      </c>
      <c r="T593" s="62" t="e">
        <v>#N/A</v>
      </c>
      <c r="U593" s="63">
        <v>0.0</v>
      </c>
      <c r="V593" s="69" t="e">
        <v>#N/A</v>
      </c>
      <c r="W593" s="70" t="e">
        <v>#N/A</v>
      </c>
      <c r="X593" s="64" t="s">
        <v>6764</v>
      </c>
      <c r="Y593" s="64" t="s">
        <v>6764</v>
      </c>
      <c r="Z593" s="66" t="s">
        <v>6597</v>
      </c>
      <c r="AA593" s="71"/>
    </row>
    <row r="594" ht="15.75" hidden="1" customHeight="1">
      <c r="A594" s="56" t="s">
        <v>6764</v>
      </c>
      <c r="B594" s="56" t="s">
        <v>6764</v>
      </c>
      <c r="C594" s="57"/>
      <c r="D594" s="127" t="s">
        <v>6559</v>
      </c>
      <c r="E594" s="59" t="s">
        <v>6764</v>
      </c>
      <c r="F594" s="60"/>
      <c r="G594" s="61" t="s">
        <v>6764</v>
      </c>
      <c r="H594" s="83"/>
      <c r="I594" s="89" t="e">
        <v>#N/A</v>
      </c>
      <c r="J594" s="65" t="e">
        <v>#N/A</v>
      </c>
      <c r="K594" s="66"/>
      <c r="L594" s="66"/>
      <c r="M594" s="66"/>
      <c r="N594" s="66"/>
      <c r="O594" s="127" t="s">
        <v>6559</v>
      </c>
      <c r="P594" s="59" t="e">
        <v>#N/A</v>
      </c>
      <c r="Q594" s="67" t="e">
        <v>#N/A</v>
      </c>
      <c r="R594" s="68" t="e">
        <v>#N/A</v>
      </c>
      <c r="S594" s="62" t="e">
        <v>#N/A</v>
      </c>
      <c r="T594" s="62" t="e">
        <v>#N/A</v>
      </c>
      <c r="U594" s="63">
        <v>0.0</v>
      </c>
      <c r="V594" s="69" t="e">
        <v>#N/A</v>
      </c>
      <c r="W594" s="70" t="e">
        <v>#N/A</v>
      </c>
      <c r="X594" s="64" t="s">
        <v>6764</v>
      </c>
      <c r="Y594" s="64" t="s">
        <v>6764</v>
      </c>
      <c r="Z594" s="66" t="s">
        <v>6597</v>
      </c>
      <c r="AA594" s="71"/>
    </row>
    <row r="595" ht="15.75" hidden="1" customHeight="1">
      <c r="A595" s="56" t="s">
        <v>6764</v>
      </c>
      <c r="B595" s="56" t="s">
        <v>6764</v>
      </c>
      <c r="C595" s="57"/>
      <c r="D595" s="127" t="s">
        <v>6559</v>
      </c>
      <c r="E595" s="59" t="s">
        <v>6764</v>
      </c>
      <c r="F595" s="60"/>
      <c r="G595" s="61" t="s">
        <v>6764</v>
      </c>
      <c r="H595" s="83"/>
      <c r="I595" s="89" t="e">
        <v>#N/A</v>
      </c>
      <c r="J595" s="65" t="e">
        <v>#N/A</v>
      </c>
      <c r="K595" s="66"/>
      <c r="L595" s="66"/>
      <c r="M595" s="66"/>
      <c r="N595" s="66"/>
      <c r="O595" s="127" t="s">
        <v>6559</v>
      </c>
      <c r="P595" s="59" t="e">
        <v>#N/A</v>
      </c>
      <c r="Q595" s="67" t="e">
        <v>#N/A</v>
      </c>
      <c r="R595" s="68" t="e">
        <v>#N/A</v>
      </c>
      <c r="S595" s="62" t="e">
        <v>#N/A</v>
      </c>
      <c r="T595" s="62" t="e">
        <v>#N/A</v>
      </c>
      <c r="U595" s="63">
        <v>0.0</v>
      </c>
      <c r="V595" s="69" t="e">
        <v>#N/A</v>
      </c>
      <c r="W595" s="70" t="e">
        <v>#N/A</v>
      </c>
      <c r="X595" s="64" t="s">
        <v>6764</v>
      </c>
      <c r="Y595" s="64" t="s">
        <v>6764</v>
      </c>
      <c r="Z595" s="66" t="s">
        <v>6597</v>
      </c>
      <c r="AA595" s="71"/>
    </row>
    <row r="596" ht="15.75" hidden="1" customHeight="1">
      <c r="A596" s="56" t="s">
        <v>6764</v>
      </c>
      <c r="B596" s="56" t="s">
        <v>6764</v>
      </c>
      <c r="C596" s="57"/>
      <c r="D596" s="127" t="s">
        <v>6559</v>
      </c>
      <c r="E596" s="59" t="s">
        <v>6764</v>
      </c>
      <c r="F596" s="60"/>
      <c r="G596" s="61" t="s">
        <v>6764</v>
      </c>
      <c r="H596" s="83"/>
      <c r="I596" s="89" t="e">
        <v>#N/A</v>
      </c>
      <c r="J596" s="65" t="e">
        <v>#N/A</v>
      </c>
      <c r="K596" s="66"/>
      <c r="L596" s="66"/>
      <c r="M596" s="66"/>
      <c r="N596" s="66"/>
      <c r="O596" s="127" t="s">
        <v>6559</v>
      </c>
      <c r="P596" s="59" t="e">
        <v>#N/A</v>
      </c>
      <c r="Q596" s="67" t="e">
        <v>#N/A</v>
      </c>
      <c r="R596" s="68" t="e">
        <v>#N/A</v>
      </c>
      <c r="S596" s="62" t="e">
        <v>#N/A</v>
      </c>
      <c r="T596" s="62" t="e">
        <v>#N/A</v>
      </c>
      <c r="U596" s="63">
        <v>0.0</v>
      </c>
      <c r="V596" s="69" t="e">
        <v>#N/A</v>
      </c>
      <c r="W596" s="70" t="e">
        <v>#N/A</v>
      </c>
      <c r="X596" s="64" t="s">
        <v>6764</v>
      </c>
      <c r="Y596" s="64" t="s">
        <v>6764</v>
      </c>
      <c r="Z596" s="66" t="s">
        <v>6597</v>
      </c>
      <c r="AA596" s="71"/>
    </row>
    <row r="597" ht="15.75" hidden="1" customHeight="1">
      <c r="A597" s="56" t="s">
        <v>6764</v>
      </c>
      <c r="B597" s="56" t="s">
        <v>6764</v>
      </c>
      <c r="C597" s="57"/>
      <c r="D597" s="127" t="s">
        <v>6559</v>
      </c>
      <c r="E597" s="59" t="s">
        <v>6764</v>
      </c>
      <c r="F597" s="60"/>
      <c r="G597" s="61" t="s">
        <v>6764</v>
      </c>
      <c r="H597" s="83"/>
      <c r="I597" s="89" t="e">
        <v>#N/A</v>
      </c>
      <c r="J597" s="65" t="e">
        <v>#N/A</v>
      </c>
      <c r="K597" s="66"/>
      <c r="L597" s="66"/>
      <c r="M597" s="66"/>
      <c r="N597" s="66"/>
      <c r="O597" s="127" t="s">
        <v>6559</v>
      </c>
      <c r="P597" s="59" t="e">
        <v>#N/A</v>
      </c>
      <c r="Q597" s="67" t="e">
        <v>#N/A</v>
      </c>
      <c r="R597" s="68" t="e">
        <v>#N/A</v>
      </c>
      <c r="S597" s="62" t="e">
        <v>#N/A</v>
      </c>
      <c r="T597" s="62" t="e">
        <v>#N/A</v>
      </c>
      <c r="U597" s="63">
        <v>0.0</v>
      </c>
      <c r="V597" s="69" t="e">
        <v>#N/A</v>
      </c>
      <c r="W597" s="70" t="e">
        <v>#N/A</v>
      </c>
      <c r="X597" s="64" t="s">
        <v>6764</v>
      </c>
      <c r="Y597" s="64" t="s">
        <v>6764</v>
      </c>
      <c r="Z597" s="66" t="s">
        <v>6597</v>
      </c>
      <c r="AA597" s="71"/>
    </row>
    <row r="598" ht="15.75" hidden="1" customHeight="1">
      <c r="A598" s="56" t="s">
        <v>6764</v>
      </c>
      <c r="B598" s="56" t="s">
        <v>6764</v>
      </c>
      <c r="C598" s="57"/>
      <c r="D598" s="127" t="s">
        <v>6559</v>
      </c>
      <c r="E598" s="59" t="s">
        <v>6764</v>
      </c>
      <c r="F598" s="60"/>
      <c r="G598" s="61" t="s">
        <v>6764</v>
      </c>
      <c r="H598" s="83"/>
      <c r="I598" s="89" t="e">
        <v>#N/A</v>
      </c>
      <c r="J598" s="65" t="e">
        <v>#N/A</v>
      </c>
      <c r="K598" s="66"/>
      <c r="L598" s="66"/>
      <c r="M598" s="66"/>
      <c r="N598" s="66"/>
      <c r="O598" s="127" t="s">
        <v>6559</v>
      </c>
      <c r="P598" s="59" t="e">
        <v>#N/A</v>
      </c>
      <c r="Q598" s="67" t="e">
        <v>#N/A</v>
      </c>
      <c r="R598" s="68" t="e">
        <v>#N/A</v>
      </c>
      <c r="S598" s="62" t="e">
        <v>#N/A</v>
      </c>
      <c r="T598" s="62" t="e">
        <v>#N/A</v>
      </c>
      <c r="U598" s="63">
        <v>0.0</v>
      </c>
      <c r="V598" s="69" t="e">
        <v>#N/A</v>
      </c>
      <c r="W598" s="70" t="e">
        <v>#N/A</v>
      </c>
      <c r="X598" s="64" t="s">
        <v>6764</v>
      </c>
      <c r="Y598" s="64" t="s">
        <v>6764</v>
      </c>
      <c r="Z598" s="66" t="s">
        <v>6597</v>
      </c>
      <c r="AA598" s="71"/>
    </row>
    <row r="599" ht="15.75" hidden="1" customHeight="1">
      <c r="A599" s="56" t="s">
        <v>6764</v>
      </c>
      <c r="B599" s="56" t="s">
        <v>6764</v>
      </c>
      <c r="C599" s="57"/>
      <c r="D599" s="127" t="s">
        <v>6559</v>
      </c>
      <c r="E599" s="59" t="s">
        <v>6764</v>
      </c>
      <c r="F599" s="60"/>
      <c r="G599" s="61" t="s">
        <v>6764</v>
      </c>
      <c r="H599" s="83"/>
      <c r="I599" s="89" t="e">
        <v>#N/A</v>
      </c>
      <c r="J599" s="65" t="e">
        <v>#N/A</v>
      </c>
      <c r="K599" s="66"/>
      <c r="L599" s="66"/>
      <c r="M599" s="66"/>
      <c r="N599" s="66"/>
      <c r="O599" s="127" t="s">
        <v>6559</v>
      </c>
      <c r="P599" s="59" t="e">
        <v>#N/A</v>
      </c>
      <c r="Q599" s="67" t="e">
        <v>#N/A</v>
      </c>
      <c r="R599" s="68" t="e">
        <v>#N/A</v>
      </c>
      <c r="S599" s="62" t="e">
        <v>#N/A</v>
      </c>
      <c r="T599" s="62" t="e">
        <v>#N/A</v>
      </c>
      <c r="U599" s="63">
        <v>0.0</v>
      </c>
      <c r="V599" s="69" t="e">
        <v>#N/A</v>
      </c>
      <c r="W599" s="70" t="e">
        <v>#N/A</v>
      </c>
      <c r="X599" s="64" t="s">
        <v>6764</v>
      </c>
      <c r="Y599" s="64" t="s">
        <v>6764</v>
      </c>
      <c r="Z599" s="66" t="s">
        <v>6597</v>
      </c>
      <c r="AA599" s="71"/>
    </row>
    <row r="600" ht="15.75" hidden="1" customHeight="1">
      <c r="A600" s="56" t="s">
        <v>6764</v>
      </c>
      <c r="B600" s="56" t="s">
        <v>6764</v>
      </c>
      <c r="C600" s="57"/>
      <c r="D600" s="127" t="s">
        <v>6559</v>
      </c>
      <c r="E600" s="59" t="s">
        <v>6764</v>
      </c>
      <c r="F600" s="60"/>
      <c r="G600" s="61" t="s">
        <v>6764</v>
      </c>
      <c r="H600" s="83"/>
      <c r="I600" s="89" t="e">
        <v>#N/A</v>
      </c>
      <c r="J600" s="65" t="e">
        <v>#N/A</v>
      </c>
      <c r="K600" s="66"/>
      <c r="L600" s="66"/>
      <c r="M600" s="66"/>
      <c r="N600" s="66"/>
      <c r="O600" s="127" t="s">
        <v>6559</v>
      </c>
      <c r="P600" s="59" t="e">
        <v>#N/A</v>
      </c>
      <c r="Q600" s="67" t="e">
        <v>#N/A</v>
      </c>
      <c r="R600" s="68" t="e">
        <v>#N/A</v>
      </c>
      <c r="S600" s="62" t="e">
        <v>#N/A</v>
      </c>
      <c r="T600" s="62" t="e">
        <v>#N/A</v>
      </c>
      <c r="U600" s="63">
        <v>0.0</v>
      </c>
      <c r="V600" s="69" t="e">
        <v>#N/A</v>
      </c>
      <c r="W600" s="70" t="e">
        <v>#N/A</v>
      </c>
      <c r="X600" s="64" t="s">
        <v>6764</v>
      </c>
      <c r="Y600" s="64" t="s">
        <v>6764</v>
      </c>
      <c r="Z600" s="66" t="s">
        <v>6597</v>
      </c>
      <c r="AA600" s="71"/>
    </row>
    <row r="601" ht="15.75" hidden="1" customHeight="1">
      <c r="A601" s="56" t="s">
        <v>6764</v>
      </c>
      <c r="B601" s="56" t="s">
        <v>6764</v>
      </c>
      <c r="C601" s="57"/>
      <c r="D601" s="127" t="s">
        <v>6559</v>
      </c>
      <c r="E601" s="59" t="s">
        <v>6764</v>
      </c>
      <c r="F601" s="60"/>
      <c r="G601" s="61" t="s">
        <v>6764</v>
      </c>
      <c r="H601" s="83"/>
      <c r="I601" s="89" t="e">
        <v>#N/A</v>
      </c>
      <c r="J601" s="65" t="e">
        <v>#N/A</v>
      </c>
      <c r="K601" s="66"/>
      <c r="L601" s="66"/>
      <c r="M601" s="66"/>
      <c r="N601" s="66"/>
      <c r="O601" s="127" t="s">
        <v>6559</v>
      </c>
      <c r="P601" s="59" t="e">
        <v>#N/A</v>
      </c>
      <c r="Q601" s="67" t="e">
        <v>#N/A</v>
      </c>
      <c r="R601" s="68" t="e">
        <v>#N/A</v>
      </c>
      <c r="S601" s="62" t="e">
        <v>#N/A</v>
      </c>
      <c r="T601" s="62" t="e">
        <v>#N/A</v>
      </c>
      <c r="U601" s="63">
        <v>0.0</v>
      </c>
      <c r="V601" s="69" t="e">
        <v>#N/A</v>
      </c>
      <c r="W601" s="70" t="e">
        <v>#N/A</v>
      </c>
      <c r="X601" s="64" t="s">
        <v>6764</v>
      </c>
      <c r="Y601" s="64" t="s">
        <v>6764</v>
      </c>
      <c r="Z601" s="66" t="s">
        <v>6597</v>
      </c>
      <c r="AA601" s="71"/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A$601">
    <filterColumn colId="2">
      <filters>
        <filter val="16873"/>
        <filter val="15145"/>
        <filter val="16355"/>
        <filter val="12275"/>
        <filter val="17683"/>
        <filter val="16474"/>
        <filter val="18130"/>
        <filter val="9187"/>
        <filter val="10817"/>
        <filter val="12795"/>
        <filter val="17209"/>
        <filter val="13885"/>
        <filter val="11223"/>
        <filter val="15786"/>
        <filter val="16236"/>
        <filter val="15549"/>
        <filter val="16637"/>
        <filter val="14612"/>
        <filter val="12556"/>
        <filter val="14184"/>
        <filter val="14185"/>
        <filter val="11072"/>
        <filter val="18149"/>
        <filter val="14183"/>
        <filter val="17214"/>
        <filter val="18142"/>
        <filter val="16245"/>
        <filter val="18144"/>
        <filter val="18023"/>
        <filter val="14186"/>
        <filter val="14909"/>
        <filter val="15831"/>
        <filter val="14985"/>
        <filter val="16128"/>
        <filter val="15555"/>
        <filter val="14900"/>
        <filter val="11357"/>
        <filter val="17854"/>
        <filter val="12446"/>
        <filter val="14503"/>
        <filter val="16053"/>
        <filter val="16294"/>
        <filter val="16333"/>
        <filter val="16695"/>
        <filter val="18199"/>
        <filter val="9242"/>
        <filter val="9361"/>
        <filter val="18192"/>
        <filter val="11207"/>
        <filter val="16739"/>
        <filter val="10878"/>
        <filter val="11728"/>
        <filter val="17945"/>
        <filter val="12375"/>
        <filter val="16974"/>
        <filter val="9878"/>
        <filter val="17789"/>
        <filter val="12775"/>
        <filter val="10115"/>
        <filter val="17548"/>
        <filter val="18125"/>
        <filter val="17432"/>
        <filter val="18246"/>
        <filter val="18127"/>
        <filter val="11690"/>
        <filter val="16983"/>
        <filter val="15530"/>
        <filter val="15375"/>
        <filter val="17276"/>
        <filter val="9492"/>
        <filter val="10766"/>
        <filter val="12669"/>
        <filter val="11738"/>
        <filter val="13235"/>
        <filter val="15379"/>
        <filter val="18128"/>
        <filter val="15659"/>
        <filter val="11059"/>
        <filter val="17316"/>
        <filter val="18009"/>
        <filter val="14602"/>
        <filter val="18179"/>
        <filter val="9265"/>
        <filter val="15223"/>
        <filter val="18176"/>
        <filter val="16035"/>
        <filter val="14373"/>
        <filter val="18178"/>
        <filter val="18171"/>
        <filter val="18173"/>
        <filter val="18174"/>
        <filter val="16392"/>
        <filter val="10337"/>
        <filter val="14256"/>
        <filter val="17804"/>
        <filter val="14257"/>
        <filter val="10573"/>
        <filter val="11389"/>
        <filter val="17645"/>
        <filter val="17887"/>
        <filter val="13601"/>
        <filter val="16286"/>
        <filter val="15591"/>
        <filter val="18105"/>
        <filter val="9676"/>
        <filter val="16320"/>
        <filter val="18189"/>
        <filter val="18185"/>
        <filter val="10623"/>
        <filter val="10583"/>
        <filter val="10466"/>
        <filter val="11797"/>
        <filter val="17657"/>
        <filter val="15910"/>
        <filter val="13458"/>
        <filter val="17982"/>
        <filter val="16252"/>
        <filter val="18159"/>
        <filter val="17587"/>
        <filter val="16096"/>
        <filter val="17581"/>
        <filter val="16135"/>
        <filter val="18154"/>
        <filter val="10031"/>
        <filter val="15044"/>
        <filter val="9164"/>
        <filter val="9283"/>
        <filter val="13429"/>
        <filter val="15606"/>
        <filter val="10718"/>
        <filter val="14753"/>
        <filter val="10395"/>
        <filter val="11761"/>
        <filter val="14757"/>
        <filter val="10796"/>
        <filter val="15604"/>
        <filter val="11004"/>
        <filter val="15328"/>
        <filter val="15175"/>
        <filter val="18201"/>
        <filter val="15570"/>
        <filter val="18202"/>
        <filter val="16262"/>
        <filter val="9574"/>
        <filter val="16388"/>
        <filter val="18167"/>
        <filter val="18160"/>
        <filter val="17637"/>
        <filter val="13830"/>
        <filter val="15611"/>
        <filter val="13673"/>
        <filter val="14520"/>
        <filter val="12224"/>
        <filter val="15972"/>
        <filter val="17512"/>
        <filter val="10323"/>
        <filter val="18205"/>
        <filter val="10047"/>
        <filter val="15219"/>
        <filter val="11411"/>
        <filter val="12866"/>
        <filter val="18207"/>
        <filter val="10445"/>
        <filter val="17911"/>
        <filter val="13799"/>
      </filters>
    </filterColumn>
    <sortState ref="A1:AA601">
      <sortCondition ref="G1:G601"/>
      <sortCondition ref="F1:F601"/>
    </sortState>
  </autoFilter>
  <customSheetViews>
    <customSheetView guid="{C00DA3AA-9CBE-4B71-9EE3-D1FB1117BF89}" filter="1" showAutoFilter="1">
      <autoFilter ref="$B$1:$AA$600"/>
      <extLst>
        <ext uri="GoogleSheetsCustomDataVersion1">
          <go:sheetsCustomData xmlns:go="http://customooxmlschemas.google.com/" filterViewId="1916642173"/>
        </ext>
      </extLst>
    </customSheetView>
  </customSheetViews>
  <conditionalFormatting sqref="A1:X601">
    <cfRule type="expression" dxfId="1" priority="1">
      <formula>$X1="ERROR"</formula>
    </cfRule>
  </conditionalFormatting>
  <conditionalFormatting sqref="A1:Z601">
    <cfRule type="expression" dxfId="1" priority="2">
      <formula>$Y1="NO MATCH"</formula>
    </cfRule>
  </conditionalFormatting>
  <conditionalFormatting sqref="D2:D601 O2:O601">
    <cfRule type="containsText" dxfId="1" priority="3" operator="containsText" text="X">
      <formula>NOT(ISERROR(SEARCH(("X"),(D2))))</formula>
    </cfRule>
  </conditionalFormatting>
  <conditionalFormatting sqref="A1:Z601">
    <cfRule type="expression" dxfId="2" priority="4">
      <formula>$Z1="Repeat"</formula>
    </cfRule>
  </conditionalFormatting>
  <conditionalFormatting sqref="V2:V601">
    <cfRule type="expression" dxfId="3" priority="5">
      <formula>$N2="QUEST"</formula>
    </cfRule>
  </conditionalFormatting>
  <conditionalFormatting sqref="D2:D601 O2:O601">
    <cfRule type="containsText" dxfId="3" priority="6" operator="containsText" text="✓">
      <formula>NOT(ISERROR(SEARCH(("✓"),(D2))))</formula>
    </cfRule>
  </conditionalFormatting>
  <conditionalFormatting sqref="A1:U601">
    <cfRule type="expression" dxfId="4" priority="7">
      <formula>$J1="MOLINA DUAL COMPLETE NEW MEXICO"</formula>
    </cfRule>
  </conditionalFormatting>
  <conditionalFormatting sqref="A1:U601">
    <cfRule type="expression" dxfId="4" priority="8">
      <formula>$J1="MOLINA DUAL COMPLETE TEXAS"</formula>
    </cfRule>
  </conditionalFormatting>
  <conditionalFormatting sqref="A1:U601">
    <cfRule type="expression" dxfId="4" priority="9">
      <formula>$J1="MOLINA MARKETPLACE TEXAS"</formula>
    </cfRule>
  </conditionalFormatting>
  <conditionalFormatting sqref="K1:K601">
    <cfRule type="containsText" dxfId="5" priority="10" operator="containsText" text="x">
      <formula>NOT(ISERROR(SEARCH(("x"),(K1))))</formula>
    </cfRule>
  </conditionalFormatting>
  <conditionalFormatting sqref="M1:M601">
    <cfRule type="containsText" dxfId="6" priority="11" operator="containsText" text="X">
      <formula>NOT(ISERROR(SEARCH(("X"),(M1))))</formula>
    </cfRule>
  </conditionalFormatting>
  <conditionalFormatting sqref="L1:L601">
    <cfRule type="containsText" dxfId="7" priority="12" operator="containsText" text="X">
      <formula>NOT(ISERROR(SEARCH(("X"),(L1))))</formula>
    </cfRule>
  </conditionalFormatting>
  <conditionalFormatting sqref="D1:D601 O1:O601">
    <cfRule type="containsBlanks" dxfId="8" priority="13">
      <formula>LEN(TRIM(D1))=0</formula>
    </cfRule>
  </conditionalFormatting>
  <conditionalFormatting sqref="J1:J601 N1:O1 Z1">
    <cfRule type="containsText" dxfId="9" priority="14" operator="containsText" text="Molina">
      <formula>NOT(ISERROR(SEARCH(("Molina"),(J1))))</formula>
    </cfRule>
  </conditionalFormatting>
  <conditionalFormatting sqref="K1:M601">
    <cfRule type="containsBlanks" dxfId="10" priority="15">
      <formula>LEN(TRIM(K1))=0</formula>
    </cfRule>
  </conditionalFormatting>
  <conditionalFormatting sqref="A2:N601 O1:O601 P2:Z601">
    <cfRule type="expression" dxfId="3" priority="16">
      <formula>$N1="SWAB"</formula>
    </cfRule>
  </conditionalFormatting>
  <conditionalFormatting sqref="J1:J601">
    <cfRule type="containsText" dxfId="1" priority="17" operator="containsText" text="Self Pay">
      <formula>NOT(ISERROR(SEARCH(("Self Pay"),(J1))))</formula>
    </cfRule>
  </conditionalFormatting>
  <conditionalFormatting sqref="J1:J601">
    <cfRule type="containsText" dxfId="1" priority="18" operator="containsText" text="Self-Pay">
      <formula>NOT(ISERROR(SEARCH(("Self-Pay"),(J1))))</formula>
    </cfRule>
  </conditionalFormatting>
  <conditionalFormatting sqref="J1:J601">
    <cfRule type="containsText" dxfId="1" priority="19" operator="containsText" text="Third Party">
      <formula>NOT(ISERROR(SEARCH(("Third Party"),(J1))))</formula>
    </cfRule>
  </conditionalFormatting>
  <conditionalFormatting sqref="A1:U601">
    <cfRule type="expression" dxfId="11" priority="20">
      <formula>$J1="SUPERIOR HEALTH PLAN"</formula>
    </cfRule>
  </conditionalFormatting>
  <conditionalFormatting sqref="A1:U601">
    <cfRule type="expression" dxfId="11" priority="21">
      <formula>$J1="AMBETTER - SUPERIOR"</formula>
    </cfRule>
  </conditionalFormatting>
  <conditionalFormatting sqref="A1:U601">
    <cfRule type="expression" dxfId="12" priority="22">
      <formula>$J1="Wellmed - Humana"</formula>
    </cfRule>
  </conditionalFormatting>
  <conditionalFormatting sqref="A1:U601">
    <cfRule type="expression" dxfId="12" priority="23">
      <formula>$J1="WELLMED - AARP MEDICARE COMPLETE"</formula>
    </cfRule>
  </conditionalFormatting>
  <conditionalFormatting sqref="A1:U601">
    <cfRule type="expression" dxfId="12" priority="24">
      <formula>$J1="WELLMED - AMERIVANTAGE"</formula>
    </cfRule>
  </conditionalFormatting>
  <conditionalFormatting sqref="A1:U601">
    <cfRule type="expression" dxfId="12" priority="25">
      <formula>$J1="WELLMED - CIGNA HEALTHSPRING"</formula>
    </cfRule>
  </conditionalFormatting>
  <conditionalFormatting sqref="A1:U601">
    <cfRule type="expression" dxfId="12" priority="26">
      <formula>$J1="WELLMED - UHC CHRONIC COMPLETE HMO C-SNP"</formula>
    </cfRule>
  </conditionalFormatting>
  <conditionalFormatting sqref="A1:U601">
    <cfRule type="expression" dxfId="12" priority="27">
      <formula>$J1="WELLMED - UHC DUAL COMPLETE HMO SNP"</formula>
    </cfRule>
  </conditionalFormatting>
  <conditionalFormatting sqref="A1:U601">
    <cfRule type="expression" dxfId="12" priority="28">
      <formula>$J1="WELLMED - UHC DUAL COMPLETE SNP"</formula>
    </cfRule>
  </conditionalFormatting>
  <conditionalFormatting sqref="A1:U601">
    <cfRule type="expression" dxfId="4" priority="29">
      <formula>$J1="MOLINA DUAL COMPLETE NEW MEXICO"</formula>
    </cfRule>
  </conditionalFormatting>
  <conditionalFormatting sqref="A1:U601">
    <cfRule type="expression" dxfId="4" priority="30">
      <formula>$J1="MOLINA DUAL COMPLETE TEXAS"</formula>
    </cfRule>
  </conditionalFormatting>
  <conditionalFormatting sqref="A1:U601">
    <cfRule type="expression" dxfId="4" priority="31">
      <formula>$J1="MOLINA MARKETPLACE TEXAS"</formula>
    </cfRule>
  </conditionalFormatting>
  <conditionalFormatting sqref="A1:U601">
    <cfRule type="expression" dxfId="4" priority="32">
      <formula>$J1="MOLINA MEDICAID TEXAS"</formula>
    </cfRule>
  </conditionalFormatting>
  <conditionalFormatting sqref="A1:U601">
    <cfRule type="expression" dxfId="13" priority="33">
      <formula>$J1="HUMANA OPEN ACCESS PLAN"</formula>
    </cfRule>
  </conditionalFormatting>
  <conditionalFormatting sqref="A1:U601">
    <cfRule type="expression" dxfId="14" priority="34">
      <formula>$J1="HUMANA CHOICE CARE"</formula>
    </cfRule>
  </conditionalFormatting>
  <conditionalFormatting sqref="V1:W601">
    <cfRule type="expression" dxfId="15" priority="35">
      <formula>$V1="UA"</formula>
    </cfRule>
  </conditionalFormatting>
  <conditionalFormatting sqref="V1:W601">
    <cfRule type="expression" dxfId="16" priority="36">
      <formula>$V1="OUTUA-PrRW"</formula>
    </cfRule>
  </conditionalFormatting>
  <conditionalFormatting sqref="V1:W601">
    <cfRule type="expression" dxfId="16" priority="37">
      <formula>$V1="OUT-UAQPre"</formula>
    </cfRule>
  </conditionalFormatting>
  <conditionalFormatting sqref="V1:W601">
    <cfRule type="expression" dxfId="17" priority="38">
      <formula>$V1="UA-Prelim"</formula>
    </cfRule>
  </conditionalFormatting>
  <conditionalFormatting sqref="V1:W601">
    <cfRule type="expression" dxfId="5" priority="39">
      <formula>$V1="UA-NWPT"</formula>
    </cfRule>
  </conditionalFormatting>
  <conditionalFormatting sqref="N1:O601">
    <cfRule type="expression" dxfId="1" priority="40">
      <formula>$O1="X"</formula>
    </cfRule>
  </conditionalFormatting>
  <conditionalFormatting sqref="V1:W601">
    <cfRule type="expression" dxfId="3" priority="41">
      <formula>$V1="OUT-UAQ"</formula>
    </cfRule>
  </conditionalFormatting>
  <conditionalFormatting sqref="V1:W601">
    <cfRule type="expression" dxfId="3" priority="42">
      <formula>$V1="OUTUA-FURW"</formula>
    </cfRule>
  </conditionalFormatting>
  <conditionalFormatting sqref="V1:W601">
    <cfRule type="expression" dxfId="18" priority="43">
      <formula>$V1="OUTSA-SaQu"</formula>
    </cfRule>
  </conditionalFormatting>
  <conditionalFormatting sqref="V1:W601">
    <cfRule type="expression" dxfId="18" priority="44">
      <formula>$V1="OUTSA-RW"</formula>
    </cfRule>
  </conditionalFormatting>
  <dataValidations>
    <dataValidation type="list" allowBlank="1" showErrorMessage="1" sqref="K2:M601">
      <formula1>"X"</formula1>
    </dataValidation>
    <dataValidation type="list" allowBlank="1" showErrorMessage="1" sqref="I2:I601">
      <formula1>"LOPEZ,MARTINEZ,TORRES,CAMPOS,THOMAS"</formula1>
    </dataValidation>
    <dataValidation type="list" allowBlank="1" showInputMessage="1" showErrorMessage="1" prompt="Click and enter a value from range 'Insurance Data'!C2:C608" sqref="F2:F601">
      <formula1>DATA!$C:$C</formula1>
    </dataValidation>
    <dataValidation type="list" allowBlank="1" showErrorMessage="1" sqref="H2:H601">
      <formula1>"CH,DA,DC,DM,FA,LM"</formula1>
    </dataValidation>
    <dataValidation type="custom" allowBlank="1" showDropDown="1" showInputMessage="1" showErrorMessage="1" prompt="CAPITALS" sqref="A1:B601">
      <formula1>ISERROR(SEARCH((exact(upper(B:M),B:M)),(A1)))</formula1>
    </dataValidation>
    <dataValidation type="custom" allowBlank="1" showDropDown="1" showInputMessage="1" showErrorMessage="1" prompt="CAPITALS" sqref="C1:C601">
      <formula1>ISERROR(SEARCH((exact(upper(C:O),C:O)),(C1)))</formula1>
    </dataValidation>
    <dataValidation type="list" allowBlank="1" showErrorMessage="1" sqref="J2:J601">
      <formula1>DATA!$A$2:$A601</formula1>
    </dataValidation>
    <dataValidation type="list" allowBlank="1" showErrorMessage="1" sqref="G2:G601">
      <formula1>DATA!$B$1:$B$44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8.75"/>
    <col customWidth="1" min="3" max="3" width="8.5"/>
    <col customWidth="1" min="4" max="4" width="9.38"/>
    <col customWidth="1" min="5" max="5" width="9.88"/>
    <col customWidth="1" min="6" max="6" width="4.75"/>
    <col customWidth="1" min="7" max="7" width="7.25"/>
    <col customWidth="1" min="8" max="8" width="11.13"/>
    <col customWidth="1" min="9" max="9" width="40.63"/>
    <col customWidth="1" min="10" max="10" width="6.88"/>
    <col customWidth="1" min="11" max="11" width="5.75"/>
    <col customWidth="1" min="12" max="12" width="6.63"/>
    <col customWidth="1" min="13" max="13" width="14.63"/>
    <col customWidth="1" min="14" max="14" width="11.75"/>
  </cols>
  <sheetData>
    <row r="1" ht="15.75" customHeight="1">
      <c r="A1" s="44" t="s">
        <v>33</v>
      </c>
      <c r="B1" s="45" t="s">
        <v>6496</v>
      </c>
      <c r="C1" s="240" t="s">
        <v>34</v>
      </c>
      <c r="D1" s="240" t="s">
        <v>3</v>
      </c>
      <c r="E1" s="240" t="s">
        <v>6367</v>
      </c>
      <c r="F1" s="49" t="s">
        <v>6765</v>
      </c>
      <c r="G1" s="50" t="s">
        <v>1</v>
      </c>
      <c r="H1" s="50" t="s">
        <v>6499</v>
      </c>
      <c r="I1" s="50" t="s">
        <v>6425</v>
      </c>
      <c r="J1" s="49" t="s">
        <v>6555</v>
      </c>
      <c r="K1" s="49" t="s">
        <v>6556</v>
      </c>
      <c r="L1" s="49" t="s">
        <v>6557</v>
      </c>
      <c r="M1" s="51" t="s">
        <v>6503</v>
      </c>
    </row>
    <row r="2" ht="15.75" customHeight="1">
      <c r="A2" s="56" t="s">
        <v>2449</v>
      </c>
      <c r="B2" s="57">
        <v>13721.0</v>
      </c>
      <c r="C2" s="241">
        <v>24069.0</v>
      </c>
      <c r="D2" s="241">
        <v>44593.0</v>
      </c>
      <c r="E2" s="61">
        <v>0.375</v>
      </c>
      <c r="F2" s="62" t="s">
        <v>6766</v>
      </c>
      <c r="G2" s="63" t="s">
        <v>6560</v>
      </c>
      <c r="H2" s="64" t="s">
        <v>6524</v>
      </c>
      <c r="I2" s="65" t="s">
        <v>6384</v>
      </c>
      <c r="J2" s="66"/>
      <c r="K2" s="66" t="s">
        <v>6559</v>
      </c>
      <c r="L2" s="66"/>
      <c r="M2" s="66"/>
    </row>
    <row r="3" ht="15.75" customHeight="1">
      <c r="A3" s="56" t="s">
        <v>127</v>
      </c>
      <c r="B3" s="57">
        <v>9279.0</v>
      </c>
      <c r="C3" s="241">
        <v>25997.0</v>
      </c>
      <c r="D3" s="241">
        <v>44593.0</v>
      </c>
      <c r="E3" s="61">
        <v>0.375</v>
      </c>
      <c r="F3" s="62" t="s">
        <v>6767</v>
      </c>
      <c r="G3" s="63" t="s">
        <v>6560</v>
      </c>
      <c r="H3" s="64" t="s">
        <v>6524</v>
      </c>
      <c r="I3" s="65" t="s">
        <v>6486</v>
      </c>
      <c r="J3" s="66"/>
      <c r="K3" s="66" t="s">
        <v>6559</v>
      </c>
      <c r="L3" s="66"/>
      <c r="M3" s="66"/>
    </row>
    <row r="4" ht="15.75" customHeight="1">
      <c r="A4" s="56" t="s">
        <v>2364</v>
      </c>
      <c r="B4" s="57">
        <v>13611.0</v>
      </c>
      <c r="C4" s="241">
        <v>17151.0</v>
      </c>
      <c r="D4" s="241">
        <v>44593.0</v>
      </c>
      <c r="E4" s="61">
        <v>0.375</v>
      </c>
      <c r="F4" s="62" t="s">
        <v>6767</v>
      </c>
      <c r="G4" s="63" t="s">
        <v>6560</v>
      </c>
      <c r="H4" s="64" t="s">
        <v>6524</v>
      </c>
      <c r="I4" s="65" t="s">
        <v>6486</v>
      </c>
      <c r="J4" s="242"/>
      <c r="K4" s="242" t="s">
        <v>6559</v>
      </c>
      <c r="L4" s="242"/>
      <c r="M4" s="66"/>
    </row>
    <row r="5" ht="15.75" customHeight="1">
      <c r="A5" s="56" t="s">
        <v>228</v>
      </c>
      <c r="B5" s="57">
        <v>9601.0</v>
      </c>
      <c r="C5" s="241">
        <v>26335.0</v>
      </c>
      <c r="D5" s="241">
        <v>44593.0</v>
      </c>
      <c r="E5" s="61">
        <v>0.3854166666666667</v>
      </c>
      <c r="F5" s="62" t="s">
        <v>6766</v>
      </c>
      <c r="G5" s="63" t="s">
        <v>6560</v>
      </c>
      <c r="H5" s="64" t="s">
        <v>6524</v>
      </c>
      <c r="I5" s="65" t="s">
        <v>6379</v>
      </c>
      <c r="J5" s="242"/>
      <c r="K5" s="242" t="s">
        <v>6559</v>
      </c>
      <c r="L5" s="242"/>
      <c r="M5" s="66"/>
    </row>
    <row r="6" ht="15.75" customHeight="1">
      <c r="A6" s="56" t="s">
        <v>6768</v>
      </c>
      <c r="B6" s="57">
        <v>15782.0</v>
      </c>
      <c r="C6" s="241">
        <v>26777.0</v>
      </c>
      <c r="D6" s="241">
        <v>44593.0</v>
      </c>
      <c r="E6" s="61">
        <v>0.375</v>
      </c>
      <c r="F6" s="62" t="s">
        <v>6767</v>
      </c>
      <c r="G6" s="63" t="s">
        <v>6558</v>
      </c>
      <c r="H6" s="64" t="s">
        <v>6521</v>
      </c>
      <c r="I6" s="65" t="s">
        <v>6486</v>
      </c>
      <c r="J6" s="66"/>
      <c r="K6" s="66" t="s">
        <v>6559</v>
      </c>
      <c r="L6" s="66"/>
      <c r="M6" s="66"/>
    </row>
    <row r="7" ht="15.75" customHeight="1">
      <c r="A7" s="56" t="s">
        <v>6769</v>
      </c>
      <c r="B7" s="57">
        <v>16063.0</v>
      </c>
      <c r="C7" s="241" t="s">
        <v>6770</v>
      </c>
      <c r="D7" s="241">
        <v>44593.0</v>
      </c>
      <c r="E7" s="61">
        <v>0.3541666666666667</v>
      </c>
      <c r="F7" s="62" t="s">
        <v>6766</v>
      </c>
      <c r="G7" s="63" t="s">
        <v>6558</v>
      </c>
      <c r="H7" s="64" t="s">
        <v>6521</v>
      </c>
      <c r="I7" s="65" t="s">
        <v>6432</v>
      </c>
      <c r="J7" s="66"/>
      <c r="K7" s="66" t="s">
        <v>6559</v>
      </c>
      <c r="L7" s="66"/>
      <c r="M7" s="66"/>
    </row>
    <row r="8" ht="15.75" customHeight="1">
      <c r="A8" s="56" t="s">
        <v>2994</v>
      </c>
      <c r="B8" s="57">
        <v>14421.0</v>
      </c>
      <c r="C8" s="241">
        <v>26326.0</v>
      </c>
      <c r="D8" s="241">
        <v>44593.0</v>
      </c>
      <c r="E8" s="61">
        <v>0.3958333333333333</v>
      </c>
      <c r="F8" s="62" t="s">
        <v>6767</v>
      </c>
      <c r="G8" s="63" t="s">
        <v>6771</v>
      </c>
      <c r="H8" s="64" t="s">
        <v>6524</v>
      </c>
      <c r="I8" s="65" t="s">
        <v>6528</v>
      </c>
      <c r="J8" s="242"/>
      <c r="K8" s="242" t="s">
        <v>6559</v>
      </c>
      <c r="L8" s="242"/>
      <c r="M8" s="66"/>
    </row>
    <row r="9" ht="15.75" customHeight="1">
      <c r="A9" s="56" t="s">
        <v>6772</v>
      </c>
      <c r="B9" s="57">
        <v>16318.0</v>
      </c>
      <c r="C9" s="241">
        <v>18967.0</v>
      </c>
      <c r="D9" s="241">
        <v>44593.0</v>
      </c>
      <c r="E9" s="61">
        <v>0.3958333333333333</v>
      </c>
      <c r="F9" s="62" t="s">
        <v>6767</v>
      </c>
      <c r="G9" s="63" t="s">
        <v>6561</v>
      </c>
      <c r="H9" s="64" t="s">
        <v>6529</v>
      </c>
      <c r="I9" s="65" t="s">
        <v>6773</v>
      </c>
      <c r="J9" s="66"/>
      <c r="K9" s="66" t="s">
        <v>6559</v>
      </c>
      <c r="L9" s="66"/>
      <c r="M9" s="66"/>
    </row>
    <row r="10" ht="15.75" customHeight="1">
      <c r="A10" s="56" t="s">
        <v>6774</v>
      </c>
      <c r="B10" s="57">
        <v>18004.0</v>
      </c>
      <c r="C10" s="241">
        <v>24456.0</v>
      </c>
      <c r="D10" s="241">
        <v>44593.0</v>
      </c>
      <c r="E10" s="61">
        <v>0.3972222222222222</v>
      </c>
      <c r="F10" s="62" t="s">
        <v>6767</v>
      </c>
      <c r="G10" s="63" t="s">
        <v>6561</v>
      </c>
      <c r="H10" s="64" t="s">
        <v>6775</v>
      </c>
      <c r="I10" s="65" t="s">
        <v>6407</v>
      </c>
      <c r="J10" s="243" t="s">
        <v>6559</v>
      </c>
      <c r="K10" s="243"/>
      <c r="L10" s="243"/>
      <c r="M10" s="66"/>
    </row>
    <row r="11" ht="15.75" customHeight="1">
      <c r="A11" s="56" t="s">
        <v>6776</v>
      </c>
      <c r="B11" s="57">
        <v>17865.0</v>
      </c>
      <c r="C11" s="241">
        <v>24537.0</v>
      </c>
      <c r="D11" s="241">
        <v>44593.0</v>
      </c>
      <c r="E11" s="61">
        <v>0.39791666666666664</v>
      </c>
      <c r="F11" s="62" t="s">
        <v>6766</v>
      </c>
      <c r="G11" s="63" t="s">
        <v>6562</v>
      </c>
      <c r="H11" s="64" t="s">
        <v>6775</v>
      </c>
      <c r="I11" s="65" t="s">
        <v>6432</v>
      </c>
      <c r="J11" s="242" t="s">
        <v>6559</v>
      </c>
      <c r="K11" s="242"/>
      <c r="L11" s="242"/>
      <c r="M11" s="66"/>
    </row>
    <row r="12" ht="15.75" customHeight="1">
      <c r="A12" s="56" t="s">
        <v>6777</v>
      </c>
      <c r="B12" s="57">
        <v>12562.0</v>
      </c>
      <c r="C12" s="241">
        <v>14451.0</v>
      </c>
      <c r="D12" s="241">
        <v>44593.0</v>
      </c>
      <c r="E12" s="61">
        <v>0.3993055555555556</v>
      </c>
      <c r="F12" s="62" t="s">
        <v>6766</v>
      </c>
      <c r="G12" s="63" t="s">
        <v>6562</v>
      </c>
      <c r="H12" s="64" t="s">
        <v>6775</v>
      </c>
      <c r="I12" s="244" t="s">
        <v>6486</v>
      </c>
      <c r="J12" s="66"/>
      <c r="K12" s="66" t="s">
        <v>6559</v>
      </c>
      <c r="L12" s="66"/>
      <c r="M12" s="66"/>
    </row>
    <row r="13" ht="15.75" customHeight="1">
      <c r="A13" s="56" t="s">
        <v>6778</v>
      </c>
      <c r="B13" s="57">
        <v>16293.0</v>
      </c>
      <c r="C13" s="241">
        <v>23364.0</v>
      </c>
      <c r="D13" s="241">
        <v>44593.0</v>
      </c>
      <c r="E13" s="61">
        <v>0.4166666666666667</v>
      </c>
      <c r="F13" s="62" t="s">
        <v>6767</v>
      </c>
      <c r="G13" s="63" t="s">
        <v>6562</v>
      </c>
      <c r="H13" s="64" t="s">
        <v>6529</v>
      </c>
      <c r="I13" s="65" t="s">
        <v>6779</v>
      </c>
      <c r="J13" s="66"/>
      <c r="K13" s="66" t="s">
        <v>6559</v>
      </c>
      <c r="L13" s="66"/>
      <c r="M13" s="66"/>
    </row>
    <row r="14" ht="15.75" customHeight="1">
      <c r="A14" s="56" t="s">
        <v>6780</v>
      </c>
      <c r="B14" s="57">
        <v>17912.0</v>
      </c>
      <c r="C14" s="241">
        <v>21820.0</v>
      </c>
      <c r="D14" s="241">
        <v>44593.0</v>
      </c>
      <c r="E14" s="61">
        <v>0.4166666666666667</v>
      </c>
      <c r="F14" s="62" t="s">
        <v>6767</v>
      </c>
      <c r="G14" s="63" t="s">
        <v>6562</v>
      </c>
      <c r="H14" s="64" t="s">
        <v>6775</v>
      </c>
      <c r="I14" s="65" t="s">
        <v>6781</v>
      </c>
      <c r="J14" s="66" t="s">
        <v>6559</v>
      </c>
      <c r="K14" s="66"/>
      <c r="L14" s="66"/>
      <c r="M14" s="66"/>
    </row>
    <row r="15" ht="15.75" customHeight="1">
      <c r="A15" s="56" t="s">
        <v>6782</v>
      </c>
      <c r="B15" s="57">
        <v>15952.0</v>
      </c>
      <c r="C15" s="241">
        <v>21231.0</v>
      </c>
      <c r="D15" s="241">
        <v>44593.0</v>
      </c>
      <c r="E15" s="61">
        <v>0.4166666666666667</v>
      </c>
      <c r="F15" s="62" t="s">
        <v>6766</v>
      </c>
      <c r="G15" s="63" t="s">
        <v>6558</v>
      </c>
      <c r="H15" s="64" t="s">
        <v>6521</v>
      </c>
      <c r="I15" s="65" t="s">
        <v>6482</v>
      </c>
      <c r="J15" s="66"/>
      <c r="K15" s="66" t="s">
        <v>6559</v>
      </c>
      <c r="L15" s="66" t="s">
        <v>6559</v>
      </c>
      <c r="M15" s="66"/>
    </row>
    <row r="16" ht="15.75" customHeight="1">
      <c r="A16" s="56" t="s">
        <v>6783</v>
      </c>
      <c r="B16" s="57">
        <v>17400.0</v>
      </c>
      <c r="C16" s="241">
        <v>22359.0</v>
      </c>
      <c r="D16" s="241">
        <v>44593.0</v>
      </c>
      <c r="E16" s="61">
        <v>0.4236111111111111</v>
      </c>
      <c r="F16" s="62" t="s">
        <v>6767</v>
      </c>
      <c r="G16" s="63" t="s">
        <v>6558</v>
      </c>
      <c r="H16" s="64" t="s">
        <v>6521</v>
      </c>
      <c r="I16" s="65" t="s">
        <v>6372</v>
      </c>
      <c r="J16" s="66"/>
      <c r="K16" s="66" t="s">
        <v>6559</v>
      </c>
      <c r="L16" s="66" t="s">
        <v>6559</v>
      </c>
      <c r="M16" s="66"/>
    </row>
    <row r="17" ht="15.75" customHeight="1">
      <c r="A17" s="56" t="s">
        <v>5339</v>
      </c>
      <c r="B17" s="57">
        <v>17266.0</v>
      </c>
      <c r="C17" s="241">
        <v>17591.0</v>
      </c>
      <c r="D17" s="241">
        <v>44593.0</v>
      </c>
      <c r="E17" s="61">
        <v>0.4270833333333333</v>
      </c>
      <c r="F17" s="62" t="s">
        <v>6766</v>
      </c>
      <c r="G17" s="63" t="s">
        <v>6560</v>
      </c>
      <c r="H17" s="64" t="s">
        <v>6524</v>
      </c>
      <c r="I17" s="65" t="s">
        <v>6479</v>
      </c>
      <c r="J17" s="66"/>
      <c r="K17" s="66" t="s">
        <v>6559</v>
      </c>
      <c r="L17" s="66"/>
      <c r="M17" s="66"/>
    </row>
    <row r="18" ht="15.75" customHeight="1">
      <c r="A18" s="56" t="s">
        <v>1177</v>
      </c>
      <c r="B18" s="57">
        <v>11903.0</v>
      </c>
      <c r="C18" s="241">
        <v>21184.0</v>
      </c>
      <c r="D18" s="241">
        <v>44593.0</v>
      </c>
      <c r="E18" s="61">
        <v>0.4375</v>
      </c>
      <c r="F18" s="62" t="s">
        <v>6767</v>
      </c>
      <c r="G18" s="63" t="s">
        <v>6560</v>
      </c>
      <c r="H18" s="64" t="s">
        <v>6524</v>
      </c>
      <c r="I18" s="65" t="s">
        <v>6379</v>
      </c>
      <c r="J18" s="66"/>
      <c r="K18" s="66" t="s">
        <v>6559</v>
      </c>
      <c r="L18" s="66"/>
      <c r="M18" s="66"/>
    </row>
    <row r="19" ht="15.75" customHeight="1">
      <c r="A19" s="56" t="s">
        <v>6784</v>
      </c>
      <c r="B19" s="57">
        <v>14469.0</v>
      </c>
      <c r="C19" s="241">
        <v>13712.0</v>
      </c>
      <c r="D19" s="241">
        <v>44593.0</v>
      </c>
      <c r="E19" s="61">
        <v>0.4375</v>
      </c>
      <c r="F19" s="62" t="s">
        <v>6767</v>
      </c>
      <c r="G19" s="63" t="s">
        <v>6562</v>
      </c>
      <c r="H19" s="64" t="s">
        <v>6529</v>
      </c>
      <c r="I19" s="65" t="s">
        <v>6785</v>
      </c>
      <c r="J19" s="66"/>
      <c r="K19" s="66" t="s">
        <v>6559</v>
      </c>
      <c r="L19" s="66" t="s">
        <v>6559</v>
      </c>
      <c r="M19" s="66"/>
    </row>
    <row r="20" ht="15.75" customHeight="1">
      <c r="A20" s="56" t="s">
        <v>6786</v>
      </c>
      <c r="B20" s="57">
        <v>18001.0</v>
      </c>
      <c r="C20" s="241">
        <v>23710.0</v>
      </c>
      <c r="D20" s="241">
        <v>44593.0</v>
      </c>
      <c r="E20" s="61">
        <v>0.4375</v>
      </c>
      <c r="F20" s="62" t="s">
        <v>6767</v>
      </c>
      <c r="G20" s="63" t="s">
        <v>6561</v>
      </c>
      <c r="H20" s="64" t="s">
        <v>6775</v>
      </c>
      <c r="I20" s="65" t="s">
        <v>6787</v>
      </c>
      <c r="J20" s="242" t="s">
        <v>6559</v>
      </c>
      <c r="K20" s="242"/>
      <c r="L20" s="242"/>
      <c r="M20" s="66"/>
    </row>
    <row r="21" ht="15.75" customHeight="1">
      <c r="A21" s="56" t="s">
        <v>6788</v>
      </c>
      <c r="B21" s="57">
        <v>15539.0</v>
      </c>
      <c r="C21" s="241">
        <v>23413.0</v>
      </c>
      <c r="D21" s="241">
        <v>44593.0</v>
      </c>
      <c r="E21" s="61">
        <v>0.4409722222222222</v>
      </c>
      <c r="F21" s="62" t="s">
        <v>6767</v>
      </c>
      <c r="G21" s="63" t="s">
        <v>6562</v>
      </c>
      <c r="H21" s="64" t="s">
        <v>6527</v>
      </c>
      <c r="I21" s="65" t="s">
        <v>6789</v>
      </c>
      <c r="J21" s="66"/>
      <c r="K21" s="66" t="s">
        <v>6559</v>
      </c>
      <c r="L21" s="66"/>
      <c r="M21" s="66"/>
    </row>
    <row r="22" ht="15.75" customHeight="1">
      <c r="A22" s="56" t="s">
        <v>6790</v>
      </c>
      <c r="B22" s="57">
        <v>10697.0</v>
      </c>
      <c r="C22" s="241">
        <v>27612.0</v>
      </c>
      <c r="D22" s="241">
        <v>44593.0</v>
      </c>
      <c r="E22" s="61">
        <v>0.4375</v>
      </c>
      <c r="F22" s="62" t="s">
        <v>6767</v>
      </c>
      <c r="G22" s="63" t="s">
        <v>6558</v>
      </c>
      <c r="H22" s="64" t="s">
        <v>6521</v>
      </c>
      <c r="I22" s="65" t="s">
        <v>6445</v>
      </c>
      <c r="J22" s="66"/>
      <c r="K22" s="66" t="s">
        <v>6559</v>
      </c>
      <c r="L22" s="66"/>
      <c r="M22" s="66"/>
    </row>
    <row r="23" ht="15.75" customHeight="1">
      <c r="A23" s="56" t="s">
        <v>6791</v>
      </c>
      <c r="B23" s="57">
        <v>17960.0</v>
      </c>
      <c r="C23" s="241">
        <v>14881.0</v>
      </c>
      <c r="D23" s="241">
        <v>44593.0</v>
      </c>
      <c r="E23" s="61">
        <v>0.4479166666666667</v>
      </c>
      <c r="F23" s="62" t="s">
        <v>6767</v>
      </c>
      <c r="G23" s="63" t="s">
        <v>6562</v>
      </c>
      <c r="H23" s="64" t="s">
        <v>6527</v>
      </c>
      <c r="I23" s="65" t="s">
        <v>6427</v>
      </c>
      <c r="J23" s="66" t="s">
        <v>6559</v>
      </c>
      <c r="K23" s="66"/>
      <c r="L23" s="66"/>
      <c r="M23" s="66" t="s">
        <v>6792</v>
      </c>
    </row>
    <row r="24" ht="15.75" customHeight="1">
      <c r="A24" s="56" t="s">
        <v>6793</v>
      </c>
      <c r="B24" s="57">
        <v>18000.0</v>
      </c>
      <c r="C24" s="241">
        <v>22844.0</v>
      </c>
      <c r="D24" s="241">
        <v>44593.0</v>
      </c>
      <c r="E24" s="61">
        <v>0.4583333333333333</v>
      </c>
      <c r="F24" s="74" t="s">
        <v>6767</v>
      </c>
      <c r="G24" s="63" t="s">
        <v>6562</v>
      </c>
      <c r="H24" s="64" t="s">
        <v>6527</v>
      </c>
      <c r="I24" s="65" t="s">
        <v>6794</v>
      </c>
      <c r="J24" s="66" t="s">
        <v>6559</v>
      </c>
      <c r="K24" s="66"/>
      <c r="L24" s="66"/>
      <c r="M24" s="66"/>
    </row>
    <row r="25" ht="15.75" customHeight="1">
      <c r="A25" s="56" t="s">
        <v>6795</v>
      </c>
      <c r="B25" s="57">
        <v>17767.0</v>
      </c>
      <c r="C25" s="241">
        <v>18141.0</v>
      </c>
      <c r="D25" s="241">
        <v>44593.0</v>
      </c>
      <c r="E25" s="61">
        <v>0.46875</v>
      </c>
      <c r="F25" s="74" t="s">
        <v>6767</v>
      </c>
      <c r="G25" s="63" t="s">
        <v>6562</v>
      </c>
      <c r="H25" s="64" t="s">
        <v>6527</v>
      </c>
      <c r="I25" s="65" t="s">
        <v>6427</v>
      </c>
      <c r="J25" s="66" t="s">
        <v>6559</v>
      </c>
      <c r="K25" s="66"/>
      <c r="L25" s="66"/>
      <c r="M25" s="66"/>
    </row>
    <row r="26" ht="15.75" customHeight="1">
      <c r="A26" s="56" t="s">
        <v>4571</v>
      </c>
      <c r="B26" s="57">
        <v>17998.0</v>
      </c>
      <c r="C26" s="241">
        <v>24226.0</v>
      </c>
      <c r="D26" s="241">
        <v>44593.0</v>
      </c>
      <c r="E26" s="61">
        <v>0.4722222222222222</v>
      </c>
      <c r="F26" s="74" t="s">
        <v>6767</v>
      </c>
      <c r="G26" s="63" t="s">
        <v>6562</v>
      </c>
      <c r="H26" s="64" t="s">
        <v>6527</v>
      </c>
      <c r="I26" s="65" t="s">
        <v>6379</v>
      </c>
      <c r="J26" s="66" t="s">
        <v>6559</v>
      </c>
      <c r="K26" s="66"/>
      <c r="L26" s="66"/>
      <c r="M26" s="66"/>
    </row>
    <row r="27" ht="15.75" customHeight="1">
      <c r="A27" s="56" t="s">
        <v>4159</v>
      </c>
      <c r="B27" s="57">
        <v>15802.0</v>
      </c>
      <c r="C27" s="241">
        <v>14014.0</v>
      </c>
      <c r="D27" s="241">
        <v>44593.0</v>
      </c>
      <c r="E27" s="61">
        <v>0.4930555555555556</v>
      </c>
      <c r="F27" s="74" t="s">
        <v>6766</v>
      </c>
      <c r="G27" s="63" t="s">
        <v>6562</v>
      </c>
      <c r="H27" s="64" t="s">
        <v>6529</v>
      </c>
      <c r="I27" s="65" t="s">
        <v>6427</v>
      </c>
      <c r="J27" s="66"/>
      <c r="K27" s="66" t="s">
        <v>6559</v>
      </c>
      <c r="L27" s="66" t="s">
        <v>6559</v>
      </c>
      <c r="M27" s="66"/>
    </row>
    <row r="28" ht="15.75" customHeight="1">
      <c r="A28" s="56" t="s">
        <v>6796</v>
      </c>
      <c r="B28" s="57">
        <v>15641.0</v>
      </c>
      <c r="C28" s="241">
        <v>14095.0</v>
      </c>
      <c r="D28" s="241">
        <v>44593.0</v>
      </c>
      <c r="E28" s="61">
        <v>0.49444444444444446</v>
      </c>
      <c r="F28" s="74" t="s">
        <v>6766</v>
      </c>
      <c r="G28" s="63" t="s">
        <v>6558</v>
      </c>
      <c r="H28" s="64" t="s">
        <v>6521</v>
      </c>
      <c r="I28" s="65" t="s">
        <v>6797</v>
      </c>
      <c r="J28" s="66"/>
      <c r="K28" s="66" t="s">
        <v>6559</v>
      </c>
      <c r="L28" s="66"/>
      <c r="M28" s="66"/>
    </row>
    <row r="29" ht="15.75" customHeight="1">
      <c r="A29" s="56" t="s">
        <v>6798</v>
      </c>
      <c r="B29" s="57">
        <v>17796.0</v>
      </c>
      <c r="C29" s="241">
        <v>10923.0</v>
      </c>
      <c r="D29" s="241">
        <v>44593.0</v>
      </c>
      <c r="E29" s="61">
        <v>0.5111111111111111</v>
      </c>
      <c r="F29" s="74" t="s">
        <v>6767</v>
      </c>
      <c r="G29" s="63" t="s">
        <v>6561</v>
      </c>
      <c r="H29" s="64" t="s">
        <v>6527</v>
      </c>
      <c r="I29" s="244" t="s">
        <v>6479</v>
      </c>
      <c r="J29" s="242" t="s">
        <v>6559</v>
      </c>
      <c r="K29" s="242"/>
      <c r="L29" s="242"/>
      <c r="M29" s="66"/>
    </row>
    <row r="30" ht="15.75" customHeight="1">
      <c r="A30" s="56" t="s">
        <v>6799</v>
      </c>
      <c r="B30" s="57">
        <v>15639.0</v>
      </c>
      <c r="C30" s="241">
        <v>17056.0</v>
      </c>
      <c r="D30" s="241">
        <v>44593.0</v>
      </c>
      <c r="E30" s="61">
        <v>0.5291666666666667</v>
      </c>
      <c r="F30" s="74" t="s">
        <v>6767</v>
      </c>
      <c r="G30" s="63" t="s">
        <v>6558</v>
      </c>
      <c r="H30" s="64" t="s">
        <v>6521</v>
      </c>
      <c r="I30" s="65" t="s">
        <v>6794</v>
      </c>
      <c r="J30" s="66"/>
      <c r="K30" s="66" t="s">
        <v>6559</v>
      </c>
      <c r="L30" s="66"/>
      <c r="M30" s="66"/>
    </row>
    <row r="31" ht="15.75" customHeight="1">
      <c r="A31" s="56" t="s">
        <v>6113</v>
      </c>
      <c r="B31" s="57">
        <v>17829.0</v>
      </c>
      <c r="C31" s="241">
        <v>20919.0</v>
      </c>
      <c r="D31" s="241">
        <v>44593.0</v>
      </c>
      <c r="E31" s="61">
        <v>0.5520833333333334</v>
      </c>
      <c r="F31" s="74" t="s">
        <v>6766</v>
      </c>
      <c r="G31" s="63" t="s">
        <v>6562</v>
      </c>
      <c r="H31" s="64" t="s">
        <v>6527</v>
      </c>
      <c r="I31" s="65" t="s">
        <v>6800</v>
      </c>
      <c r="J31" s="66" t="s">
        <v>6559</v>
      </c>
      <c r="K31" s="66"/>
      <c r="L31" s="66"/>
      <c r="M31" s="66"/>
    </row>
    <row r="32" ht="15.75" customHeight="1">
      <c r="A32" s="56" t="s">
        <v>6801</v>
      </c>
      <c r="B32" s="57">
        <v>17116.0</v>
      </c>
      <c r="C32" s="241">
        <v>32878.0</v>
      </c>
      <c r="D32" s="241">
        <v>44593.0</v>
      </c>
      <c r="E32" s="61">
        <v>0.5625</v>
      </c>
      <c r="F32" s="74" t="s">
        <v>6766</v>
      </c>
      <c r="G32" s="63" t="s">
        <v>6562</v>
      </c>
      <c r="H32" s="64" t="s">
        <v>6527</v>
      </c>
      <c r="I32" s="65" t="s">
        <v>6802</v>
      </c>
      <c r="J32" s="66" t="s">
        <v>6559</v>
      </c>
      <c r="K32" s="66"/>
      <c r="L32" s="66"/>
      <c r="M32" s="66"/>
    </row>
    <row r="33" ht="15.75" customHeight="1">
      <c r="A33" s="56" t="s">
        <v>6803</v>
      </c>
      <c r="B33" s="57">
        <v>13230.0</v>
      </c>
      <c r="C33" s="241">
        <v>13097.0</v>
      </c>
      <c r="D33" s="241">
        <v>44562.0</v>
      </c>
      <c r="E33" s="61">
        <v>0.5625</v>
      </c>
      <c r="F33" s="74" t="s">
        <v>6767</v>
      </c>
      <c r="G33" s="63" t="s">
        <v>6771</v>
      </c>
      <c r="H33" s="64" t="s">
        <v>6524</v>
      </c>
      <c r="I33" s="65" t="s">
        <v>6427</v>
      </c>
      <c r="J33" s="66"/>
      <c r="K33" s="66" t="s">
        <v>6559</v>
      </c>
      <c r="L33" s="66"/>
      <c r="M33" s="66"/>
    </row>
    <row r="34" ht="15.75" customHeight="1">
      <c r="A34" s="56" t="s">
        <v>1184</v>
      </c>
      <c r="B34" s="57">
        <v>11921.0</v>
      </c>
      <c r="C34" s="241">
        <v>20656.0</v>
      </c>
      <c r="D34" s="241">
        <v>44593.0</v>
      </c>
      <c r="E34" s="61">
        <v>0.5625</v>
      </c>
      <c r="F34" s="74" t="s">
        <v>6767</v>
      </c>
      <c r="G34" s="63" t="s">
        <v>6562</v>
      </c>
      <c r="H34" s="64" t="s">
        <v>6527</v>
      </c>
      <c r="I34" s="65" t="s">
        <v>6374</v>
      </c>
      <c r="J34" s="66"/>
      <c r="K34" s="66" t="s">
        <v>6559</v>
      </c>
      <c r="L34" s="66"/>
      <c r="M34" s="66"/>
    </row>
    <row r="35" ht="15.75" customHeight="1">
      <c r="A35" s="56" t="s">
        <v>309</v>
      </c>
      <c r="B35" s="57">
        <v>9838.0</v>
      </c>
      <c r="C35" s="241">
        <v>27927.0</v>
      </c>
      <c r="D35" s="241">
        <v>44593.0</v>
      </c>
      <c r="E35" s="61">
        <v>0.5625</v>
      </c>
      <c r="F35" s="74" t="s">
        <v>6767</v>
      </c>
      <c r="G35" s="63" t="s">
        <v>6562</v>
      </c>
      <c r="H35" s="64" t="s">
        <v>6529</v>
      </c>
      <c r="I35" s="65" t="s">
        <v>6427</v>
      </c>
      <c r="J35" s="242"/>
      <c r="K35" s="242" t="s">
        <v>6559</v>
      </c>
      <c r="L35" s="242"/>
      <c r="M35" s="66"/>
    </row>
    <row r="36" ht="15.75" customHeight="1">
      <c r="A36" s="56" t="s">
        <v>6804</v>
      </c>
      <c r="B36" s="57">
        <v>17619.0</v>
      </c>
      <c r="C36" s="241">
        <v>22908.0</v>
      </c>
      <c r="D36" s="241">
        <v>44593.0</v>
      </c>
      <c r="E36" s="61">
        <v>0.07361111111111111</v>
      </c>
      <c r="F36" s="74" t="s">
        <v>6766</v>
      </c>
      <c r="G36" s="63" t="s">
        <v>6561</v>
      </c>
      <c r="H36" s="64" t="s">
        <v>6527</v>
      </c>
      <c r="I36" s="244" t="s">
        <v>6486</v>
      </c>
      <c r="J36" s="66" t="s">
        <v>6559</v>
      </c>
      <c r="K36" s="66"/>
      <c r="L36" s="66"/>
      <c r="M36" s="66"/>
    </row>
    <row r="37" ht="15.75" customHeight="1">
      <c r="A37" s="56" t="s">
        <v>6805</v>
      </c>
      <c r="B37" s="57">
        <v>14545.0</v>
      </c>
      <c r="C37" s="241">
        <v>22468.0</v>
      </c>
      <c r="D37" s="241">
        <v>44593.0</v>
      </c>
      <c r="E37" s="61">
        <v>0.0798611111111111</v>
      </c>
      <c r="F37" s="74" t="s">
        <v>6767</v>
      </c>
      <c r="G37" s="63" t="s">
        <v>6561</v>
      </c>
      <c r="H37" s="64" t="s">
        <v>6529</v>
      </c>
      <c r="I37" s="244" t="s">
        <v>6482</v>
      </c>
      <c r="J37" s="66"/>
      <c r="K37" s="66" t="s">
        <v>6559</v>
      </c>
      <c r="L37" s="66"/>
      <c r="M37" s="66"/>
    </row>
    <row r="38" ht="15.75" customHeight="1">
      <c r="A38" s="56" t="s">
        <v>6806</v>
      </c>
      <c r="B38" s="57">
        <v>9795.0</v>
      </c>
      <c r="C38" s="241">
        <v>15509.0</v>
      </c>
      <c r="D38" s="241">
        <v>44593.0</v>
      </c>
      <c r="E38" s="61">
        <v>0.5416666666666666</v>
      </c>
      <c r="F38" s="74" t="s">
        <v>6766</v>
      </c>
      <c r="G38" s="63" t="s">
        <v>6558</v>
      </c>
      <c r="H38" s="64" t="s">
        <v>6521</v>
      </c>
      <c r="I38" s="65" t="s">
        <v>6802</v>
      </c>
      <c r="J38" s="242"/>
      <c r="K38" s="242" t="s">
        <v>6559</v>
      </c>
      <c r="L38" s="242"/>
      <c r="M38" s="66"/>
    </row>
    <row r="39" ht="15.75" customHeight="1">
      <c r="A39" s="56" t="s">
        <v>6807</v>
      </c>
      <c r="B39" s="57">
        <v>15775.0</v>
      </c>
      <c r="C39" s="241">
        <v>24599.0</v>
      </c>
      <c r="D39" s="241">
        <v>44593.0</v>
      </c>
      <c r="E39" s="61">
        <v>0.5520833333333334</v>
      </c>
      <c r="F39" s="74" t="s">
        <v>6767</v>
      </c>
      <c r="G39" s="63" t="s">
        <v>6558</v>
      </c>
      <c r="H39" s="64" t="s">
        <v>6521</v>
      </c>
      <c r="I39" s="65" t="s">
        <v>6372</v>
      </c>
      <c r="J39" s="86"/>
      <c r="K39" s="86" t="s">
        <v>6559</v>
      </c>
      <c r="L39" s="86"/>
      <c r="M39" s="66"/>
    </row>
    <row r="40" ht="15.75" customHeight="1">
      <c r="A40" s="56" t="s">
        <v>6808</v>
      </c>
      <c r="B40" s="57">
        <v>13442.0</v>
      </c>
      <c r="C40" s="241">
        <v>19087.0</v>
      </c>
      <c r="D40" s="241">
        <v>44593.0</v>
      </c>
      <c r="E40" s="61">
        <v>0.5902777777777778</v>
      </c>
      <c r="F40" s="74" t="s">
        <v>6766</v>
      </c>
      <c r="G40" s="63" t="s">
        <v>6771</v>
      </c>
      <c r="H40" s="89" t="s">
        <v>6524</v>
      </c>
      <c r="I40" s="65" t="s">
        <v>6809</v>
      </c>
      <c r="J40" s="66"/>
      <c r="K40" s="66" t="s">
        <v>6559</v>
      </c>
      <c r="L40" s="66" t="s">
        <v>6559</v>
      </c>
      <c r="M40" s="66"/>
    </row>
    <row r="41" ht="15.75" customHeight="1">
      <c r="A41" s="56" t="s">
        <v>6810</v>
      </c>
      <c r="B41" s="57">
        <v>15701.0</v>
      </c>
      <c r="C41" s="241">
        <v>23802.0</v>
      </c>
      <c r="D41" s="241">
        <v>44593.0</v>
      </c>
      <c r="E41" s="61">
        <v>0.59375</v>
      </c>
      <c r="F41" s="74" t="s">
        <v>6767</v>
      </c>
      <c r="G41" s="63" t="s">
        <v>6561</v>
      </c>
      <c r="H41" s="89" t="s">
        <v>6529</v>
      </c>
      <c r="I41" s="245" t="s">
        <v>6811</v>
      </c>
      <c r="J41" s="66"/>
      <c r="K41" s="66" t="s">
        <v>6559</v>
      </c>
      <c r="L41" s="66"/>
      <c r="M41" s="66"/>
    </row>
    <row r="42" ht="15.75" customHeight="1">
      <c r="A42" s="56" t="s">
        <v>6812</v>
      </c>
      <c r="B42" s="57">
        <v>9416.0</v>
      </c>
      <c r="C42" s="241">
        <v>30339.0</v>
      </c>
      <c r="D42" s="241">
        <v>44593.0</v>
      </c>
      <c r="E42" s="61">
        <v>0.10902777777777778</v>
      </c>
      <c r="F42" s="74" t="s">
        <v>6766</v>
      </c>
      <c r="G42" s="63" t="s">
        <v>6561</v>
      </c>
      <c r="H42" s="89" t="s">
        <v>6527</v>
      </c>
      <c r="I42" s="245" t="s">
        <v>6407</v>
      </c>
      <c r="J42" s="66"/>
      <c r="K42" s="66" t="s">
        <v>6559</v>
      </c>
      <c r="L42" s="66"/>
      <c r="M42" s="66"/>
    </row>
    <row r="43" ht="15.75" customHeight="1">
      <c r="A43" s="56" t="s">
        <v>522</v>
      </c>
      <c r="B43" s="57">
        <v>10381.0</v>
      </c>
      <c r="C43" s="241">
        <v>15865.0</v>
      </c>
      <c r="D43" s="241">
        <v>44593.0</v>
      </c>
      <c r="E43" s="61">
        <v>0.6215277777777778</v>
      </c>
      <c r="F43" s="74" t="s">
        <v>6767</v>
      </c>
      <c r="G43" s="63" t="s">
        <v>6771</v>
      </c>
      <c r="H43" s="89" t="s">
        <v>6524</v>
      </c>
      <c r="I43" s="245" t="s">
        <v>6448</v>
      </c>
      <c r="J43" s="66"/>
      <c r="K43" s="66" t="s">
        <v>6559</v>
      </c>
      <c r="L43" s="66"/>
      <c r="M43" s="66"/>
    </row>
    <row r="44" ht="15.75" customHeight="1">
      <c r="A44" s="56" t="s">
        <v>6813</v>
      </c>
      <c r="B44" s="57">
        <v>10882.0</v>
      </c>
      <c r="C44" s="241">
        <v>25037.0</v>
      </c>
      <c r="D44" s="241">
        <v>44593.0</v>
      </c>
      <c r="E44" s="61">
        <v>0.1451388888888889</v>
      </c>
      <c r="F44" s="74" t="s">
        <v>6767</v>
      </c>
      <c r="G44" s="63" t="s">
        <v>6561</v>
      </c>
      <c r="H44" s="89" t="s">
        <v>6814</v>
      </c>
      <c r="I44" s="65" t="s">
        <v>6815</v>
      </c>
      <c r="J44" s="66"/>
      <c r="K44" s="66" t="s">
        <v>6559</v>
      </c>
      <c r="L44" s="66"/>
      <c r="M44" s="66"/>
    </row>
    <row r="45" ht="15.75" customHeight="1">
      <c r="A45" s="56" t="s">
        <v>6816</v>
      </c>
      <c r="B45" s="57">
        <v>10629.0</v>
      </c>
      <c r="C45" s="241">
        <v>23738.0</v>
      </c>
      <c r="D45" s="241">
        <v>44593.0</v>
      </c>
      <c r="E45" s="61">
        <v>0.6666666666666666</v>
      </c>
      <c r="F45" s="74" t="s">
        <v>6817</v>
      </c>
      <c r="G45" s="63" t="s">
        <v>6818</v>
      </c>
      <c r="H45" s="89" t="s">
        <v>6529</v>
      </c>
      <c r="I45" s="65" t="s">
        <v>6427</v>
      </c>
      <c r="J45" s="66"/>
      <c r="K45" s="66" t="s">
        <v>6559</v>
      </c>
      <c r="L45" s="66"/>
      <c r="M45" s="66"/>
    </row>
    <row r="46" ht="15.75" customHeight="1">
      <c r="A46" s="56" t="s">
        <v>6819</v>
      </c>
      <c r="B46" s="57">
        <v>15806.0</v>
      </c>
      <c r="C46" s="241">
        <v>18664.0</v>
      </c>
      <c r="D46" s="241">
        <v>44593.0</v>
      </c>
      <c r="E46" s="61">
        <v>0.6666666666666666</v>
      </c>
      <c r="F46" s="74" t="s">
        <v>6766</v>
      </c>
      <c r="G46" s="63" t="s">
        <v>6562</v>
      </c>
      <c r="H46" s="89" t="s">
        <v>6527</v>
      </c>
      <c r="I46" s="65" t="s">
        <v>6427</v>
      </c>
      <c r="J46" s="66"/>
      <c r="K46" s="66" t="s">
        <v>6559</v>
      </c>
      <c r="L46" s="66" t="s">
        <v>6559</v>
      </c>
      <c r="M46" s="66"/>
    </row>
    <row r="47" ht="15.75" customHeight="1">
      <c r="A47" s="71" t="s">
        <v>6820</v>
      </c>
      <c r="B47" s="57">
        <v>14276.0</v>
      </c>
      <c r="C47" s="241">
        <v>27880.0</v>
      </c>
      <c r="D47" s="241">
        <v>44593.0</v>
      </c>
      <c r="E47" s="61">
        <v>0.6736111111111112</v>
      </c>
      <c r="F47" s="74" t="s">
        <v>6766</v>
      </c>
      <c r="G47" s="63" t="s">
        <v>6562</v>
      </c>
      <c r="H47" s="89" t="s">
        <v>6529</v>
      </c>
      <c r="I47" s="65" t="s">
        <v>6427</v>
      </c>
      <c r="J47" s="66"/>
      <c r="K47" s="66" t="s">
        <v>6559</v>
      </c>
      <c r="L47" s="66" t="s">
        <v>6559</v>
      </c>
      <c r="M47" s="66"/>
    </row>
    <row r="48" ht="15.75" customHeight="1">
      <c r="A48" s="56" t="s">
        <v>6821</v>
      </c>
      <c r="B48" s="57">
        <v>17935.0</v>
      </c>
      <c r="C48" s="241">
        <v>29638.0</v>
      </c>
      <c r="D48" s="241">
        <v>44593.0</v>
      </c>
      <c r="E48" s="61">
        <v>0.6770833333333334</v>
      </c>
      <c r="F48" s="74" t="s">
        <v>6767</v>
      </c>
      <c r="G48" s="63" t="s">
        <v>6562</v>
      </c>
      <c r="H48" s="89" t="s">
        <v>6527</v>
      </c>
      <c r="I48" s="65" t="s">
        <v>6407</v>
      </c>
      <c r="J48" s="66" t="s">
        <v>6559</v>
      </c>
      <c r="K48" s="66"/>
      <c r="L48" s="66"/>
      <c r="M48" s="66"/>
    </row>
    <row r="49" ht="15.75" customHeight="1">
      <c r="A49" s="56" t="s">
        <v>6822</v>
      </c>
      <c r="B49" s="57">
        <v>14419.0</v>
      </c>
      <c r="C49" s="241">
        <v>19617.0</v>
      </c>
      <c r="D49" s="246">
        <v>44593.0</v>
      </c>
      <c r="E49" s="61">
        <v>0.6354166666666666</v>
      </c>
      <c r="F49" s="74" t="s">
        <v>6767</v>
      </c>
      <c r="G49" s="63" t="s">
        <v>6558</v>
      </c>
      <c r="H49" s="89" t="s">
        <v>6521</v>
      </c>
      <c r="I49" s="247" t="s">
        <v>6482</v>
      </c>
      <c r="J49" s="66"/>
      <c r="K49" s="66" t="s">
        <v>6559</v>
      </c>
      <c r="L49" s="66"/>
      <c r="M49" s="66"/>
    </row>
    <row r="50" ht="15.75" customHeight="1">
      <c r="A50" s="56" t="s">
        <v>6823</v>
      </c>
      <c r="B50" s="57">
        <v>15340.0</v>
      </c>
      <c r="C50" s="241">
        <v>20218.0</v>
      </c>
      <c r="D50" s="241">
        <v>44593.0</v>
      </c>
      <c r="E50" s="61">
        <v>0.5520833333333334</v>
      </c>
      <c r="F50" s="74" t="s">
        <v>6766</v>
      </c>
      <c r="G50" s="63" t="s">
        <v>6558</v>
      </c>
      <c r="H50" s="89" t="s">
        <v>6521</v>
      </c>
      <c r="I50" s="244" t="s">
        <v>6486</v>
      </c>
      <c r="J50" s="66"/>
      <c r="K50" s="66" t="s">
        <v>6559</v>
      </c>
      <c r="L50" s="66" t="s">
        <v>6559</v>
      </c>
      <c r="M50" s="66"/>
    </row>
    <row r="51" ht="15.75" customHeight="1">
      <c r="A51" s="56" t="s">
        <v>6824</v>
      </c>
      <c r="B51" s="57">
        <v>10170.0</v>
      </c>
      <c r="C51" s="241">
        <v>23032.0</v>
      </c>
      <c r="D51" s="241">
        <v>44593.0</v>
      </c>
      <c r="E51" s="61">
        <v>0.6145833333333334</v>
      </c>
      <c r="F51" s="74" t="s">
        <v>6767</v>
      </c>
      <c r="G51" s="63" t="s">
        <v>6558</v>
      </c>
      <c r="H51" s="89" t="s">
        <v>6521</v>
      </c>
      <c r="I51" s="65" t="s">
        <v>6479</v>
      </c>
      <c r="J51" s="66"/>
      <c r="K51" s="66" t="s">
        <v>6559</v>
      </c>
      <c r="L51" s="66"/>
      <c r="M51" s="66"/>
    </row>
    <row r="52" ht="15.75" customHeight="1">
      <c r="A52" s="56" t="s">
        <v>6825</v>
      </c>
      <c r="B52" s="57">
        <v>15916.0</v>
      </c>
      <c r="C52" s="241">
        <v>24736.0</v>
      </c>
      <c r="D52" s="241">
        <v>44593.0</v>
      </c>
      <c r="E52" s="61">
        <v>0.6215277777777778</v>
      </c>
      <c r="F52" s="74" t="s">
        <v>6767</v>
      </c>
      <c r="G52" s="63" t="s">
        <v>6558</v>
      </c>
      <c r="H52" s="89" t="s">
        <v>6521</v>
      </c>
      <c r="I52" s="65" t="s">
        <v>6432</v>
      </c>
      <c r="J52" s="66"/>
      <c r="K52" s="66" t="s">
        <v>6559</v>
      </c>
      <c r="L52" s="66"/>
      <c r="M52" s="66"/>
    </row>
    <row r="53" ht="15.75" customHeight="1">
      <c r="A53" s="56" t="s">
        <v>6826</v>
      </c>
      <c r="B53" s="57">
        <v>13446.0</v>
      </c>
      <c r="C53" s="241">
        <v>22265.0</v>
      </c>
      <c r="D53" s="241">
        <v>44593.0</v>
      </c>
      <c r="E53" s="61">
        <v>0.6458333333333334</v>
      </c>
      <c r="F53" s="74" t="s">
        <v>6767</v>
      </c>
      <c r="G53" s="63" t="s">
        <v>6558</v>
      </c>
      <c r="H53" s="89" t="s">
        <v>6521</v>
      </c>
      <c r="I53" s="65" t="s">
        <v>6432</v>
      </c>
      <c r="J53" s="66"/>
      <c r="K53" s="66" t="s">
        <v>6559</v>
      </c>
      <c r="L53" s="66" t="s">
        <v>6559</v>
      </c>
      <c r="M53" s="66"/>
    </row>
    <row r="54" ht="15.75" customHeight="1">
      <c r="A54" s="56" t="s">
        <v>4479</v>
      </c>
      <c r="B54" s="57">
        <v>16167.0</v>
      </c>
      <c r="C54" s="241">
        <v>19877.0</v>
      </c>
      <c r="D54" s="241">
        <v>44593.0</v>
      </c>
      <c r="E54" s="61">
        <v>0.6458333333333334</v>
      </c>
      <c r="F54" s="74" t="s">
        <v>6766</v>
      </c>
      <c r="G54" s="63" t="s">
        <v>6558</v>
      </c>
      <c r="H54" s="89" t="s">
        <v>6521</v>
      </c>
      <c r="I54" s="65" t="s">
        <v>6476</v>
      </c>
      <c r="J54" s="66"/>
      <c r="K54" s="66" t="s">
        <v>6559</v>
      </c>
      <c r="L54" s="66" t="s">
        <v>6559</v>
      </c>
      <c r="M54" s="66"/>
    </row>
    <row r="55" ht="15.75" customHeight="1">
      <c r="A55" s="56" t="s">
        <v>438</v>
      </c>
      <c r="B55" s="57">
        <v>10170.0</v>
      </c>
      <c r="C55" s="241">
        <v>23032.0</v>
      </c>
      <c r="D55" s="241">
        <v>44593.0</v>
      </c>
      <c r="E55" s="61">
        <v>0.6458333333333334</v>
      </c>
      <c r="F55" s="74" t="s">
        <v>6767</v>
      </c>
      <c r="G55" s="63" t="s">
        <v>6558</v>
      </c>
      <c r="H55" s="89" t="s">
        <v>6521</v>
      </c>
      <c r="I55" s="65" t="s">
        <v>6479</v>
      </c>
      <c r="J55" s="66"/>
      <c r="K55" s="66" t="s">
        <v>6559</v>
      </c>
      <c r="L55" s="66"/>
      <c r="M55" s="66"/>
    </row>
    <row r="56" ht="15.75" customHeight="1">
      <c r="A56" s="56" t="s">
        <v>3751</v>
      </c>
      <c r="B56" s="57">
        <v>15340.0</v>
      </c>
      <c r="C56" s="241">
        <v>20218.0</v>
      </c>
      <c r="D56" s="241">
        <v>44593.0</v>
      </c>
      <c r="E56" s="61">
        <v>0.6458333333333334</v>
      </c>
      <c r="F56" s="74" t="s">
        <v>6766</v>
      </c>
      <c r="G56" s="63" t="s">
        <v>6558</v>
      </c>
      <c r="H56" s="89" t="s">
        <v>6521</v>
      </c>
      <c r="I56" s="65" t="s">
        <v>6486</v>
      </c>
      <c r="J56" s="66"/>
      <c r="K56" s="66" t="s">
        <v>6559</v>
      </c>
      <c r="L56" s="66" t="s">
        <v>6559</v>
      </c>
      <c r="M56" s="66"/>
    </row>
    <row r="57" ht="15.75" customHeight="1">
      <c r="A57" s="56" t="s">
        <v>4478</v>
      </c>
      <c r="B57" s="57">
        <v>16166.0</v>
      </c>
      <c r="C57" s="241">
        <v>21767.0</v>
      </c>
      <c r="D57" s="241">
        <v>44593.0</v>
      </c>
      <c r="E57" s="61">
        <v>0.6458333333333334</v>
      </c>
      <c r="F57" s="74" t="s">
        <v>6767</v>
      </c>
      <c r="G57" s="63" t="s">
        <v>6558</v>
      </c>
      <c r="H57" s="89" t="s">
        <v>6521</v>
      </c>
      <c r="I57" s="65" t="s">
        <v>6476</v>
      </c>
      <c r="J57" s="66"/>
      <c r="K57" s="66" t="s">
        <v>6559</v>
      </c>
      <c r="L57" s="66" t="s">
        <v>6559</v>
      </c>
      <c r="M57" s="66"/>
    </row>
    <row r="58" ht="15.75" customHeight="1">
      <c r="A58" s="56" t="s">
        <v>5022</v>
      </c>
      <c r="B58" s="57">
        <v>16875.0</v>
      </c>
      <c r="C58" s="241">
        <v>19869.0</v>
      </c>
      <c r="D58" s="241">
        <v>44593.0</v>
      </c>
      <c r="E58" s="61">
        <v>0.6458333333333334</v>
      </c>
      <c r="F58" s="74" t="s">
        <v>6766</v>
      </c>
      <c r="G58" s="63" t="s">
        <v>6558</v>
      </c>
      <c r="H58" s="89" t="s">
        <v>6521</v>
      </c>
      <c r="I58" s="65" t="s">
        <v>6489</v>
      </c>
      <c r="J58" s="66"/>
      <c r="K58" s="66" t="s">
        <v>6559</v>
      </c>
      <c r="L58" s="66" t="s">
        <v>6559</v>
      </c>
      <c r="M58" s="66"/>
    </row>
    <row r="59" ht="15.75" customHeight="1">
      <c r="A59" s="56" t="s">
        <v>2992</v>
      </c>
      <c r="B59" s="57">
        <v>14419.0</v>
      </c>
      <c r="C59" s="241">
        <v>19617.0</v>
      </c>
      <c r="D59" s="241">
        <v>44593.0</v>
      </c>
      <c r="E59" s="61">
        <v>0.6458333333333334</v>
      </c>
      <c r="F59" s="74" t="s">
        <v>6766</v>
      </c>
      <c r="G59" s="63" t="s">
        <v>6558</v>
      </c>
      <c r="H59" s="89" t="s">
        <v>6521</v>
      </c>
      <c r="I59" s="65" t="s">
        <v>6482</v>
      </c>
      <c r="J59" s="66"/>
      <c r="K59" s="66" t="s">
        <v>6559</v>
      </c>
      <c r="L59" s="66"/>
      <c r="M59" s="66"/>
    </row>
    <row r="60" ht="15.75" customHeight="1">
      <c r="A60" s="56" t="s">
        <v>2233</v>
      </c>
      <c r="B60" s="57">
        <v>13446.0</v>
      </c>
      <c r="C60" s="241">
        <v>22265.0</v>
      </c>
      <c r="D60" s="241">
        <v>44593.0</v>
      </c>
      <c r="E60" s="61">
        <v>0.6458333333333334</v>
      </c>
      <c r="F60" s="74" t="s">
        <v>6767</v>
      </c>
      <c r="G60" s="63" t="s">
        <v>6558</v>
      </c>
      <c r="H60" s="89" t="s">
        <v>6521</v>
      </c>
      <c r="I60" s="65" t="s">
        <v>6432</v>
      </c>
      <c r="J60" s="66"/>
      <c r="K60" s="66" t="s">
        <v>6559</v>
      </c>
      <c r="L60" s="66" t="s">
        <v>6559</v>
      </c>
      <c r="M60" s="66"/>
    </row>
    <row r="61" ht="15.75" customHeight="1">
      <c r="A61" s="56" t="s">
        <v>4264</v>
      </c>
      <c r="B61" s="57">
        <v>15916.0</v>
      </c>
      <c r="C61" s="241">
        <v>24736.0</v>
      </c>
      <c r="D61" s="241">
        <v>44593.0</v>
      </c>
      <c r="E61" s="61">
        <v>0.6458333333333334</v>
      </c>
      <c r="F61" s="74" t="s">
        <v>6767</v>
      </c>
      <c r="G61" s="63" t="s">
        <v>6558</v>
      </c>
      <c r="H61" s="89" t="s">
        <v>6521</v>
      </c>
      <c r="I61" s="65" t="s">
        <v>6432</v>
      </c>
      <c r="J61" s="66"/>
      <c r="K61" s="66" t="s">
        <v>6559</v>
      </c>
      <c r="L61" s="66"/>
      <c r="M61" s="66"/>
    </row>
    <row r="62" ht="15.75" customHeight="1">
      <c r="A62" s="56" t="s">
        <v>6827</v>
      </c>
      <c r="B62" s="57">
        <v>13514.0</v>
      </c>
      <c r="C62" s="241">
        <v>33238.0</v>
      </c>
      <c r="D62" s="241">
        <v>44594.0</v>
      </c>
      <c r="E62" s="61">
        <v>0.3333333333333333</v>
      </c>
      <c r="F62" s="62" t="s">
        <v>6767</v>
      </c>
      <c r="G62" s="63" t="s">
        <v>6558</v>
      </c>
      <c r="H62" s="64" t="s">
        <v>6527</v>
      </c>
      <c r="I62" s="65" t="s">
        <v>6828</v>
      </c>
      <c r="J62" s="66"/>
      <c r="K62" s="66" t="s">
        <v>6559</v>
      </c>
      <c r="L62" s="66"/>
      <c r="M62" s="66"/>
    </row>
    <row r="63" ht="15.75" customHeight="1">
      <c r="A63" s="56" t="s">
        <v>4032</v>
      </c>
      <c r="B63" s="57">
        <v>15664.0</v>
      </c>
      <c r="C63" s="241">
        <v>22056.0</v>
      </c>
      <c r="D63" s="241">
        <v>44594.0</v>
      </c>
      <c r="E63" s="61">
        <v>0.3333333333333333</v>
      </c>
      <c r="F63" s="62" t="s">
        <v>6767</v>
      </c>
      <c r="G63" s="63" t="s">
        <v>6560</v>
      </c>
      <c r="H63" s="64" t="s">
        <v>6524</v>
      </c>
      <c r="I63" s="65" t="s">
        <v>6381</v>
      </c>
      <c r="J63" s="66"/>
      <c r="K63" s="66" t="s">
        <v>6559</v>
      </c>
      <c r="L63" s="66"/>
      <c r="M63" s="66"/>
    </row>
    <row r="64" ht="15.75" customHeight="1">
      <c r="A64" s="56" t="s">
        <v>5159</v>
      </c>
      <c r="B64" s="57">
        <v>17046.0</v>
      </c>
      <c r="C64" s="241">
        <v>30865.0</v>
      </c>
      <c r="D64" s="241">
        <v>44594.0</v>
      </c>
      <c r="E64" s="61">
        <v>0.3541666666666667</v>
      </c>
      <c r="F64" s="62" t="s">
        <v>6767</v>
      </c>
      <c r="G64" s="63" t="s">
        <v>6560</v>
      </c>
      <c r="H64" s="64" t="s">
        <v>6524</v>
      </c>
      <c r="I64" s="65" t="s">
        <v>6416</v>
      </c>
      <c r="J64" s="242"/>
      <c r="K64" s="242" t="s">
        <v>6559</v>
      </c>
      <c r="L64" s="242"/>
      <c r="M64" s="66"/>
    </row>
    <row r="65" ht="15.75" customHeight="1">
      <c r="A65" s="56" t="s">
        <v>584</v>
      </c>
      <c r="B65" s="57">
        <v>10525.0</v>
      </c>
      <c r="C65" s="241">
        <v>21713.0</v>
      </c>
      <c r="D65" s="241">
        <v>44594.0</v>
      </c>
      <c r="E65" s="61">
        <v>0.3645833333333333</v>
      </c>
      <c r="F65" s="62" t="s">
        <v>6766</v>
      </c>
      <c r="G65" s="63" t="s">
        <v>6560</v>
      </c>
      <c r="H65" s="64" t="s">
        <v>6524</v>
      </c>
      <c r="I65" s="65" t="s">
        <v>6828</v>
      </c>
      <c r="J65" s="242"/>
      <c r="K65" s="242" t="s">
        <v>6559</v>
      </c>
      <c r="L65" s="242" t="s">
        <v>6559</v>
      </c>
      <c r="M65" s="66"/>
    </row>
    <row r="66" ht="15.75" customHeight="1">
      <c r="A66" s="56" t="s">
        <v>1169</v>
      </c>
      <c r="B66" s="57">
        <v>11884.0</v>
      </c>
      <c r="C66" s="241">
        <v>23150.0</v>
      </c>
      <c r="D66" s="241">
        <v>44594.0</v>
      </c>
      <c r="E66" s="61">
        <v>0.375</v>
      </c>
      <c r="F66" s="62" t="s">
        <v>6767</v>
      </c>
      <c r="G66" s="63" t="s">
        <v>6560</v>
      </c>
      <c r="H66" s="64" t="s">
        <v>6524</v>
      </c>
      <c r="I66" s="65" t="s">
        <v>6381</v>
      </c>
      <c r="J66" s="66"/>
      <c r="K66" s="66" t="s">
        <v>6559</v>
      </c>
      <c r="L66" s="66"/>
      <c r="M66" s="66"/>
    </row>
    <row r="67" ht="15.75" customHeight="1">
      <c r="A67" s="56" t="s">
        <v>6829</v>
      </c>
      <c r="B67" s="57">
        <v>15845.0</v>
      </c>
      <c r="C67" s="241">
        <v>26349.0</v>
      </c>
      <c r="D67" s="241">
        <v>44594.0</v>
      </c>
      <c r="E67" s="61">
        <v>0.3645833333333333</v>
      </c>
      <c r="F67" s="62" t="s">
        <v>6766</v>
      </c>
      <c r="G67" s="63" t="s">
        <v>6558</v>
      </c>
      <c r="H67" s="64" t="s">
        <v>6521</v>
      </c>
      <c r="I67" s="65" t="s">
        <v>6830</v>
      </c>
      <c r="J67" s="66"/>
      <c r="K67" s="66" t="s">
        <v>6559</v>
      </c>
      <c r="L67" s="66"/>
      <c r="M67" s="66"/>
    </row>
    <row r="68" ht="15.75" customHeight="1">
      <c r="A68" s="56" t="s">
        <v>6831</v>
      </c>
      <c r="B68" s="57">
        <v>14790.0</v>
      </c>
      <c r="C68" s="241">
        <v>24134.0</v>
      </c>
      <c r="D68" s="241">
        <v>44594.0</v>
      </c>
      <c r="E68" s="61">
        <v>0.3958333333333333</v>
      </c>
      <c r="F68" s="62" t="s">
        <v>6766</v>
      </c>
      <c r="G68" s="63" t="s">
        <v>6560</v>
      </c>
      <c r="H68" s="64" t="s">
        <v>6524</v>
      </c>
      <c r="I68" s="65" t="s">
        <v>6477</v>
      </c>
      <c r="J68" s="242"/>
      <c r="K68" s="242" t="s">
        <v>6559</v>
      </c>
      <c r="L68" s="242"/>
      <c r="M68" s="66"/>
    </row>
    <row r="69" ht="15.75" customHeight="1">
      <c r="A69" s="56" t="s">
        <v>2785</v>
      </c>
      <c r="B69" s="57">
        <v>14158.0</v>
      </c>
      <c r="C69" s="241">
        <v>14321.0</v>
      </c>
      <c r="D69" s="241">
        <v>44594.0</v>
      </c>
      <c r="E69" s="61">
        <v>0.3958333333333333</v>
      </c>
      <c r="F69" s="62" t="s">
        <v>6766</v>
      </c>
      <c r="G69" s="63" t="s">
        <v>6560</v>
      </c>
      <c r="H69" s="64" t="s">
        <v>6524</v>
      </c>
      <c r="I69" s="65" t="s">
        <v>6828</v>
      </c>
      <c r="J69" s="66"/>
      <c r="K69" s="66" t="s">
        <v>6559</v>
      </c>
      <c r="L69" s="66"/>
      <c r="M69" s="66"/>
    </row>
    <row r="70" ht="15.75" customHeight="1">
      <c r="A70" s="248" t="s">
        <v>6832</v>
      </c>
      <c r="B70" s="249">
        <v>18023.0</v>
      </c>
      <c r="C70" s="250">
        <v>36140.0</v>
      </c>
      <c r="D70" s="250">
        <v>44594.0</v>
      </c>
      <c r="E70" s="251">
        <v>0.4027777777777778</v>
      </c>
      <c r="F70" s="252" t="s">
        <v>6766</v>
      </c>
      <c r="G70" s="252" t="s">
        <v>6562</v>
      </c>
      <c r="H70" s="252" t="s">
        <v>6527</v>
      </c>
      <c r="I70" s="252" t="s">
        <v>6444</v>
      </c>
      <c r="J70" s="252" t="s">
        <v>6559</v>
      </c>
      <c r="K70" s="252"/>
      <c r="L70" s="252"/>
      <c r="M70" s="252" t="s">
        <v>6833</v>
      </c>
    </row>
    <row r="71" ht="15.75" customHeight="1">
      <c r="A71" s="56" t="s">
        <v>6834</v>
      </c>
      <c r="B71" s="57">
        <v>17904.0</v>
      </c>
      <c r="C71" s="241">
        <v>27564.0</v>
      </c>
      <c r="D71" s="241">
        <v>44594.0</v>
      </c>
      <c r="E71" s="61">
        <v>0.4305555555555556</v>
      </c>
      <c r="F71" s="62" t="s">
        <v>6767</v>
      </c>
      <c r="G71" s="63" t="s">
        <v>6562</v>
      </c>
      <c r="H71" s="64" t="s">
        <v>6529</v>
      </c>
      <c r="I71" s="65" t="s">
        <v>6835</v>
      </c>
      <c r="J71" s="242" t="s">
        <v>6559</v>
      </c>
      <c r="K71" s="242"/>
      <c r="L71" s="242"/>
      <c r="M71" s="66"/>
    </row>
    <row r="72" ht="15.75" customHeight="1">
      <c r="A72" s="56" t="s">
        <v>1128</v>
      </c>
      <c r="B72" s="57">
        <v>11827.0</v>
      </c>
      <c r="C72" s="241">
        <v>30145.0</v>
      </c>
      <c r="D72" s="241">
        <v>44594.0</v>
      </c>
      <c r="E72" s="61">
        <v>0.4305555555555556</v>
      </c>
      <c r="F72" s="62" t="s">
        <v>6767</v>
      </c>
      <c r="G72" s="63" t="s">
        <v>6560</v>
      </c>
      <c r="H72" s="64" t="s">
        <v>6524</v>
      </c>
      <c r="I72" s="65" t="s">
        <v>6416</v>
      </c>
      <c r="J72" s="66"/>
      <c r="K72" s="66" t="s">
        <v>6559</v>
      </c>
      <c r="L72" s="66"/>
      <c r="M72" s="66"/>
    </row>
    <row r="73" ht="15.75" customHeight="1">
      <c r="A73" s="56" t="s">
        <v>6836</v>
      </c>
      <c r="B73" s="57">
        <v>18014.0</v>
      </c>
      <c r="C73" s="241">
        <v>28943.0</v>
      </c>
      <c r="D73" s="241">
        <v>44594.0</v>
      </c>
      <c r="E73" s="61">
        <v>0.4375</v>
      </c>
      <c r="F73" s="62" t="s">
        <v>6766</v>
      </c>
      <c r="G73" s="63" t="s">
        <v>6562</v>
      </c>
      <c r="H73" s="64" t="s">
        <v>6529</v>
      </c>
      <c r="I73" s="65" t="s">
        <v>6837</v>
      </c>
      <c r="J73" s="66" t="s">
        <v>6559</v>
      </c>
      <c r="K73" s="66"/>
      <c r="L73" s="66"/>
      <c r="M73" s="66"/>
    </row>
    <row r="74" ht="15.75" customHeight="1">
      <c r="A74" s="56" t="s">
        <v>6838</v>
      </c>
      <c r="B74" s="57">
        <v>16377.0</v>
      </c>
      <c r="C74" s="241">
        <v>26719.0</v>
      </c>
      <c r="D74" s="241">
        <v>44594.0</v>
      </c>
      <c r="E74" s="61">
        <v>0.4375</v>
      </c>
      <c r="F74" s="62" t="s">
        <v>6766</v>
      </c>
      <c r="G74" s="63" t="s">
        <v>6560</v>
      </c>
      <c r="H74" s="64" t="s">
        <v>6524</v>
      </c>
      <c r="I74" s="65" t="s">
        <v>6486</v>
      </c>
      <c r="J74" s="66"/>
      <c r="K74" s="66" t="s">
        <v>6559</v>
      </c>
      <c r="L74" s="66"/>
      <c r="M74" s="66"/>
    </row>
    <row r="75" ht="15.75" customHeight="1">
      <c r="A75" s="56" t="s">
        <v>6839</v>
      </c>
      <c r="B75" s="57">
        <v>17984.0</v>
      </c>
      <c r="C75" s="241">
        <v>19027.0</v>
      </c>
      <c r="D75" s="241">
        <v>44594.0</v>
      </c>
      <c r="E75" s="61">
        <v>0.4375</v>
      </c>
      <c r="F75" s="62" t="s">
        <v>6766</v>
      </c>
      <c r="G75" s="63" t="s">
        <v>6562</v>
      </c>
      <c r="H75" s="64" t="s">
        <v>6529</v>
      </c>
      <c r="I75" s="65" t="s">
        <v>6840</v>
      </c>
      <c r="J75" s="66" t="s">
        <v>6559</v>
      </c>
      <c r="K75" s="66"/>
      <c r="L75" s="66"/>
      <c r="M75" s="66"/>
    </row>
    <row r="76" ht="15.75" customHeight="1">
      <c r="A76" s="56" t="s">
        <v>6841</v>
      </c>
      <c r="B76" s="57">
        <v>10078.0</v>
      </c>
      <c r="C76" s="241">
        <v>11441.0</v>
      </c>
      <c r="D76" s="241">
        <v>44594.0</v>
      </c>
      <c r="E76" s="61">
        <v>0.44027777777777777</v>
      </c>
      <c r="F76" s="62" t="s">
        <v>6767</v>
      </c>
      <c r="G76" s="63" t="s">
        <v>6558</v>
      </c>
      <c r="H76" s="64" t="s">
        <v>6521</v>
      </c>
      <c r="I76" s="65" t="s">
        <v>6390</v>
      </c>
      <c r="J76" s="66"/>
      <c r="K76" s="66" t="s">
        <v>6559</v>
      </c>
      <c r="L76" s="66" t="s">
        <v>6559</v>
      </c>
      <c r="M76" s="66"/>
    </row>
    <row r="77" ht="15.75" customHeight="1">
      <c r="A77" s="56" t="s">
        <v>6842</v>
      </c>
      <c r="B77" s="57">
        <v>17180.0</v>
      </c>
      <c r="C77" s="241">
        <v>14910.0</v>
      </c>
      <c r="D77" s="241">
        <v>44594.0</v>
      </c>
      <c r="E77" s="61">
        <v>0.4479166666666667</v>
      </c>
      <c r="F77" s="62" t="s">
        <v>6767</v>
      </c>
      <c r="G77" s="63" t="s">
        <v>6562</v>
      </c>
      <c r="H77" s="64" t="s">
        <v>6527</v>
      </c>
      <c r="I77" s="65" t="s">
        <v>6843</v>
      </c>
      <c r="J77" s="66"/>
      <c r="K77" s="66" t="s">
        <v>6559</v>
      </c>
      <c r="L77" s="66"/>
      <c r="M77" s="66"/>
    </row>
    <row r="78" ht="15.75" customHeight="1">
      <c r="A78" s="56" t="s">
        <v>6844</v>
      </c>
      <c r="B78" s="57">
        <v>16219.0</v>
      </c>
      <c r="C78" s="241">
        <v>24090.0</v>
      </c>
      <c r="D78" s="241">
        <v>44594.0</v>
      </c>
      <c r="E78" s="61">
        <v>0.4479166666666667</v>
      </c>
      <c r="F78" s="62" t="s">
        <v>6766</v>
      </c>
      <c r="G78" s="63" t="s">
        <v>6558</v>
      </c>
      <c r="H78" s="64" t="s">
        <v>6521</v>
      </c>
      <c r="I78" s="65" t="s">
        <v>6477</v>
      </c>
      <c r="J78" s="66"/>
      <c r="K78" s="66" t="s">
        <v>6559</v>
      </c>
      <c r="L78" s="66" t="s">
        <v>6559</v>
      </c>
      <c r="M78" s="66"/>
    </row>
    <row r="79" ht="15.75" customHeight="1">
      <c r="A79" s="56" t="s">
        <v>6845</v>
      </c>
      <c r="B79" s="57">
        <v>9861.0</v>
      </c>
      <c r="C79" s="241">
        <v>22756.0</v>
      </c>
      <c r="D79" s="241">
        <v>44594.0</v>
      </c>
      <c r="E79" s="61">
        <v>0.4166666666666667</v>
      </c>
      <c r="F79" s="62" t="s">
        <v>6767</v>
      </c>
      <c r="G79" s="63" t="s">
        <v>6558</v>
      </c>
      <c r="H79" s="64" t="s">
        <v>6521</v>
      </c>
      <c r="I79" s="65" t="s">
        <v>6372</v>
      </c>
      <c r="J79" s="66"/>
      <c r="K79" s="66" t="s">
        <v>6559</v>
      </c>
      <c r="L79" s="66" t="s">
        <v>6559</v>
      </c>
      <c r="M79" s="66"/>
    </row>
    <row r="80" ht="15.75" customHeight="1">
      <c r="A80" s="56" t="s">
        <v>6846</v>
      </c>
      <c r="B80" s="57">
        <v>10819.0</v>
      </c>
      <c r="C80" s="241">
        <v>33525.0</v>
      </c>
      <c r="D80" s="241">
        <v>44594.0</v>
      </c>
      <c r="E80" s="61">
        <v>0.4583333333333333</v>
      </c>
      <c r="F80" s="62" t="s">
        <v>6766</v>
      </c>
      <c r="G80" s="63" t="s">
        <v>6558</v>
      </c>
      <c r="H80" s="64" t="s">
        <v>6521</v>
      </c>
      <c r="I80" s="65" t="s">
        <v>6847</v>
      </c>
      <c r="J80" s="242"/>
      <c r="K80" s="242" t="s">
        <v>6559</v>
      </c>
      <c r="L80" s="242"/>
      <c r="M80" s="66"/>
    </row>
    <row r="81" ht="15.75" customHeight="1">
      <c r="A81" s="56" t="s">
        <v>6848</v>
      </c>
      <c r="B81" s="57">
        <v>17066.0</v>
      </c>
      <c r="C81" s="241">
        <v>16544.0</v>
      </c>
      <c r="D81" s="241">
        <v>44594.0</v>
      </c>
      <c r="E81" s="61">
        <v>44594.0</v>
      </c>
      <c r="F81" s="62" t="s">
        <v>6767</v>
      </c>
      <c r="G81" s="63" t="s">
        <v>6562</v>
      </c>
      <c r="H81" s="64" t="s">
        <v>6529</v>
      </c>
      <c r="I81" s="65" t="s">
        <v>6811</v>
      </c>
      <c r="J81" s="66"/>
      <c r="K81" s="66" t="s">
        <v>6559</v>
      </c>
      <c r="L81" s="66"/>
      <c r="M81" s="66"/>
    </row>
    <row r="82" ht="15.75" customHeight="1">
      <c r="A82" s="56" t="s">
        <v>6849</v>
      </c>
      <c r="B82" s="57">
        <v>13215.0</v>
      </c>
      <c r="C82" s="241">
        <v>20143.0</v>
      </c>
      <c r="D82" s="241">
        <v>44594.0</v>
      </c>
      <c r="E82" s="61">
        <v>0.4722222222222222</v>
      </c>
      <c r="F82" s="62" t="s">
        <v>6767</v>
      </c>
      <c r="G82" s="63" t="s">
        <v>6562</v>
      </c>
      <c r="H82" s="64" t="s">
        <v>6529</v>
      </c>
      <c r="I82" s="65" t="s">
        <v>6850</v>
      </c>
      <c r="J82" s="66"/>
      <c r="K82" s="66" t="s">
        <v>6559</v>
      </c>
      <c r="L82" s="66"/>
      <c r="M82" s="66"/>
    </row>
    <row r="83" ht="15.75" customHeight="1">
      <c r="A83" s="56" t="s">
        <v>5488</v>
      </c>
      <c r="B83" s="57">
        <v>17462.0</v>
      </c>
      <c r="C83" s="241">
        <v>25331.0</v>
      </c>
      <c r="D83" s="241">
        <v>44594.0</v>
      </c>
      <c r="E83" s="61">
        <v>0.4722222222222222</v>
      </c>
      <c r="F83" s="62" t="s">
        <v>6767</v>
      </c>
      <c r="G83" s="63" t="s">
        <v>6560</v>
      </c>
      <c r="H83" s="64" t="s">
        <v>6524</v>
      </c>
      <c r="I83" s="65" t="s">
        <v>6432</v>
      </c>
      <c r="J83" s="66"/>
      <c r="K83" s="66" t="s">
        <v>6559</v>
      </c>
      <c r="L83" s="66" t="s">
        <v>6559</v>
      </c>
      <c r="M83" s="66"/>
    </row>
    <row r="84" ht="15.75" customHeight="1">
      <c r="A84" s="56" t="s">
        <v>6851</v>
      </c>
      <c r="B84" s="57">
        <v>17708.0</v>
      </c>
      <c r="C84" s="241">
        <v>14701.0</v>
      </c>
      <c r="D84" s="241">
        <v>44594.0</v>
      </c>
      <c r="E84" s="61">
        <v>0.4861111111111111</v>
      </c>
      <c r="F84" s="74" t="s">
        <v>6767</v>
      </c>
      <c r="G84" s="63" t="s">
        <v>6562</v>
      </c>
      <c r="H84" s="64" t="s">
        <v>6529</v>
      </c>
      <c r="I84" s="65" t="s">
        <v>6427</v>
      </c>
      <c r="J84" s="66" t="s">
        <v>6559</v>
      </c>
      <c r="K84" s="66"/>
      <c r="L84" s="66"/>
      <c r="M84" s="66"/>
    </row>
    <row r="85" ht="15.75" customHeight="1">
      <c r="A85" s="56" t="s">
        <v>6852</v>
      </c>
      <c r="B85" s="57">
        <v>14821.0</v>
      </c>
      <c r="C85" s="241">
        <v>21380.0</v>
      </c>
      <c r="D85" s="241">
        <v>44594.0</v>
      </c>
      <c r="E85" s="61">
        <v>0.4479166666666667</v>
      </c>
      <c r="F85" s="74" t="s">
        <v>6767</v>
      </c>
      <c r="G85" s="63" t="s">
        <v>6558</v>
      </c>
      <c r="H85" s="64" t="s">
        <v>6521</v>
      </c>
      <c r="I85" s="65" t="s">
        <v>6374</v>
      </c>
      <c r="J85" s="66"/>
      <c r="K85" s="66" t="s">
        <v>6559</v>
      </c>
      <c r="L85" s="66" t="s">
        <v>6559</v>
      </c>
      <c r="M85" s="66"/>
    </row>
    <row r="86" ht="15.75" customHeight="1">
      <c r="A86" s="56" t="s">
        <v>3931</v>
      </c>
      <c r="B86" s="57">
        <v>15549.0</v>
      </c>
      <c r="C86" s="241">
        <v>27220.0</v>
      </c>
      <c r="D86" s="241">
        <v>44594.0</v>
      </c>
      <c r="E86" s="61">
        <v>0.5</v>
      </c>
      <c r="F86" s="74" t="s">
        <v>6767</v>
      </c>
      <c r="G86" s="63" t="s">
        <v>6560</v>
      </c>
      <c r="H86" s="64" t="s">
        <v>6853</v>
      </c>
      <c r="I86" s="65" t="s">
        <v>6409</v>
      </c>
      <c r="J86" s="66"/>
      <c r="K86" s="66" t="s">
        <v>6559</v>
      </c>
      <c r="L86" s="66" t="s">
        <v>6559</v>
      </c>
      <c r="M86" s="66"/>
    </row>
    <row r="87" ht="15.75" customHeight="1">
      <c r="A87" s="56" t="s">
        <v>6854</v>
      </c>
      <c r="B87" s="57">
        <v>11012.0</v>
      </c>
      <c r="C87" s="241">
        <v>23539.0</v>
      </c>
      <c r="D87" s="241">
        <v>44594.0</v>
      </c>
      <c r="E87" s="61">
        <v>0.5111111111111111</v>
      </c>
      <c r="F87" s="74" t="s">
        <v>6766</v>
      </c>
      <c r="G87" s="63" t="s">
        <v>6558</v>
      </c>
      <c r="H87" s="64" t="s">
        <v>6524</v>
      </c>
      <c r="I87" s="65" t="s">
        <v>6381</v>
      </c>
      <c r="J87" s="66"/>
      <c r="K87" s="66" t="s">
        <v>6559</v>
      </c>
      <c r="L87" s="66"/>
      <c r="M87" s="66"/>
    </row>
    <row r="88" ht="15.75" customHeight="1">
      <c r="A88" s="56" t="s">
        <v>6855</v>
      </c>
      <c r="B88" s="57">
        <v>13053.0</v>
      </c>
      <c r="C88" s="241">
        <v>31604.0</v>
      </c>
      <c r="D88" s="241">
        <v>44594.0</v>
      </c>
      <c r="E88" s="61">
        <v>0.5243055555555556</v>
      </c>
      <c r="F88" s="74" t="s">
        <v>6767</v>
      </c>
      <c r="G88" s="63" t="s">
        <v>6558</v>
      </c>
      <c r="H88" s="64" t="s">
        <v>6521</v>
      </c>
      <c r="I88" s="65" t="s">
        <v>6407</v>
      </c>
      <c r="J88" s="66"/>
      <c r="K88" s="66" t="s">
        <v>6559</v>
      </c>
      <c r="L88" s="66" t="s">
        <v>6559</v>
      </c>
      <c r="M88" s="66"/>
    </row>
    <row r="89" ht="15.75" customHeight="1">
      <c r="A89" s="56" t="s">
        <v>5954</v>
      </c>
      <c r="B89" s="57">
        <v>17186.0</v>
      </c>
      <c r="C89" s="241">
        <v>32887.0</v>
      </c>
      <c r="D89" s="241">
        <v>44594.0</v>
      </c>
      <c r="E89" s="61">
        <v>0.5625</v>
      </c>
      <c r="F89" s="74" t="s">
        <v>6767</v>
      </c>
      <c r="G89" s="63" t="s">
        <v>6560</v>
      </c>
      <c r="H89" s="64" t="s">
        <v>6524</v>
      </c>
      <c r="I89" s="65" t="s">
        <v>6416</v>
      </c>
      <c r="J89" s="242"/>
      <c r="K89" s="242" t="s">
        <v>6559</v>
      </c>
      <c r="L89" s="242" t="s">
        <v>6559</v>
      </c>
      <c r="M89" s="66"/>
    </row>
    <row r="90" ht="15.75" customHeight="1">
      <c r="A90" s="56" t="s">
        <v>6856</v>
      </c>
      <c r="B90" s="57">
        <v>16481.0</v>
      </c>
      <c r="C90" s="241">
        <v>23102.0</v>
      </c>
      <c r="D90" s="241">
        <v>44594.0</v>
      </c>
      <c r="E90" s="61">
        <v>0.5625</v>
      </c>
      <c r="F90" s="74" t="s">
        <v>6766</v>
      </c>
      <c r="G90" s="63" t="s">
        <v>6560</v>
      </c>
      <c r="H90" s="64" t="s">
        <v>6521</v>
      </c>
      <c r="I90" s="65" t="s">
        <v>6828</v>
      </c>
      <c r="J90" s="66"/>
      <c r="K90" s="66" t="s">
        <v>6559</v>
      </c>
      <c r="L90" s="66"/>
      <c r="M90" s="66"/>
    </row>
    <row r="91" ht="15.75" customHeight="1">
      <c r="A91" s="56" t="s">
        <v>6857</v>
      </c>
      <c r="B91" s="57">
        <v>14729.0</v>
      </c>
      <c r="C91" s="241">
        <v>30461.0</v>
      </c>
      <c r="D91" s="241">
        <v>44594.0</v>
      </c>
      <c r="E91" s="61">
        <v>0.5625</v>
      </c>
      <c r="F91" s="74" t="s">
        <v>6767</v>
      </c>
      <c r="G91" s="63" t="s">
        <v>6560</v>
      </c>
      <c r="H91" s="64" t="s">
        <v>6524</v>
      </c>
      <c r="I91" s="65" t="s">
        <v>6444</v>
      </c>
      <c r="J91" s="66"/>
      <c r="K91" s="66" t="s">
        <v>6559</v>
      </c>
      <c r="L91" s="66" t="s">
        <v>6559</v>
      </c>
      <c r="M91" s="66"/>
    </row>
    <row r="92" ht="15.75" customHeight="1">
      <c r="A92" s="56" t="s">
        <v>4157</v>
      </c>
      <c r="B92" s="57">
        <v>15800.0</v>
      </c>
      <c r="C92" s="241">
        <v>21210.0</v>
      </c>
      <c r="D92" s="241">
        <v>44594.0</v>
      </c>
      <c r="E92" s="61">
        <v>0.5729166666666666</v>
      </c>
      <c r="F92" s="74" t="s">
        <v>6766</v>
      </c>
      <c r="G92" s="63" t="s">
        <v>6560</v>
      </c>
      <c r="H92" s="64" t="s">
        <v>6524</v>
      </c>
      <c r="I92" s="65" t="s">
        <v>6407</v>
      </c>
      <c r="J92" s="66"/>
      <c r="K92" s="66" t="s">
        <v>6559</v>
      </c>
      <c r="L92" s="66"/>
      <c r="M92" s="66"/>
    </row>
    <row r="93" ht="15.75" customHeight="1">
      <c r="A93" s="56" t="s">
        <v>6858</v>
      </c>
      <c r="B93" s="57">
        <v>18002.0</v>
      </c>
      <c r="C93" s="241">
        <v>19647.0</v>
      </c>
      <c r="D93" s="241">
        <v>44594.0</v>
      </c>
      <c r="E93" s="61">
        <v>0.5729166666666666</v>
      </c>
      <c r="F93" s="74" t="s">
        <v>6766</v>
      </c>
      <c r="G93" s="63" t="s">
        <v>6818</v>
      </c>
      <c r="H93" s="64" t="s">
        <v>6859</v>
      </c>
      <c r="I93" s="65" t="s">
        <v>6860</v>
      </c>
      <c r="J93" s="66" t="s">
        <v>6861</v>
      </c>
      <c r="K93" s="66"/>
      <c r="L93" s="66"/>
      <c r="M93" s="66"/>
    </row>
    <row r="94" ht="15.75" customHeight="1">
      <c r="A94" s="56" t="s">
        <v>6862</v>
      </c>
      <c r="B94" s="57">
        <v>17793.0</v>
      </c>
      <c r="C94" s="246">
        <v>20823.0</v>
      </c>
      <c r="D94" s="241">
        <v>44594.0</v>
      </c>
      <c r="E94" s="61">
        <v>0.5791666666666667</v>
      </c>
      <c r="F94" s="74" t="s">
        <v>6767</v>
      </c>
      <c r="G94" s="63" t="s">
        <v>6558</v>
      </c>
      <c r="H94" s="64" t="s">
        <v>6527</v>
      </c>
      <c r="I94" s="65" t="s">
        <v>6863</v>
      </c>
      <c r="J94" s="66" t="s">
        <v>6559</v>
      </c>
      <c r="K94" s="66"/>
      <c r="L94" s="66"/>
      <c r="M94" s="66"/>
    </row>
    <row r="95" ht="15.75" customHeight="1">
      <c r="A95" s="56" t="s">
        <v>6864</v>
      </c>
      <c r="B95" s="57">
        <v>15244.0</v>
      </c>
      <c r="C95" s="241">
        <v>22139.0</v>
      </c>
      <c r="D95" s="241">
        <v>44594.0</v>
      </c>
      <c r="E95" s="61">
        <v>0.5833333333333334</v>
      </c>
      <c r="F95" s="74" t="s">
        <v>6767</v>
      </c>
      <c r="G95" s="63" t="s">
        <v>6560</v>
      </c>
      <c r="H95" s="64" t="s">
        <v>6524</v>
      </c>
      <c r="I95" s="65" t="s">
        <v>6385</v>
      </c>
      <c r="J95" s="242"/>
      <c r="K95" s="242" t="s">
        <v>6559</v>
      </c>
      <c r="L95" s="242"/>
      <c r="M95" s="66"/>
    </row>
    <row r="96" ht="15.75" customHeight="1">
      <c r="A96" s="56" t="s">
        <v>5108</v>
      </c>
      <c r="B96" s="57">
        <v>16982.0</v>
      </c>
      <c r="C96" s="241">
        <v>21978.0</v>
      </c>
      <c r="D96" s="241">
        <v>44594.0</v>
      </c>
      <c r="E96" s="61">
        <v>0.5833333333333334</v>
      </c>
      <c r="F96" s="74" t="s">
        <v>6767</v>
      </c>
      <c r="G96" s="63" t="s">
        <v>6560</v>
      </c>
      <c r="H96" s="64" t="s">
        <v>6524</v>
      </c>
      <c r="I96" s="65" t="s">
        <v>6407</v>
      </c>
      <c r="J96" s="66"/>
      <c r="K96" s="66" t="s">
        <v>6559</v>
      </c>
      <c r="L96" s="66"/>
      <c r="M96" s="66"/>
    </row>
    <row r="97" ht="15.75" customHeight="1">
      <c r="A97" s="56" t="s">
        <v>6865</v>
      </c>
      <c r="B97" s="57">
        <v>15648.0</v>
      </c>
      <c r="C97" s="241">
        <v>25882.0</v>
      </c>
      <c r="D97" s="241">
        <v>44594.0</v>
      </c>
      <c r="E97" s="61">
        <v>0.59375</v>
      </c>
      <c r="F97" s="74" t="s">
        <v>6766</v>
      </c>
      <c r="G97" s="63" t="s">
        <v>6562</v>
      </c>
      <c r="H97" s="64" t="s">
        <v>6859</v>
      </c>
      <c r="I97" s="65" t="s">
        <v>6837</v>
      </c>
      <c r="J97" s="66"/>
      <c r="K97" s="66" t="s">
        <v>6559</v>
      </c>
      <c r="L97" s="66"/>
      <c r="M97" s="66"/>
    </row>
    <row r="98" ht="15.75" customHeight="1">
      <c r="A98" s="56" t="s">
        <v>6866</v>
      </c>
      <c r="B98" s="57">
        <v>12001.0</v>
      </c>
      <c r="C98" s="241">
        <v>29034.0</v>
      </c>
      <c r="D98" s="241">
        <v>44594.0</v>
      </c>
      <c r="E98" s="61">
        <v>0.5625</v>
      </c>
      <c r="F98" s="74" t="s">
        <v>6767</v>
      </c>
      <c r="G98" s="63" t="s">
        <v>6558</v>
      </c>
      <c r="H98" s="64" t="s">
        <v>6521</v>
      </c>
      <c r="I98" s="65" t="s">
        <v>6830</v>
      </c>
      <c r="J98" s="242"/>
      <c r="K98" s="242" t="s">
        <v>6559</v>
      </c>
      <c r="L98" s="242"/>
      <c r="M98" s="66"/>
    </row>
    <row r="99" ht="15.75" customHeight="1">
      <c r="A99" s="56" t="s">
        <v>6867</v>
      </c>
      <c r="B99" s="57">
        <v>9775.0</v>
      </c>
      <c r="C99" s="241">
        <v>16906.0</v>
      </c>
      <c r="D99" s="241">
        <v>44594.0</v>
      </c>
      <c r="E99" s="61">
        <v>0.59375</v>
      </c>
      <c r="F99" s="74" t="s">
        <v>6766</v>
      </c>
      <c r="G99" s="63" t="s">
        <v>6558</v>
      </c>
      <c r="H99" s="64" t="s">
        <v>6521</v>
      </c>
      <c r="I99" s="65" t="s">
        <v>6384</v>
      </c>
      <c r="J99" s="86"/>
      <c r="K99" s="86" t="s">
        <v>6559</v>
      </c>
      <c r="L99" s="86" t="s">
        <v>6559</v>
      </c>
      <c r="M99" s="66"/>
    </row>
    <row r="100" ht="15.75" customHeight="1">
      <c r="A100" s="56" t="s">
        <v>6868</v>
      </c>
      <c r="B100" s="57">
        <v>9176.0</v>
      </c>
      <c r="C100" s="241">
        <v>17667.0</v>
      </c>
      <c r="D100" s="241">
        <v>44594.0</v>
      </c>
      <c r="E100" s="61">
        <v>0.6041666666666666</v>
      </c>
      <c r="F100" s="74" t="s">
        <v>6767</v>
      </c>
      <c r="G100" s="63" t="s">
        <v>6558</v>
      </c>
      <c r="H100" s="89" t="s">
        <v>6521</v>
      </c>
      <c r="I100" s="65" t="s">
        <v>6427</v>
      </c>
      <c r="J100" s="66"/>
      <c r="K100" s="66" t="s">
        <v>6559</v>
      </c>
      <c r="L100" s="66"/>
      <c r="M100" s="66"/>
    </row>
    <row r="101" ht="15.75" customHeight="1">
      <c r="A101" s="56" t="s">
        <v>6869</v>
      </c>
      <c r="B101" s="57">
        <v>11131.0</v>
      </c>
      <c r="C101" s="241">
        <v>16644.0</v>
      </c>
      <c r="D101" s="241">
        <v>44594.0</v>
      </c>
      <c r="E101" s="61">
        <v>0.5833333333333334</v>
      </c>
      <c r="F101" s="74" t="s">
        <v>6766</v>
      </c>
      <c r="G101" s="63" t="s">
        <v>6558</v>
      </c>
      <c r="H101" s="89" t="s">
        <v>6521</v>
      </c>
      <c r="I101" s="245" t="s">
        <v>6427</v>
      </c>
      <c r="J101" s="66"/>
      <c r="K101" s="66" t="s">
        <v>6559</v>
      </c>
      <c r="L101" s="66" t="s">
        <v>6559</v>
      </c>
      <c r="M101" s="66"/>
    </row>
    <row r="102" ht="15.75" customHeight="1">
      <c r="A102" s="56" t="s">
        <v>6870</v>
      </c>
      <c r="B102" s="57">
        <v>15923.0</v>
      </c>
      <c r="C102" s="241">
        <v>23037.0</v>
      </c>
      <c r="D102" s="241">
        <v>44594.0</v>
      </c>
      <c r="E102" s="61">
        <v>0.59375</v>
      </c>
      <c r="F102" s="74" t="s">
        <v>6766</v>
      </c>
      <c r="G102" s="63" t="s">
        <v>6558</v>
      </c>
      <c r="H102" s="89" t="s">
        <v>6521</v>
      </c>
      <c r="I102" s="245" t="s">
        <v>6828</v>
      </c>
      <c r="J102" s="66"/>
      <c r="K102" s="66" t="s">
        <v>6559</v>
      </c>
      <c r="L102" s="66" t="s">
        <v>6559</v>
      </c>
      <c r="M102" s="66"/>
    </row>
    <row r="103" ht="15.75" customHeight="1">
      <c r="A103" s="56" t="s">
        <v>3525</v>
      </c>
      <c r="B103" s="57">
        <v>15190.0</v>
      </c>
      <c r="C103" s="241">
        <v>11783.0</v>
      </c>
      <c r="D103" s="241">
        <v>44594.0</v>
      </c>
      <c r="E103" s="61">
        <v>0.625</v>
      </c>
      <c r="F103" s="74" t="s">
        <v>6767</v>
      </c>
      <c r="G103" s="63" t="s">
        <v>6560</v>
      </c>
      <c r="H103" s="89" t="s">
        <v>6524</v>
      </c>
      <c r="I103" s="245" t="s">
        <v>6384</v>
      </c>
      <c r="J103" s="66"/>
      <c r="K103" s="66" t="s">
        <v>6559</v>
      </c>
      <c r="L103" s="66"/>
      <c r="M103" s="66"/>
    </row>
    <row r="104" ht="15.75" customHeight="1">
      <c r="A104" s="56" t="s">
        <v>2798</v>
      </c>
      <c r="B104" s="57">
        <v>14178.0</v>
      </c>
      <c r="C104" s="241">
        <v>20540.0</v>
      </c>
      <c r="D104" s="241">
        <v>44594.0</v>
      </c>
      <c r="E104" s="61">
        <v>0.625</v>
      </c>
      <c r="F104" s="74" t="s">
        <v>6766</v>
      </c>
      <c r="G104" s="63" t="s">
        <v>6560</v>
      </c>
      <c r="H104" s="89" t="s">
        <v>6524</v>
      </c>
      <c r="I104" s="65" t="s">
        <v>6828</v>
      </c>
      <c r="J104" s="66"/>
      <c r="K104" s="66" t="s">
        <v>6559</v>
      </c>
      <c r="L104" s="66" t="s">
        <v>6559</v>
      </c>
      <c r="M104" s="66"/>
    </row>
    <row r="105" ht="15.75" customHeight="1">
      <c r="A105" s="56" t="s">
        <v>6871</v>
      </c>
      <c r="B105" s="57">
        <v>17855.0</v>
      </c>
      <c r="C105" s="241">
        <v>20194.0</v>
      </c>
      <c r="D105" s="241">
        <v>44594.0</v>
      </c>
      <c r="E105" s="61">
        <v>0.6458333333333334</v>
      </c>
      <c r="F105" s="74" t="s">
        <v>6767</v>
      </c>
      <c r="G105" s="63" t="s">
        <v>6562</v>
      </c>
      <c r="H105" s="89" t="s">
        <v>6529</v>
      </c>
      <c r="I105" s="65" t="s">
        <v>6811</v>
      </c>
      <c r="J105" s="66" t="s">
        <v>6559</v>
      </c>
      <c r="K105" s="66"/>
      <c r="L105" s="66"/>
      <c r="M105" s="66"/>
    </row>
    <row r="106" ht="15.75" customHeight="1">
      <c r="A106" s="56" t="s">
        <v>1393</v>
      </c>
      <c r="B106" s="57">
        <v>12328.0</v>
      </c>
      <c r="C106" s="241">
        <v>18799.0</v>
      </c>
      <c r="D106" s="241">
        <v>44594.0</v>
      </c>
      <c r="E106" s="61">
        <v>0.65625</v>
      </c>
      <c r="F106" s="74" t="s">
        <v>6766</v>
      </c>
      <c r="G106" s="63" t="s">
        <v>6560</v>
      </c>
      <c r="H106" s="89" t="s">
        <v>6524</v>
      </c>
      <c r="I106" s="65" t="s">
        <v>6372</v>
      </c>
      <c r="J106" s="66"/>
      <c r="K106" s="66" t="s">
        <v>6559</v>
      </c>
      <c r="L106" s="66"/>
      <c r="M106" s="66"/>
    </row>
    <row r="107" ht="15.75" customHeight="1">
      <c r="A107" s="71" t="s">
        <v>6872</v>
      </c>
      <c r="B107" s="57">
        <v>17825.0</v>
      </c>
      <c r="C107" s="241">
        <v>15882.0</v>
      </c>
      <c r="D107" s="241">
        <v>44594.0</v>
      </c>
      <c r="E107" s="61">
        <v>0.65625</v>
      </c>
      <c r="F107" s="74" t="s">
        <v>6766</v>
      </c>
      <c r="G107" s="63" t="s">
        <v>6562</v>
      </c>
      <c r="H107" s="89" t="s">
        <v>6529</v>
      </c>
      <c r="I107" s="65" t="s">
        <v>6837</v>
      </c>
      <c r="J107" s="66" t="s">
        <v>6559</v>
      </c>
      <c r="K107" s="66"/>
      <c r="L107" s="66"/>
      <c r="M107" s="66" t="s">
        <v>6792</v>
      </c>
    </row>
    <row r="108" ht="15.75" customHeight="1">
      <c r="A108" s="56" t="s">
        <v>6873</v>
      </c>
      <c r="B108" s="57">
        <v>12287.0</v>
      </c>
      <c r="C108" s="241">
        <v>26721.0</v>
      </c>
      <c r="D108" s="241">
        <v>44594.0</v>
      </c>
      <c r="E108" s="61">
        <v>0.65625</v>
      </c>
      <c r="F108" s="74" t="s">
        <v>6767</v>
      </c>
      <c r="G108" s="63" t="s">
        <v>6562</v>
      </c>
      <c r="H108" s="89" t="s">
        <v>6527</v>
      </c>
      <c r="I108" s="65" t="s">
        <v>6837</v>
      </c>
      <c r="J108" s="66"/>
      <c r="K108" s="66" t="s">
        <v>6559</v>
      </c>
      <c r="L108" s="66" t="s">
        <v>6559</v>
      </c>
      <c r="M108" s="66"/>
    </row>
    <row r="109" ht="15.75" customHeight="1">
      <c r="A109" s="56" t="s">
        <v>6874</v>
      </c>
      <c r="B109" s="57">
        <v>11127.0</v>
      </c>
      <c r="C109" s="241">
        <v>25704.0</v>
      </c>
      <c r="D109" s="241">
        <v>44594.0</v>
      </c>
      <c r="E109" s="61">
        <v>0.65625</v>
      </c>
      <c r="F109" s="74" t="s">
        <v>6767</v>
      </c>
      <c r="G109" s="63" t="s">
        <v>6562</v>
      </c>
      <c r="H109" s="89" t="s">
        <v>6529</v>
      </c>
      <c r="I109" s="247" t="s">
        <v>6835</v>
      </c>
      <c r="J109" s="66"/>
      <c r="K109" s="66" t="s">
        <v>6559</v>
      </c>
      <c r="L109" s="66"/>
      <c r="M109" s="66"/>
    </row>
    <row r="110" ht="15.75" customHeight="1">
      <c r="A110" s="56" t="s">
        <v>6875</v>
      </c>
      <c r="B110" s="57">
        <v>17967.0</v>
      </c>
      <c r="C110" s="241">
        <v>19257.0</v>
      </c>
      <c r="D110" s="241">
        <v>44594.0</v>
      </c>
      <c r="E110" s="61">
        <v>0.5416666666666666</v>
      </c>
      <c r="F110" s="74" t="s">
        <v>6817</v>
      </c>
      <c r="G110" s="63" t="s">
        <v>6876</v>
      </c>
      <c r="H110" s="89" t="s">
        <v>6859</v>
      </c>
      <c r="I110" s="65" t="s">
        <v>6835</v>
      </c>
      <c r="J110" s="66" t="s">
        <v>6861</v>
      </c>
      <c r="K110" s="66"/>
      <c r="L110" s="66"/>
      <c r="M110" s="66"/>
    </row>
    <row r="111" ht="15.75" customHeight="1">
      <c r="A111" s="56" t="s">
        <v>6877</v>
      </c>
      <c r="B111" s="57">
        <v>16837.0</v>
      </c>
      <c r="C111" s="241">
        <v>20933.0</v>
      </c>
      <c r="D111" s="241">
        <v>44594.0</v>
      </c>
      <c r="E111" s="61">
        <v>0.5625</v>
      </c>
      <c r="F111" s="74" t="s">
        <v>6878</v>
      </c>
      <c r="G111" s="63" t="s">
        <v>6876</v>
      </c>
      <c r="H111" s="89" t="s">
        <v>6859</v>
      </c>
      <c r="I111" s="65" t="s">
        <v>6879</v>
      </c>
      <c r="J111" s="66"/>
      <c r="K111" s="66" t="s">
        <v>6861</v>
      </c>
      <c r="L111" s="66"/>
      <c r="M111" s="66"/>
    </row>
    <row r="112" ht="15.75" customHeight="1">
      <c r="A112" s="56" t="s">
        <v>6880</v>
      </c>
      <c r="B112" s="57">
        <v>14161.0</v>
      </c>
      <c r="C112" s="253">
        <v>16548.0</v>
      </c>
      <c r="D112" s="241">
        <v>44594.0</v>
      </c>
      <c r="E112" s="61">
        <v>0.6770833333333334</v>
      </c>
      <c r="F112" s="74" t="s">
        <v>6766</v>
      </c>
      <c r="G112" s="63" t="s">
        <v>6558</v>
      </c>
      <c r="H112" s="89" t="s">
        <v>6521</v>
      </c>
      <c r="I112" s="65" t="s">
        <v>6407</v>
      </c>
      <c r="J112" s="66"/>
      <c r="K112" s="66" t="s">
        <v>6559</v>
      </c>
      <c r="L112" s="66"/>
      <c r="M112" s="66"/>
    </row>
    <row r="113" ht="15.75" customHeight="1">
      <c r="A113" s="56" t="s">
        <v>6881</v>
      </c>
      <c r="B113" s="57">
        <v>15479.0</v>
      </c>
      <c r="C113" s="241">
        <v>28397.0</v>
      </c>
      <c r="D113" s="241">
        <v>44594.0</v>
      </c>
      <c r="E113" s="61">
        <v>0.6770833333333334</v>
      </c>
      <c r="F113" s="74" t="s">
        <v>6767</v>
      </c>
      <c r="G113" s="63" t="s">
        <v>6558</v>
      </c>
      <c r="H113" s="89" t="s">
        <v>6521</v>
      </c>
      <c r="I113" s="65" t="s">
        <v>6452</v>
      </c>
      <c r="J113" s="66"/>
      <c r="K113" s="66" t="s">
        <v>6559</v>
      </c>
      <c r="L113" s="66" t="s">
        <v>6559</v>
      </c>
      <c r="M113" s="66"/>
    </row>
    <row r="114" ht="15.75" customHeight="1">
      <c r="A114" s="56" t="s">
        <v>6882</v>
      </c>
      <c r="B114" s="57">
        <v>18013.0</v>
      </c>
      <c r="C114" s="241">
        <v>21042.0</v>
      </c>
      <c r="D114" s="241">
        <v>44594.0</v>
      </c>
      <c r="E114" s="61">
        <v>0.5729166666666666</v>
      </c>
      <c r="F114" s="74" t="s">
        <v>6878</v>
      </c>
      <c r="G114" s="63" t="s">
        <v>6876</v>
      </c>
      <c r="H114" s="89" t="s">
        <v>6883</v>
      </c>
      <c r="I114" s="65" t="s">
        <v>6884</v>
      </c>
      <c r="J114" s="66" t="s">
        <v>6861</v>
      </c>
      <c r="K114" s="66"/>
      <c r="L114" s="66"/>
      <c r="M114" s="66"/>
    </row>
    <row r="115" ht="15.75" customHeight="1">
      <c r="A115" s="56" t="s">
        <v>6885</v>
      </c>
      <c r="B115" s="57">
        <v>16677.0</v>
      </c>
      <c r="C115" s="241">
        <v>20737.0</v>
      </c>
      <c r="D115" s="241">
        <v>44594.0</v>
      </c>
      <c r="E115" s="61">
        <v>0.59375</v>
      </c>
      <c r="F115" s="74" t="s">
        <v>6817</v>
      </c>
      <c r="G115" s="63" t="s">
        <v>6876</v>
      </c>
      <c r="H115" s="89" t="s">
        <v>6859</v>
      </c>
      <c r="I115" s="65" t="s">
        <v>6427</v>
      </c>
      <c r="J115" s="66" t="s">
        <v>6861</v>
      </c>
      <c r="K115" s="66"/>
      <c r="L115" s="66"/>
      <c r="M115" s="66"/>
    </row>
    <row r="116" ht="15.75" customHeight="1">
      <c r="A116" s="56" t="s">
        <v>6886</v>
      </c>
      <c r="B116" s="57">
        <v>10141.0</v>
      </c>
      <c r="C116" s="241">
        <v>23797.0</v>
      </c>
      <c r="D116" s="241">
        <v>44594.0</v>
      </c>
      <c r="E116" s="61">
        <v>0.6875</v>
      </c>
      <c r="F116" s="74" t="s">
        <v>6767</v>
      </c>
      <c r="G116" s="63" t="s">
        <v>6558</v>
      </c>
      <c r="H116" s="89" t="s">
        <v>6521</v>
      </c>
      <c r="I116" s="65" t="s">
        <v>6480</v>
      </c>
      <c r="J116" s="66"/>
      <c r="K116" s="66" t="s">
        <v>6559</v>
      </c>
      <c r="L116" s="66" t="s">
        <v>6559</v>
      </c>
      <c r="M116" s="66"/>
    </row>
    <row r="117" ht="15.75" customHeight="1">
      <c r="A117" s="56" t="s">
        <v>6887</v>
      </c>
      <c r="B117" s="57">
        <v>14212.0</v>
      </c>
      <c r="C117" s="241">
        <v>21952.0</v>
      </c>
      <c r="D117" s="241">
        <v>44595.0</v>
      </c>
      <c r="E117" s="61">
        <v>0.34097222222222223</v>
      </c>
      <c r="F117" s="62" t="s">
        <v>6767</v>
      </c>
      <c r="G117" s="63" t="s">
        <v>6558</v>
      </c>
      <c r="H117" s="64" t="s">
        <v>6521</v>
      </c>
      <c r="I117" s="65" t="s">
        <v>6381</v>
      </c>
      <c r="J117" s="66"/>
      <c r="K117" s="66" t="s">
        <v>6559</v>
      </c>
      <c r="L117" s="66"/>
      <c r="M117" s="66"/>
    </row>
    <row r="118" ht="15.75" customHeight="1">
      <c r="A118" s="56" t="s">
        <v>6888</v>
      </c>
      <c r="B118" s="57">
        <v>9278.0</v>
      </c>
      <c r="C118" s="241">
        <v>24413.0</v>
      </c>
      <c r="D118" s="241">
        <v>44595.0</v>
      </c>
      <c r="E118" s="61">
        <v>0.3958333333333333</v>
      </c>
      <c r="F118" s="62" t="s">
        <v>6766</v>
      </c>
      <c r="G118" s="63" t="s">
        <v>6889</v>
      </c>
      <c r="H118" s="64" t="s">
        <v>6527</v>
      </c>
      <c r="I118" s="65" t="s">
        <v>6809</v>
      </c>
      <c r="J118" s="66"/>
      <c r="K118" s="66" t="s">
        <v>6559</v>
      </c>
      <c r="L118" s="66" t="s">
        <v>6559</v>
      </c>
      <c r="M118" s="66"/>
    </row>
    <row r="119" ht="15.75" customHeight="1">
      <c r="A119" s="56" t="s">
        <v>6890</v>
      </c>
      <c r="B119" s="57">
        <v>15938.0</v>
      </c>
      <c r="C119" s="241">
        <v>24547.0</v>
      </c>
      <c r="D119" s="241">
        <v>44595.0</v>
      </c>
      <c r="E119" s="61">
        <v>0.3958333333333333</v>
      </c>
      <c r="F119" s="62" t="s">
        <v>6767</v>
      </c>
      <c r="G119" s="63" t="s">
        <v>6562</v>
      </c>
      <c r="H119" s="64" t="s">
        <v>6527</v>
      </c>
      <c r="I119" s="65" t="s">
        <v>6781</v>
      </c>
      <c r="J119" s="242"/>
      <c r="K119" s="242" t="s">
        <v>6559</v>
      </c>
      <c r="L119" s="242"/>
      <c r="M119" s="66"/>
    </row>
    <row r="120" ht="15.75" customHeight="1">
      <c r="A120" s="56" t="s">
        <v>6891</v>
      </c>
      <c r="B120" s="57">
        <v>16999.0</v>
      </c>
      <c r="C120" s="241">
        <v>25187.0</v>
      </c>
      <c r="D120" s="241">
        <v>44595.0</v>
      </c>
      <c r="E120" s="61">
        <v>0.3958333333333333</v>
      </c>
      <c r="F120" s="62" t="s">
        <v>6766</v>
      </c>
      <c r="G120" s="63" t="s">
        <v>6562</v>
      </c>
      <c r="H120" s="64" t="s">
        <v>6527</v>
      </c>
      <c r="I120" s="65" t="s">
        <v>6406</v>
      </c>
      <c r="J120" s="242"/>
      <c r="K120" s="242" t="s">
        <v>6559</v>
      </c>
      <c r="L120" s="242"/>
      <c r="M120" s="66"/>
    </row>
    <row r="121" ht="15.75" customHeight="1">
      <c r="A121" s="56" t="s">
        <v>6892</v>
      </c>
      <c r="B121" s="57">
        <v>15129.0</v>
      </c>
      <c r="C121" s="241">
        <v>22829.0</v>
      </c>
      <c r="D121" s="241">
        <v>44595.0</v>
      </c>
      <c r="E121" s="61">
        <v>0.3958333333333333</v>
      </c>
      <c r="F121" s="62" t="s">
        <v>6766</v>
      </c>
      <c r="G121" s="63" t="s">
        <v>6562</v>
      </c>
      <c r="H121" s="64" t="s">
        <v>6527</v>
      </c>
      <c r="I121" s="65" t="s">
        <v>6444</v>
      </c>
      <c r="J121" s="66"/>
      <c r="K121" s="66" t="s">
        <v>6559</v>
      </c>
      <c r="L121" s="66"/>
      <c r="M121" s="66"/>
    </row>
    <row r="122" ht="15.75" customHeight="1">
      <c r="A122" s="56" t="s">
        <v>6893</v>
      </c>
      <c r="B122" s="57">
        <v>9896.0</v>
      </c>
      <c r="C122" s="241">
        <v>26782.0</v>
      </c>
      <c r="D122" s="241">
        <v>44595.0</v>
      </c>
      <c r="E122" s="61">
        <v>0.375</v>
      </c>
      <c r="F122" s="62" t="s">
        <v>6766</v>
      </c>
      <c r="G122" s="63" t="s">
        <v>6558</v>
      </c>
      <c r="H122" s="64" t="s">
        <v>6521</v>
      </c>
      <c r="I122" s="65" t="s">
        <v>6483</v>
      </c>
      <c r="J122" s="66"/>
      <c r="K122" s="66" t="s">
        <v>6559</v>
      </c>
      <c r="L122" s="66"/>
      <c r="M122" s="66"/>
    </row>
    <row r="123" ht="15.75" customHeight="1">
      <c r="A123" s="56" t="s">
        <v>6894</v>
      </c>
      <c r="B123" s="57">
        <v>16046.0</v>
      </c>
      <c r="C123" s="241">
        <v>18837.0</v>
      </c>
      <c r="D123" s="241">
        <v>44595.0</v>
      </c>
      <c r="E123" s="61">
        <v>0.4166666666666667</v>
      </c>
      <c r="F123" s="62" t="s">
        <v>6766</v>
      </c>
      <c r="G123" s="63" t="s">
        <v>6562</v>
      </c>
      <c r="H123" s="64" t="s">
        <v>6529</v>
      </c>
      <c r="I123" s="65" t="s">
        <v>6895</v>
      </c>
      <c r="J123" s="242"/>
      <c r="K123" s="242" t="s">
        <v>6559</v>
      </c>
      <c r="L123" s="242"/>
      <c r="M123" s="66"/>
    </row>
    <row r="124" ht="15.75" customHeight="1">
      <c r="A124" s="56" t="s">
        <v>6896</v>
      </c>
      <c r="B124" s="57">
        <v>16046.0</v>
      </c>
      <c r="C124" s="241">
        <v>25266.0</v>
      </c>
      <c r="D124" s="241">
        <v>44595.0</v>
      </c>
      <c r="E124" s="61">
        <v>0.4305555555555556</v>
      </c>
      <c r="F124" s="62" t="s">
        <v>6766</v>
      </c>
      <c r="G124" s="63" t="s">
        <v>6558</v>
      </c>
      <c r="H124" s="64" t="s">
        <v>6521</v>
      </c>
      <c r="I124" s="65" t="s">
        <v>6429</v>
      </c>
      <c r="J124" s="66"/>
      <c r="K124" s="66" t="s">
        <v>6559</v>
      </c>
      <c r="L124" s="66" t="s">
        <v>6559</v>
      </c>
      <c r="M124" s="66"/>
    </row>
    <row r="125" ht="15.75" customHeight="1">
      <c r="A125" s="56" t="s">
        <v>6897</v>
      </c>
      <c r="B125" s="57">
        <v>10145.0</v>
      </c>
      <c r="C125" s="241">
        <v>30566.0</v>
      </c>
      <c r="D125" s="241">
        <v>44595.0</v>
      </c>
      <c r="E125" s="61">
        <v>0.4479166666666667</v>
      </c>
      <c r="F125" s="62" t="s">
        <v>6767</v>
      </c>
      <c r="G125" s="63" t="s">
        <v>6562</v>
      </c>
      <c r="H125" s="64" t="s">
        <v>6527</v>
      </c>
      <c r="I125" s="65" t="s">
        <v>6432</v>
      </c>
      <c r="J125" s="243"/>
      <c r="K125" s="243" t="s">
        <v>6559</v>
      </c>
      <c r="L125" s="243"/>
      <c r="M125" s="66"/>
    </row>
    <row r="126" ht="15.75" customHeight="1">
      <c r="A126" s="56" t="s">
        <v>6898</v>
      </c>
      <c r="B126" s="57">
        <v>16671.0</v>
      </c>
      <c r="C126" s="241">
        <v>22559.0</v>
      </c>
      <c r="D126" s="241">
        <v>44595.0</v>
      </c>
      <c r="E126" s="61">
        <v>0.4479166666666667</v>
      </c>
      <c r="F126" s="62" t="s">
        <v>6766</v>
      </c>
      <c r="G126" s="63" t="s">
        <v>6558</v>
      </c>
      <c r="H126" s="64" t="s">
        <v>6521</v>
      </c>
      <c r="I126" s="65" t="s">
        <v>6482</v>
      </c>
      <c r="J126" s="242"/>
      <c r="K126" s="242" t="s">
        <v>6559</v>
      </c>
      <c r="L126" s="242"/>
      <c r="M126" s="66"/>
    </row>
    <row r="127" ht="15.75" customHeight="1">
      <c r="A127" s="56" t="s">
        <v>6899</v>
      </c>
      <c r="B127" s="57">
        <v>12871.0</v>
      </c>
      <c r="C127" s="241">
        <v>32304.0</v>
      </c>
      <c r="D127" s="241">
        <v>44595.0</v>
      </c>
      <c r="E127" s="61">
        <v>0.4583333333333333</v>
      </c>
      <c r="F127" s="62" t="s">
        <v>6766</v>
      </c>
      <c r="G127" s="63" t="s">
        <v>6558</v>
      </c>
      <c r="H127" s="64" t="s">
        <v>6521</v>
      </c>
      <c r="I127" s="65" t="s">
        <v>6372</v>
      </c>
      <c r="J127" s="66"/>
      <c r="K127" s="66" t="s">
        <v>6559</v>
      </c>
      <c r="L127" s="66"/>
      <c r="M127" s="66"/>
    </row>
    <row r="128" ht="15.75" customHeight="1">
      <c r="A128" s="56" t="s">
        <v>6900</v>
      </c>
      <c r="B128" s="57">
        <v>13835.0</v>
      </c>
      <c r="C128" s="241">
        <v>18179.0</v>
      </c>
      <c r="D128" s="241">
        <v>44595.0</v>
      </c>
      <c r="E128" s="61">
        <v>0.4791666666666667</v>
      </c>
      <c r="F128" s="62" t="s">
        <v>6878</v>
      </c>
      <c r="G128" s="63" t="s">
        <v>6818</v>
      </c>
      <c r="H128" s="64" t="s">
        <v>6527</v>
      </c>
      <c r="I128" s="65" t="s">
        <v>6809</v>
      </c>
      <c r="J128" s="66"/>
      <c r="K128" s="66" t="s">
        <v>6861</v>
      </c>
      <c r="L128" s="66" t="s">
        <v>6861</v>
      </c>
      <c r="M128" s="66"/>
    </row>
    <row r="129" ht="15.75" customHeight="1">
      <c r="A129" s="56" t="s">
        <v>6901</v>
      </c>
      <c r="B129" s="57">
        <v>13863.0</v>
      </c>
      <c r="C129" s="241">
        <v>29842.0</v>
      </c>
      <c r="D129" s="241">
        <v>44595.0</v>
      </c>
      <c r="E129" s="61">
        <v>0.4791666666666667</v>
      </c>
      <c r="F129" s="62" t="s">
        <v>6878</v>
      </c>
      <c r="G129" s="63" t="s">
        <v>6876</v>
      </c>
      <c r="H129" s="64" t="s">
        <v>6902</v>
      </c>
      <c r="I129" s="65" t="s">
        <v>6903</v>
      </c>
      <c r="J129" s="66"/>
      <c r="K129" s="66" t="s">
        <v>6861</v>
      </c>
      <c r="L129" s="66" t="s">
        <v>6861</v>
      </c>
      <c r="M129" s="66"/>
    </row>
    <row r="130" ht="15.75" customHeight="1">
      <c r="A130" s="56" t="s">
        <v>6904</v>
      </c>
      <c r="B130" s="57">
        <v>10392.0</v>
      </c>
      <c r="C130" s="241">
        <v>31105.0</v>
      </c>
      <c r="D130" s="241">
        <v>44595.0</v>
      </c>
      <c r="E130" s="61">
        <v>0.4791666666666667</v>
      </c>
      <c r="F130" s="62" t="s">
        <v>6766</v>
      </c>
      <c r="G130" s="63" t="s">
        <v>6558</v>
      </c>
      <c r="H130" s="64" t="s">
        <v>6521</v>
      </c>
      <c r="I130" s="65" t="s">
        <v>6427</v>
      </c>
      <c r="J130" s="66"/>
      <c r="K130" s="66" t="s">
        <v>6559</v>
      </c>
      <c r="L130" s="66"/>
      <c r="M130" s="66" t="s">
        <v>6792</v>
      </c>
    </row>
    <row r="131" ht="15.75" customHeight="1">
      <c r="A131" s="56" t="s">
        <v>6905</v>
      </c>
      <c r="B131" s="57">
        <v>17399.0</v>
      </c>
      <c r="C131" s="241">
        <v>19585.0</v>
      </c>
      <c r="D131" s="241">
        <v>44595.0</v>
      </c>
      <c r="E131" s="61">
        <v>0.5416666666666666</v>
      </c>
      <c r="F131" s="62" t="s">
        <v>6767</v>
      </c>
      <c r="G131" s="63" t="s">
        <v>6558</v>
      </c>
      <c r="H131" s="64" t="s">
        <v>6521</v>
      </c>
      <c r="I131" s="65" t="s">
        <v>6375</v>
      </c>
      <c r="J131" s="66"/>
      <c r="K131" s="66" t="s">
        <v>6559</v>
      </c>
      <c r="L131" s="66"/>
      <c r="M131" s="66"/>
    </row>
    <row r="132" ht="15.75" customHeight="1">
      <c r="A132" s="56" t="s">
        <v>6906</v>
      </c>
      <c r="B132" s="57">
        <v>14950.0</v>
      </c>
      <c r="C132" s="241">
        <v>27319.0</v>
      </c>
      <c r="D132" s="241">
        <v>44595.0</v>
      </c>
      <c r="E132" s="61">
        <v>0.5520833333333334</v>
      </c>
      <c r="F132" s="62" t="s">
        <v>6767</v>
      </c>
      <c r="G132" s="63" t="s">
        <v>6558</v>
      </c>
      <c r="H132" s="64" t="s">
        <v>6521</v>
      </c>
      <c r="I132" s="65" t="s">
        <v>6438</v>
      </c>
      <c r="J132" s="66"/>
      <c r="K132" s="66" t="s">
        <v>6559</v>
      </c>
      <c r="L132" s="66"/>
      <c r="M132" s="66"/>
    </row>
    <row r="133" ht="15.75" customHeight="1">
      <c r="A133" s="56" t="s">
        <v>6907</v>
      </c>
      <c r="B133" s="57">
        <v>9286.0</v>
      </c>
      <c r="C133" s="241">
        <v>14829.0</v>
      </c>
      <c r="D133" s="241">
        <v>44595.0</v>
      </c>
      <c r="E133" s="61">
        <v>0.5833333333333334</v>
      </c>
      <c r="F133" s="62" t="s">
        <v>6817</v>
      </c>
      <c r="G133" s="63" t="s">
        <v>6876</v>
      </c>
      <c r="H133" s="64" t="s">
        <v>6902</v>
      </c>
      <c r="I133" s="65" t="s">
        <v>6908</v>
      </c>
      <c r="J133" s="66"/>
      <c r="K133" s="66" t="s">
        <v>6861</v>
      </c>
      <c r="L133" s="66"/>
      <c r="M133" s="66"/>
    </row>
    <row r="134" ht="15.75" customHeight="1">
      <c r="A134" s="56" t="s">
        <v>6909</v>
      </c>
      <c r="B134" s="57">
        <v>10328.0</v>
      </c>
      <c r="C134" s="241">
        <v>23256.0</v>
      </c>
      <c r="D134" s="241">
        <v>44595.0</v>
      </c>
      <c r="E134" s="61">
        <v>0.5833333333333334</v>
      </c>
      <c r="F134" s="62" t="s">
        <v>6766</v>
      </c>
      <c r="G134" s="63" t="s">
        <v>6558</v>
      </c>
      <c r="H134" s="64" t="s">
        <v>6521</v>
      </c>
      <c r="I134" s="65" t="s">
        <v>6381</v>
      </c>
      <c r="J134" s="66"/>
      <c r="K134" s="66" t="s">
        <v>6559</v>
      </c>
      <c r="L134" s="66"/>
      <c r="M134" s="66"/>
    </row>
    <row r="135" ht="15.75" customHeight="1">
      <c r="A135" s="56" t="s">
        <v>6910</v>
      </c>
      <c r="B135" s="57">
        <v>12697.0</v>
      </c>
      <c r="C135" s="241">
        <v>30536.0</v>
      </c>
      <c r="D135" s="241">
        <v>44595.0</v>
      </c>
      <c r="E135" s="61">
        <v>0.5833333333333334</v>
      </c>
      <c r="F135" s="62" t="s">
        <v>6766</v>
      </c>
      <c r="G135" s="63" t="s">
        <v>6558</v>
      </c>
      <c r="H135" s="64" t="s">
        <v>6521</v>
      </c>
      <c r="I135" s="65" t="s">
        <v>6374</v>
      </c>
      <c r="J135" s="242"/>
      <c r="K135" s="242" t="s">
        <v>6559</v>
      </c>
      <c r="L135" s="242"/>
      <c r="M135" s="66"/>
    </row>
    <row r="136" ht="15.75" customHeight="1">
      <c r="A136" s="56" t="s">
        <v>6911</v>
      </c>
      <c r="B136" s="57">
        <v>17199.0</v>
      </c>
      <c r="C136" s="241">
        <v>34129.0</v>
      </c>
      <c r="D136" s="241">
        <v>44595.0</v>
      </c>
      <c r="E136" s="61">
        <v>0.6041666666666666</v>
      </c>
      <c r="F136" s="62" t="s">
        <v>6817</v>
      </c>
      <c r="G136" s="63" t="s">
        <v>6876</v>
      </c>
      <c r="H136" s="64" t="s">
        <v>6902</v>
      </c>
      <c r="I136" s="65" t="s">
        <v>6912</v>
      </c>
      <c r="J136" s="66"/>
      <c r="K136" s="66" t="s">
        <v>6861</v>
      </c>
      <c r="L136" s="66"/>
      <c r="M136" s="66"/>
    </row>
    <row r="137" ht="15.75" customHeight="1">
      <c r="A137" s="56" t="s">
        <v>6913</v>
      </c>
      <c r="B137" s="57">
        <v>18041.0</v>
      </c>
      <c r="C137" s="241">
        <v>19826.0</v>
      </c>
      <c r="D137" s="241">
        <v>44595.0</v>
      </c>
      <c r="E137" s="61">
        <v>0.6041666666666666</v>
      </c>
      <c r="F137" s="62" t="s">
        <v>6878</v>
      </c>
      <c r="G137" s="63" t="s">
        <v>6876</v>
      </c>
      <c r="H137" s="64" t="s">
        <v>6529</v>
      </c>
      <c r="I137" s="65" t="s">
        <v>6914</v>
      </c>
      <c r="J137" s="66" t="s">
        <v>6861</v>
      </c>
      <c r="K137" s="66"/>
      <c r="L137" s="66"/>
      <c r="M137" s="66"/>
    </row>
    <row r="138" ht="15.75" customHeight="1">
      <c r="A138" s="56" t="s">
        <v>6915</v>
      </c>
      <c r="B138" s="57">
        <v>16330.0</v>
      </c>
      <c r="C138" s="241">
        <v>24636.0</v>
      </c>
      <c r="D138" s="241">
        <v>44595.0</v>
      </c>
      <c r="E138" s="61">
        <v>0.6319444444444444</v>
      </c>
      <c r="F138" s="62" t="s">
        <v>6766</v>
      </c>
      <c r="G138" s="63" t="s">
        <v>6558</v>
      </c>
      <c r="H138" s="64" t="s">
        <v>6521</v>
      </c>
      <c r="I138" s="65" t="s">
        <v>6809</v>
      </c>
      <c r="J138" s="66"/>
      <c r="K138" s="66" t="s">
        <v>6559</v>
      </c>
      <c r="L138" s="66"/>
      <c r="M138" s="66"/>
    </row>
    <row r="139" ht="15.75" customHeight="1">
      <c r="A139" s="56" t="s">
        <v>6916</v>
      </c>
      <c r="B139" s="57">
        <v>14117.0</v>
      </c>
      <c r="C139" s="241">
        <v>24626.0</v>
      </c>
      <c r="D139" s="241">
        <v>44595.0</v>
      </c>
      <c r="E139" s="61">
        <v>0.6388888888888888</v>
      </c>
      <c r="F139" s="74" t="s">
        <v>6817</v>
      </c>
      <c r="G139" s="63" t="s">
        <v>6876</v>
      </c>
      <c r="H139" s="64" t="s">
        <v>6902</v>
      </c>
      <c r="I139" s="65" t="s">
        <v>6432</v>
      </c>
      <c r="J139" s="66"/>
      <c r="K139" s="66" t="s">
        <v>6559</v>
      </c>
      <c r="L139" s="66"/>
      <c r="M139" s="66"/>
    </row>
    <row r="140" ht="15.75" customHeight="1">
      <c r="A140" s="56" t="s">
        <v>6917</v>
      </c>
      <c r="B140" s="57">
        <v>12489.0</v>
      </c>
      <c r="C140" s="241">
        <v>21111.0</v>
      </c>
      <c r="D140" s="241">
        <v>44596.0</v>
      </c>
      <c r="E140" s="61">
        <v>0.3333333333333333</v>
      </c>
      <c r="F140" s="62" t="s">
        <v>6767</v>
      </c>
      <c r="G140" s="63" t="s">
        <v>6558</v>
      </c>
      <c r="H140" s="64" t="s">
        <v>6527</v>
      </c>
      <c r="I140" s="65" t="s">
        <v>6384</v>
      </c>
      <c r="J140" s="66"/>
      <c r="K140" s="66" t="s">
        <v>6559</v>
      </c>
      <c r="L140" s="66" t="s">
        <v>6559</v>
      </c>
      <c r="M140" s="66"/>
    </row>
    <row r="141" ht="15.75" customHeight="1">
      <c r="A141" s="56" t="s">
        <v>6918</v>
      </c>
      <c r="B141" s="57">
        <v>13005.0</v>
      </c>
      <c r="C141" s="241">
        <v>22674.0</v>
      </c>
      <c r="D141" s="241">
        <v>44596.0</v>
      </c>
      <c r="E141" s="61">
        <v>0.3645833333333333</v>
      </c>
      <c r="F141" s="62" t="s">
        <v>6766</v>
      </c>
      <c r="G141" s="63" t="s">
        <v>6562</v>
      </c>
      <c r="H141" s="64" t="s">
        <v>6529</v>
      </c>
      <c r="I141" s="65" t="s">
        <v>6811</v>
      </c>
      <c r="J141" s="66"/>
      <c r="K141" s="66" t="s">
        <v>6559</v>
      </c>
      <c r="L141" s="66" t="s">
        <v>6559</v>
      </c>
      <c r="M141" s="66"/>
    </row>
    <row r="142" ht="15.75" customHeight="1">
      <c r="A142" s="56" t="s">
        <v>6919</v>
      </c>
      <c r="B142" s="57">
        <v>9436.0</v>
      </c>
      <c r="C142" s="241">
        <v>16542.0</v>
      </c>
      <c r="D142" s="241">
        <v>44596.0</v>
      </c>
      <c r="E142" s="61">
        <v>0.3645833333333333</v>
      </c>
      <c r="F142" s="62" t="s">
        <v>6767</v>
      </c>
      <c r="G142" s="63" t="s">
        <v>6561</v>
      </c>
      <c r="H142" s="64" t="s">
        <v>6529</v>
      </c>
      <c r="I142" s="65" t="s">
        <v>6835</v>
      </c>
      <c r="J142" s="242"/>
      <c r="K142" s="242" t="s">
        <v>6559</v>
      </c>
      <c r="L142" s="242"/>
      <c r="M142" s="66"/>
    </row>
    <row r="143" ht="15.75" customHeight="1">
      <c r="A143" s="56" t="s">
        <v>6920</v>
      </c>
      <c r="B143" s="57">
        <v>14581.0</v>
      </c>
      <c r="C143" s="241">
        <v>21223.0</v>
      </c>
      <c r="D143" s="241">
        <v>44596.0</v>
      </c>
      <c r="E143" s="61">
        <v>0.3680555555555556</v>
      </c>
      <c r="F143" s="62" t="s">
        <v>6766</v>
      </c>
      <c r="G143" s="63" t="s">
        <v>6561</v>
      </c>
      <c r="H143" s="64" t="s">
        <v>6529</v>
      </c>
      <c r="I143" s="65" t="s">
        <v>6895</v>
      </c>
      <c r="J143" s="242"/>
      <c r="K143" s="242" t="s">
        <v>6559</v>
      </c>
      <c r="L143" s="242"/>
      <c r="M143" s="66"/>
    </row>
    <row r="144" ht="15.75" customHeight="1">
      <c r="A144" s="56" t="s">
        <v>4259</v>
      </c>
      <c r="B144" s="57">
        <v>15911.0</v>
      </c>
      <c r="C144" s="241">
        <v>29976.0</v>
      </c>
      <c r="D144" s="241">
        <v>44596.0</v>
      </c>
      <c r="E144" s="61">
        <v>0.375</v>
      </c>
      <c r="F144" s="62" t="s">
        <v>6767</v>
      </c>
      <c r="G144" s="63" t="s">
        <v>6560</v>
      </c>
      <c r="H144" s="64" t="s">
        <v>6521</v>
      </c>
      <c r="I144" s="65" t="s">
        <v>6444</v>
      </c>
      <c r="J144" s="66"/>
      <c r="K144" s="66" t="s">
        <v>6559</v>
      </c>
      <c r="L144" s="66"/>
      <c r="M144" s="66"/>
    </row>
    <row r="145" ht="15.75" customHeight="1">
      <c r="A145" s="56" t="s">
        <v>515</v>
      </c>
      <c r="B145" s="57">
        <v>10368.0</v>
      </c>
      <c r="C145" s="241">
        <v>29922.0</v>
      </c>
      <c r="D145" s="241">
        <v>44596.0</v>
      </c>
      <c r="E145" s="61">
        <v>0.375</v>
      </c>
      <c r="F145" s="62" t="s">
        <v>6767</v>
      </c>
      <c r="G145" s="63" t="s">
        <v>6560</v>
      </c>
      <c r="H145" s="64" t="s">
        <v>6521</v>
      </c>
      <c r="I145" s="65" t="s">
        <v>6381</v>
      </c>
      <c r="J145" s="66"/>
      <c r="K145" s="66" t="s">
        <v>6559</v>
      </c>
      <c r="L145" s="66"/>
      <c r="M145" s="66"/>
    </row>
    <row r="146" ht="15.75" customHeight="1">
      <c r="A146" s="56" t="s">
        <v>6921</v>
      </c>
      <c r="B146" s="57">
        <v>9239.0</v>
      </c>
      <c r="C146" s="241">
        <v>17941.0</v>
      </c>
      <c r="D146" s="241">
        <v>44596.0</v>
      </c>
      <c r="E146" s="61">
        <v>0.3854166666666667</v>
      </c>
      <c r="F146" s="62" t="s">
        <v>6766</v>
      </c>
      <c r="G146" s="63" t="s">
        <v>6560</v>
      </c>
      <c r="H146" s="64" t="s">
        <v>6521</v>
      </c>
      <c r="I146" s="65" t="s">
        <v>6489</v>
      </c>
      <c r="J146" s="242"/>
      <c r="K146" s="242" t="s">
        <v>6559</v>
      </c>
      <c r="L146" s="242" t="s">
        <v>6559</v>
      </c>
      <c r="M146" s="66"/>
    </row>
    <row r="147" ht="15.75" customHeight="1">
      <c r="A147" s="56" t="s">
        <v>6922</v>
      </c>
      <c r="B147" s="57">
        <v>14172.0</v>
      </c>
      <c r="C147" s="241">
        <v>17875.0</v>
      </c>
      <c r="D147" s="241">
        <v>44596.0</v>
      </c>
      <c r="E147" s="61">
        <v>0.3854166666666667</v>
      </c>
      <c r="F147" s="62" t="s">
        <v>6766</v>
      </c>
      <c r="G147" s="63" t="s">
        <v>6560</v>
      </c>
      <c r="H147" s="64" t="s">
        <v>6521</v>
      </c>
      <c r="I147" s="65" t="s">
        <v>6489</v>
      </c>
      <c r="J147" s="66"/>
      <c r="K147" s="66" t="s">
        <v>6559</v>
      </c>
      <c r="L147" s="66"/>
      <c r="M147" s="66"/>
    </row>
    <row r="148" ht="15.75" customHeight="1">
      <c r="A148" s="56" t="s">
        <v>6923</v>
      </c>
      <c r="B148" s="57">
        <v>10780.0</v>
      </c>
      <c r="C148" s="241">
        <v>17668.0</v>
      </c>
      <c r="D148" s="241">
        <v>44596.0</v>
      </c>
      <c r="E148" s="61">
        <v>0.3958333333333333</v>
      </c>
      <c r="F148" s="62" t="s">
        <v>6767</v>
      </c>
      <c r="G148" s="63" t="s">
        <v>6562</v>
      </c>
      <c r="H148" s="64" t="s">
        <v>6529</v>
      </c>
      <c r="I148" s="65" t="s">
        <v>6850</v>
      </c>
      <c r="J148" s="243"/>
      <c r="K148" s="243" t="s">
        <v>6559</v>
      </c>
      <c r="L148" s="243" t="s">
        <v>6559</v>
      </c>
      <c r="M148" s="66"/>
    </row>
    <row r="149" ht="15.75" customHeight="1">
      <c r="A149" s="56" t="s">
        <v>6924</v>
      </c>
      <c r="B149" s="57">
        <v>16913.0</v>
      </c>
      <c r="C149" s="241">
        <v>20603.0</v>
      </c>
      <c r="D149" s="241">
        <v>44596.0</v>
      </c>
      <c r="E149" s="61">
        <v>0.3958333333333333</v>
      </c>
      <c r="F149" s="62" t="s">
        <v>6766</v>
      </c>
      <c r="G149" s="63" t="s">
        <v>6562</v>
      </c>
      <c r="H149" s="64" t="s">
        <v>6529</v>
      </c>
      <c r="I149" s="65" t="s">
        <v>6811</v>
      </c>
      <c r="J149" s="242"/>
      <c r="K149" s="242" t="s">
        <v>6559</v>
      </c>
      <c r="L149" s="242"/>
      <c r="M149" s="66"/>
    </row>
    <row r="150" ht="15.75" customHeight="1">
      <c r="A150" s="56" t="s">
        <v>6925</v>
      </c>
      <c r="B150" s="57">
        <v>16804.0</v>
      </c>
      <c r="C150" s="241">
        <v>14781.0</v>
      </c>
      <c r="D150" s="241">
        <v>44596.0</v>
      </c>
      <c r="E150" s="61">
        <v>0.4166666666666667</v>
      </c>
      <c r="F150" s="62" t="s">
        <v>6767</v>
      </c>
      <c r="G150" s="63" t="s">
        <v>6562</v>
      </c>
      <c r="H150" s="64" t="s">
        <v>6529</v>
      </c>
      <c r="I150" s="65" t="s">
        <v>6785</v>
      </c>
      <c r="J150" s="66"/>
      <c r="K150" s="66" t="s">
        <v>6559</v>
      </c>
      <c r="L150" s="66"/>
      <c r="M150" s="66"/>
    </row>
    <row r="151" ht="15.75" customHeight="1">
      <c r="A151" s="56" t="s">
        <v>6926</v>
      </c>
      <c r="B151" s="57">
        <v>16178.0</v>
      </c>
      <c r="C151" s="241">
        <v>16356.0</v>
      </c>
      <c r="D151" s="241">
        <v>44596.0</v>
      </c>
      <c r="E151" s="61">
        <v>0.4236111111111111</v>
      </c>
      <c r="F151" s="62" t="s">
        <v>6767</v>
      </c>
      <c r="G151" s="63" t="s">
        <v>6561</v>
      </c>
      <c r="H151" s="64" t="s">
        <v>6529</v>
      </c>
      <c r="I151" s="65" t="s">
        <v>6427</v>
      </c>
      <c r="J151" s="66"/>
      <c r="K151" s="66" t="s">
        <v>6559</v>
      </c>
      <c r="L151" s="66" t="s">
        <v>6559</v>
      </c>
      <c r="M151" s="66"/>
    </row>
    <row r="152" ht="15.75" customHeight="1">
      <c r="A152" s="56" t="s">
        <v>6927</v>
      </c>
      <c r="B152" s="57">
        <v>15589.0</v>
      </c>
      <c r="C152" s="241">
        <v>24482.0</v>
      </c>
      <c r="D152" s="241">
        <v>44596.0</v>
      </c>
      <c r="E152" s="61">
        <v>0.4270833333333333</v>
      </c>
      <c r="F152" s="62" t="s">
        <v>6767</v>
      </c>
      <c r="G152" s="63" t="s">
        <v>6562</v>
      </c>
      <c r="H152" s="64" t="s">
        <v>6529</v>
      </c>
      <c r="I152" s="65" t="s">
        <v>6835</v>
      </c>
      <c r="J152" s="66"/>
      <c r="K152" s="66" t="s">
        <v>6559</v>
      </c>
      <c r="L152" s="66" t="s">
        <v>6559</v>
      </c>
      <c r="M152" s="66"/>
    </row>
    <row r="153" ht="15.75" customHeight="1">
      <c r="A153" s="56" t="s">
        <v>3643</v>
      </c>
      <c r="B153" s="57">
        <v>15209.0</v>
      </c>
      <c r="C153" s="241">
        <v>14594.0</v>
      </c>
      <c r="D153" s="241">
        <v>44596.0</v>
      </c>
      <c r="E153" s="61">
        <v>0.4375</v>
      </c>
      <c r="F153" s="62" t="s">
        <v>6766</v>
      </c>
      <c r="G153" s="63" t="s">
        <v>6560</v>
      </c>
      <c r="H153" s="64" t="s">
        <v>6521</v>
      </c>
      <c r="I153" s="65" t="s">
        <v>6486</v>
      </c>
      <c r="J153" s="66"/>
      <c r="K153" s="66" t="s">
        <v>6559</v>
      </c>
      <c r="L153" s="66"/>
      <c r="M153" s="66"/>
    </row>
    <row r="154" ht="15.75" customHeight="1">
      <c r="A154" s="56" t="s">
        <v>6928</v>
      </c>
      <c r="B154" s="57">
        <v>16757.0</v>
      </c>
      <c r="C154" s="241">
        <v>22411.0</v>
      </c>
      <c r="D154" s="241">
        <v>44596.0</v>
      </c>
      <c r="E154" s="61">
        <v>0.4375</v>
      </c>
      <c r="F154" s="62" t="s">
        <v>6766</v>
      </c>
      <c r="G154" s="63" t="s">
        <v>6561</v>
      </c>
      <c r="H154" s="64" t="s">
        <v>6527</v>
      </c>
      <c r="I154" s="65" t="s">
        <v>6929</v>
      </c>
      <c r="J154" s="66"/>
      <c r="K154" s="66" t="s">
        <v>6559</v>
      </c>
      <c r="L154" s="66"/>
      <c r="M154" s="66"/>
    </row>
    <row r="155" ht="15.75" customHeight="1">
      <c r="A155" s="56" t="s">
        <v>6930</v>
      </c>
      <c r="B155" s="57">
        <v>12592.0</v>
      </c>
      <c r="C155" s="241">
        <v>22417.0</v>
      </c>
      <c r="D155" s="241">
        <v>44596.0</v>
      </c>
      <c r="E155" s="61">
        <v>0.4375</v>
      </c>
      <c r="F155" s="62" t="s">
        <v>6767</v>
      </c>
      <c r="G155" s="63" t="s">
        <v>6562</v>
      </c>
      <c r="H155" s="64" t="s">
        <v>6529</v>
      </c>
      <c r="I155" s="65" t="s">
        <v>6931</v>
      </c>
      <c r="J155" s="66"/>
      <c r="K155" s="66" t="s">
        <v>6559</v>
      </c>
      <c r="L155" s="66"/>
      <c r="M155" s="66"/>
    </row>
    <row r="156" ht="15.75" customHeight="1">
      <c r="A156" s="56" t="s">
        <v>324</v>
      </c>
      <c r="B156" s="57">
        <v>9863.0</v>
      </c>
      <c r="C156" s="241">
        <v>17578.0</v>
      </c>
      <c r="D156" s="241">
        <v>44596.0</v>
      </c>
      <c r="E156" s="61">
        <v>0.4479166666666667</v>
      </c>
      <c r="F156" s="62" t="s">
        <v>6767</v>
      </c>
      <c r="G156" s="63" t="s">
        <v>6560</v>
      </c>
      <c r="H156" s="64" t="s">
        <v>6521</v>
      </c>
      <c r="I156" s="65" t="s">
        <v>6390</v>
      </c>
      <c r="J156" s="66"/>
      <c r="K156" s="66" t="s">
        <v>6559</v>
      </c>
      <c r="L156" s="66" t="s">
        <v>6559</v>
      </c>
      <c r="M156" s="66" t="s">
        <v>6932</v>
      </c>
    </row>
    <row r="157" ht="15.75" customHeight="1">
      <c r="A157" s="56" t="s">
        <v>6933</v>
      </c>
      <c r="B157" s="57">
        <v>15529.0</v>
      </c>
      <c r="C157" s="241">
        <v>24662.0</v>
      </c>
      <c r="D157" s="241">
        <v>44596.0</v>
      </c>
      <c r="E157" s="61">
        <v>0.46875</v>
      </c>
      <c r="F157" s="62" t="s">
        <v>6767</v>
      </c>
      <c r="G157" s="63" t="s">
        <v>6562</v>
      </c>
      <c r="H157" s="64" t="s">
        <v>6529</v>
      </c>
      <c r="I157" s="65" t="s">
        <v>6811</v>
      </c>
      <c r="J157" s="66"/>
      <c r="K157" s="66" t="s">
        <v>6559</v>
      </c>
      <c r="L157" s="66"/>
      <c r="M157" s="66"/>
    </row>
    <row r="158" ht="15.75" customHeight="1">
      <c r="A158" s="56" t="s">
        <v>6934</v>
      </c>
      <c r="B158" s="57">
        <v>17713.0</v>
      </c>
      <c r="C158" s="241">
        <v>21325.0</v>
      </c>
      <c r="D158" s="241">
        <v>44596.0</v>
      </c>
      <c r="E158" s="61">
        <v>0.4791666666666667</v>
      </c>
      <c r="F158" s="62" t="s">
        <v>6766</v>
      </c>
      <c r="G158" s="63" t="s">
        <v>6560</v>
      </c>
      <c r="H158" s="64" t="s">
        <v>6521</v>
      </c>
      <c r="I158" s="65" t="s">
        <v>6372</v>
      </c>
      <c r="J158" s="242"/>
      <c r="K158" s="242" t="s">
        <v>6559</v>
      </c>
      <c r="L158" s="242" t="s">
        <v>6559</v>
      </c>
      <c r="M158" s="66"/>
    </row>
    <row r="159" ht="15.75" customHeight="1">
      <c r="A159" s="56" t="s">
        <v>6935</v>
      </c>
      <c r="B159" s="57">
        <v>16560.0</v>
      </c>
      <c r="C159" s="241">
        <v>17367.0</v>
      </c>
      <c r="D159" s="241">
        <v>44596.0</v>
      </c>
      <c r="E159" s="61">
        <v>0.4791666666666667</v>
      </c>
      <c r="F159" s="62" t="s">
        <v>6766</v>
      </c>
      <c r="G159" s="63" t="s">
        <v>6560</v>
      </c>
      <c r="H159" s="64" t="s">
        <v>6521</v>
      </c>
      <c r="I159" s="65" t="s">
        <v>6384</v>
      </c>
      <c r="J159" s="66"/>
      <c r="K159" s="66" t="s">
        <v>6559</v>
      </c>
      <c r="L159" s="66" t="s">
        <v>6559</v>
      </c>
      <c r="M159" s="66"/>
    </row>
    <row r="160" ht="15.75" customHeight="1">
      <c r="A160" s="56" t="s">
        <v>4330</v>
      </c>
      <c r="B160" s="57">
        <v>15993.0</v>
      </c>
      <c r="C160" s="241">
        <v>30933.0</v>
      </c>
      <c r="D160" s="241">
        <v>44596.0</v>
      </c>
      <c r="E160" s="61">
        <v>0.4791666666666667</v>
      </c>
      <c r="F160" s="62" t="s">
        <v>6767</v>
      </c>
      <c r="G160" s="63" t="s">
        <v>6560</v>
      </c>
      <c r="H160" s="64" t="s">
        <v>6521</v>
      </c>
      <c r="I160" s="65" t="s">
        <v>6432</v>
      </c>
      <c r="J160" s="66"/>
      <c r="K160" s="66" t="s">
        <v>6559</v>
      </c>
      <c r="L160" s="66"/>
      <c r="M160" s="66"/>
    </row>
    <row r="161" ht="15.75" customHeight="1">
      <c r="A161" s="56" t="s">
        <v>530</v>
      </c>
      <c r="B161" s="57">
        <v>10400.0</v>
      </c>
      <c r="C161" s="241">
        <v>23351.0</v>
      </c>
      <c r="D161" s="241">
        <v>44596.0</v>
      </c>
      <c r="E161" s="61">
        <v>0.4895833333333333</v>
      </c>
      <c r="F161" s="62" t="s">
        <v>6766</v>
      </c>
      <c r="G161" s="63" t="s">
        <v>6560</v>
      </c>
      <c r="H161" s="64" t="s">
        <v>6521</v>
      </c>
      <c r="I161" s="65" t="s">
        <v>6389</v>
      </c>
      <c r="J161" s="66"/>
      <c r="K161" s="66" t="s">
        <v>6559</v>
      </c>
      <c r="L161" s="66" t="s">
        <v>6559</v>
      </c>
      <c r="M161" s="66"/>
    </row>
    <row r="162" ht="15.75" customHeight="1">
      <c r="A162" s="56" t="s">
        <v>6936</v>
      </c>
      <c r="B162" s="57">
        <v>12027.0</v>
      </c>
      <c r="C162" s="241">
        <v>23428.0</v>
      </c>
      <c r="D162" s="241">
        <v>44596.0</v>
      </c>
      <c r="E162" s="61">
        <v>0.5625</v>
      </c>
      <c r="F162" s="74" t="s">
        <v>6766</v>
      </c>
      <c r="G162" s="63" t="s">
        <v>6562</v>
      </c>
      <c r="H162" s="64" t="s">
        <v>6529</v>
      </c>
      <c r="I162" s="65" t="s">
        <v>6895</v>
      </c>
      <c r="J162" s="66"/>
      <c r="K162" s="66" t="s">
        <v>6559</v>
      </c>
      <c r="L162" s="66"/>
      <c r="M162" s="66" t="s">
        <v>6932</v>
      </c>
    </row>
    <row r="163" ht="15.75" customHeight="1">
      <c r="A163" s="56" t="s">
        <v>6937</v>
      </c>
      <c r="B163" s="57">
        <v>11355.0</v>
      </c>
      <c r="C163" s="241">
        <v>21117.0</v>
      </c>
      <c r="D163" s="241">
        <v>44596.0</v>
      </c>
      <c r="E163" s="61">
        <v>0.5625</v>
      </c>
      <c r="F163" s="74" t="s">
        <v>6767</v>
      </c>
      <c r="G163" s="63" t="s">
        <v>6562</v>
      </c>
      <c r="H163" s="64" t="s">
        <v>6529</v>
      </c>
      <c r="I163" s="65" t="s">
        <v>6835</v>
      </c>
      <c r="J163" s="66"/>
      <c r="K163" s="66" t="s">
        <v>6559</v>
      </c>
      <c r="L163" s="66" t="s">
        <v>6559</v>
      </c>
      <c r="M163" s="66"/>
    </row>
    <row r="164" ht="15.75" customHeight="1">
      <c r="A164" s="56" t="s">
        <v>6938</v>
      </c>
      <c r="B164" s="57">
        <v>12499.0</v>
      </c>
      <c r="C164" s="241">
        <v>20699.0</v>
      </c>
      <c r="D164" s="241">
        <v>44596.0</v>
      </c>
      <c r="E164" s="61">
        <v>0.0625</v>
      </c>
      <c r="F164" s="74" t="s">
        <v>6766</v>
      </c>
      <c r="G164" s="63" t="s">
        <v>6561</v>
      </c>
      <c r="H164" s="64" t="s">
        <v>6529</v>
      </c>
      <c r="I164" s="65" t="s">
        <v>6835</v>
      </c>
      <c r="J164" s="66"/>
      <c r="K164" s="66" t="s">
        <v>6559</v>
      </c>
      <c r="L164" s="66" t="s">
        <v>6559</v>
      </c>
      <c r="M164" s="66"/>
    </row>
    <row r="165" ht="15.75" customHeight="1">
      <c r="A165" s="56" t="s">
        <v>6939</v>
      </c>
      <c r="B165" s="57">
        <v>16896.0</v>
      </c>
      <c r="C165" s="241">
        <v>22688.0</v>
      </c>
      <c r="D165" s="241">
        <v>44596.0</v>
      </c>
      <c r="E165" s="61">
        <v>0.5833333333333334</v>
      </c>
      <c r="F165" s="74" t="s">
        <v>6766</v>
      </c>
      <c r="G165" s="63" t="s">
        <v>6560</v>
      </c>
      <c r="H165" s="64" t="s">
        <v>6521</v>
      </c>
      <c r="I165" s="65" t="s">
        <v>6393</v>
      </c>
      <c r="J165" s="66"/>
      <c r="K165" s="66" t="s">
        <v>6559</v>
      </c>
      <c r="L165" s="66"/>
      <c r="M165" s="66"/>
    </row>
    <row r="166" ht="15.75" customHeight="1">
      <c r="A166" s="56" t="s">
        <v>700</v>
      </c>
      <c r="B166" s="57">
        <v>10854.0</v>
      </c>
      <c r="C166" s="241">
        <v>26580.0</v>
      </c>
      <c r="D166" s="241">
        <v>44596.0</v>
      </c>
      <c r="E166" s="61">
        <v>0.5972222222222222</v>
      </c>
      <c r="F166" s="74" t="s">
        <v>6767</v>
      </c>
      <c r="G166" s="63" t="s">
        <v>6560</v>
      </c>
      <c r="H166" s="64" t="s">
        <v>6521</v>
      </c>
      <c r="I166" s="65" t="s">
        <v>6414</v>
      </c>
      <c r="J166" s="66"/>
      <c r="K166" s="66" t="s">
        <v>6559</v>
      </c>
      <c r="L166" s="66"/>
      <c r="M166" s="66"/>
    </row>
    <row r="167" ht="15.75" customHeight="1">
      <c r="A167" s="56" t="s">
        <v>6940</v>
      </c>
      <c r="B167" s="57">
        <v>13283.0</v>
      </c>
      <c r="C167" s="241">
        <v>28196.0</v>
      </c>
      <c r="D167" s="241">
        <v>44596.0</v>
      </c>
      <c r="E167" s="61">
        <v>0.6041666666666666</v>
      </c>
      <c r="F167" s="74" t="s">
        <v>6766</v>
      </c>
      <c r="G167" s="63" t="s">
        <v>6560</v>
      </c>
      <c r="H167" s="64" t="s">
        <v>6521</v>
      </c>
      <c r="I167" s="65" t="s">
        <v>6489</v>
      </c>
      <c r="J167" s="242"/>
      <c r="K167" s="242" t="s">
        <v>6559</v>
      </c>
      <c r="L167" s="242" t="s">
        <v>6559</v>
      </c>
      <c r="M167" s="66"/>
    </row>
    <row r="168" ht="15.75" customHeight="1">
      <c r="A168" s="56" t="s">
        <v>2150</v>
      </c>
      <c r="B168" s="57">
        <v>13331.0</v>
      </c>
      <c r="C168" s="241">
        <v>17613.0</v>
      </c>
      <c r="D168" s="241">
        <v>44596.0</v>
      </c>
      <c r="E168" s="61">
        <v>0.6145833333333334</v>
      </c>
      <c r="F168" s="74" t="s">
        <v>6766</v>
      </c>
      <c r="G168" s="63" t="s">
        <v>6560</v>
      </c>
      <c r="H168" s="64" t="s">
        <v>6521</v>
      </c>
      <c r="I168" s="65" t="s">
        <v>6385</v>
      </c>
      <c r="J168" s="66"/>
      <c r="K168" s="66" t="s">
        <v>6559</v>
      </c>
      <c r="L168" s="66" t="s">
        <v>6559</v>
      </c>
      <c r="M168" s="66"/>
    </row>
    <row r="169" ht="15.75" customHeight="1">
      <c r="A169" s="56" t="s">
        <v>6941</v>
      </c>
      <c r="B169" s="57">
        <v>16008.0</v>
      </c>
      <c r="C169" s="241">
        <v>18674.0</v>
      </c>
      <c r="D169" s="241">
        <v>44596.0</v>
      </c>
      <c r="E169" s="61">
        <v>0.6180555555555556</v>
      </c>
      <c r="F169" s="74" t="s">
        <v>6766</v>
      </c>
      <c r="G169" s="63" t="s">
        <v>6562</v>
      </c>
      <c r="H169" s="64" t="s">
        <v>6529</v>
      </c>
      <c r="I169" s="65" t="s">
        <v>6942</v>
      </c>
      <c r="J169" s="66"/>
      <c r="K169" s="66" t="s">
        <v>6559</v>
      </c>
      <c r="L169" s="66"/>
      <c r="M169" s="66"/>
    </row>
    <row r="170" ht="15.75" customHeight="1">
      <c r="A170" s="56" t="s">
        <v>6943</v>
      </c>
      <c r="B170" s="57">
        <v>10632.0</v>
      </c>
      <c r="C170" s="241">
        <v>22528.0</v>
      </c>
      <c r="D170" s="241">
        <v>44596.0</v>
      </c>
      <c r="E170" s="61">
        <v>0.6180555555555556</v>
      </c>
      <c r="F170" s="74" t="s">
        <v>6767</v>
      </c>
      <c r="G170" s="63" t="s">
        <v>6560</v>
      </c>
      <c r="H170" s="64" t="s">
        <v>6521</v>
      </c>
      <c r="I170" s="65" t="s">
        <v>6432</v>
      </c>
      <c r="J170" s="66"/>
      <c r="K170" s="66" t="s">
        <v>6559</v>
      </c>
      <c r="L170" s="66" t="s">
        <v>6559</v>
      </c>
      <c r="M170" s="66"/>
    </row>
    <row r="171" ht="15.75" customHeight="1">
      <c r="A171" s="56" t="s">
        <v>690</v>
      </c>
      <c r="B171" s="57">
        <v>10801.0</v>
      </c>
      <c r="C171" s="241">
        <v>28794.0</v>
      </c>
      <c r="D171" s="241">
        <v>44596.0</v>
      </c>
      <c r="E171" s="61">
        <v>0.65625</v>
      </c>
      <c r="F171" s="74" t="s">
        <v>6767</v>
      </c>
      <c r="G171" s="63" t="s">
        <v>6560</v>
      </c>
      <c r="H171" s="64" t="s">
        <v>6521</v>
      </c>
      <c r="I171" s="65" t="s">
        <v>6372</v>
      </c>
      <c r="J171" s="66"/>
      <c r="K171" s="66" t="s">
        <v>6559</v>
      </c>
      <c r="L171" s="66" t="s">
        <v>6559</v>
      </c>
      <c r="M171" s="66"/>
    </row>
    <row r="172" ht="15.75" customHeight="1">
      <c r="A172" s="56" t="s">
        <v>1279</v>
      </c>
      <c r="B172" s="57">
        <v>12118.0</v>
      </c>
      <c r="C172" s="246">
        <v>34867.0</v>
      </c>
      <c r="D172" s="241">
        <v>44596.0</v>
      </c>
      <c r="E172" s="61">
        <v>0.65625</v>
      </c>
      <c r="F172" s="74" t="s">
        <v>6767</v>
      </c>
      <c r="G172" s="63" t="s">
        <v>6560</v>
      </c>
      <c r="H172" s="64" t="s">
        <v>6521</v>
      </c>
      <c r="I172" s="65" t="s">
        <v>6389</v>
      </c>
      <c r="J172" s="66"/>
      <c r="K172" s="66" t="s">
        <v>6559</v>
      </c>
      <c r="L172" s="66"/>
      <c r="M172" s="66"/>
    </row>
    <row r="173" ht="15.75" customHeight="1">
      <c r="A173" s="56" t="s">
        <v>6944</v>
      </c>
      <c r="B173" s="57">
        <v>15632.0</v>
      </c>
      <c r="C173" s="241">
        <v>23874.0</v>
      </c>
      <c r="D173" s="241">
        <v>44599.0</v>
      </c>
      <c r="E173" s="61">
        <v>0.3125</v>
      </c>
      <c r="F173" s="62" t="s">
        <v>6766</v>
      </c>
      <c r="G173" s="63" t="s">
        <v>6558</v>
      </c>
      <c r="H173" s="64" t="s">
        <v>6529</v>
      </c>
      <c r="I173" s="65" t="s">
        <v>6427</v>
      </c>
      <c r="J173" s="66"/>
      <c r="K173" s="66" t="s">
        <v>6559</v>
      </c>
      <c r="L173" s="66"/>
      <c r="M173" s="66"/>
    </row>
    <row r="174" ht="15.75" customHeight="1">
      <c r="A174" s="56" t="s">
        <v>6945</v>
      </c>
      <c r="B174" s="57">
        <v>12292.0</v>
      </c>
      <c r="C174" s="241">
        <v>20548.0</v>
      </c>
      <c r="D174" s="241">
        <v>44568.0</v>
      </c>
      <c r="E174" s="61">
        <v>0.35138888888888886</v>
      </c>
      <c r="F174" s="62" t="s">
        <v>6766</v>
      </c>
      <c r="G174" s="63" t="s">
        <v>6558</v>
      </c>
      <c r="H174" s="64" t="s">
        <v>6521</v>
      </c>
      <c r="I174" s="65" t="s">
        <v>6385</v>
      </c>
      <c r="J174" s="66"/>
      <c r="K174" s="66" t="s">
        <v>6559</v>
      </c>
      <c r="L174" s="66"/>
      <c r="M174" s="66"/>
    </row>
    <row r="175" ht="15.75" customHeight="1">
      <c r="A175" s="56" t="s">
        <v>6946</v>
      </c>
      <c r="B175" s="57">
        <v>14219.0</v>
      </c>
      <c r="C175" s="241">
        <v>24977.0</v>
      </c>
      <c r="D175" s="241">
        <v>44599.0</v>
      </c>
      <c r="E175" s="61">
        <v>0.3645833333333333</v>
      </c>
      <c r="F175" s="62" t="s">
        <v>6766</v>
      </c>
      <c r="G175" s="63" t="s">
        <v>6558</v>
      </c>
      <c r="H175" s="64" t="s">
        <v>6521</v>
      </c>
      <c r="I175" s="65" t="s">
        <v>6381</v>
      </c>
      <c r="J175" s="242"/>
      <c r="K175" s="242" t="s">
        <v>6559</v>
      </c>
      <c r="L175" s="242" t="s">
        <v>6559</v>
      </c>
      <c r="M175" s="66"/>
    </row>
    <row r="176" ht="15.75" customHeight="1">
      <c r="A176" s="56" t="s">
        <v>6947</v>
      </c>
      <c r="B176" s="57">
        <v>14160.0</v>
      </c>
      <c r="C176" s="241">
        <v>29818.0</v>
      </c>
      <c r="D176" s="241">
        <v>44599.0</v>
      </c>
      <c r="E176" s="61">
        <v>0.375</v>
      </c>
      <c r="F176" s="62" t="s">
        <v>6766</v>
      </c>
      <c r="G176" s="63" t="s">
        <v>6561</v>
      </c>
      <c r="H176" s="64" t="s">
        <v>6527</v>
      </c>
      <c r="I176" s="65" t="s">
        <v>6948</v>
      </c>
      <c r="J176" s="242"/>
      <c r="K176" s="242" t="s">
        <v>6559</v>
      </c>
      <c r="L176" s="242"/>
      <c r="M176" s="66"/>
    </row>
    <row r="177" ht="15.75" customHeight="1">
      <c r="A177" s="56" t="s">
        <v>6949</v>
      </c>
      <c r="B177" s="57">
        <v>10880.0</v>
      </c>
      <c r="C177" s="241">
        <v>21427.0</v>
      </c>
      <c r="D177" s="241">
        <v>44599.0</v>
      </c>
      <c r="E177" s="61">
        <v>0.375</v>
      </c>
      <c r="F177" s="62" t="s">
        <v>6767</v>
      </c>
      <c r="G177" s="63" t="s">
        <v>6558</v>
      </c>
      <c r="H177" s="64" t="s">
        <v>6521</v>
      </c>
      <c r="I177" s="65" t="s">
        <v>6479</v>
      </c>
      <c r="J177" s="66"/>
      <c r="K177" s="66" t="s">
        <v>6559</v>
      </c>
      <c r="L177" s="66"/>
      <c r="M177" s="66"/>
    </row>
    <row r="178" ht="15.75" customHeight="1">
      <c r="A178" s="56" t="s">
        <v>6950</v>
      </c>
      <c r="B178" s="57">
        <v>12526.0</v>
      </c>
      <c r="C178" s="241">
        <v>17903.0</v>
      </c>
      <c r="D178" s="241">
        <v>44599.0</v>
      </c>
      <c r="E178" s="61">
        <v>0.3854166666666667</v>
      </c>
      <c r="F178" s="62" t="s">
        <v>6767</v>
      </c>
      <c r="G178" s="63" t="s">
        <v>6558</v>
      </c>
      <c r="H178" s="64" t="s">
        <v>6521</v>
      </c>
      <c r="I178" s="65" t="s">
        <v>6391</v>
      </c>
      <c r="J178" s="66"/>
      <c r="K178" s="66" t="s">
        <v>6559</v>
      </c>
      <c r="L178" s="66"/>
      <c r="M178" s="66"/>
    </row>
    <row r="179" ht="15.75" customHeight="1">
      <c r="A179" s="56" t="s">
        <v>6951</v>
      </c>
      <c r="B179" s="57">
        <v>17862.0</v>
      </c>
      <c r="C179" s="241">
        <v>27210.0</v>
      </c>
      <c r="D179" s="241">
        <v>44599.0</v>
      </c>
      <c r="E179" s="61">
        <v>0.4027777777777778</v>
      </c>
      <c r="F179" s="62" t="s">
        <v>6767</v>
      </c>
      <c r="G179" s="63" t="s">
        <v>6561</v>
      </c>
      <c r="H179" s="64" t="s">
        <v>6527</v>
      </c>
      <c r="I179" s="65" t="s">
        <v>6372</v>
      </c>
      <c r="J179" s="242" t="s">
        <v>6559</v>
      </c>
      <c r="K179" s="242"/>
      <c r="L179" s="242"/>
      <c r="M179" s="66"/>
    </row>
    <row r="180" ht="15.75" customHeight="1">
      <c r="A180" s="56" t="s">
        <v>6952</v>
      </c>
      <c r="B180" s="57">
        <v>17210.0</v>
      </c>
      <c r="C180" s="241">
        <v>21998.0</v>
      </c>
      <c r="D180" s="241">
        <v>44599.0</v>
      </c>
      <c r="E180" s="61">
        <v>0.4027777777777778</v>
      </c>
      <c r="F180" s="62" t="s">
        <v>6766</v>
      </c>
      <c r="G180" s="63" t="s">
        <v>6562</v>
      </c>
      <c r="H180" s="64" t="s">
        <v>6527</v>
      </c>
      <c r="I180" s="65" t="s">
        <v>6835</v>
      </c>
      <c r="J180" s="66" t="s">
        <v>6559</v>
      </c>
      <c r="K180" s="66"/>
      <c r="L180" s="66"/>
      <c r="M180" s="66"/>
    </row>
    <row r="181" ht="15.75" customHeight="1">
      <c r="A181" s="56" t="s">
        <v>6953</v>
      </c>
      <c r="B181" s="57">
        <v>17950.0</v>
      </c>
      <c r="C181" s="241">
        <v>28008.0</v>
      </c>
      <c r="D181" s="241">
        <v>44599.0</v>
      </c>
      <c r="E181" s="61">
        <v>0.4201388888888889</v>
      </c>
      <c r="F181" s="62" t="s">
        <v>6767</v>
      </c>
      <c r="G181" s="63" t="s">
        <v>6561</v>
      </c>
      <c r="H181" s="64" t="s">
        <v>6527</v>
      </c>
      <c r="I181" s="65" t="s">
        <v>6372</v>
      </c>
      <c r="J181" s="243" t="s">
        <v>6559</v>
      </c>
      <c r="K181" s="243"/>
      <c r="L181" s="243"/>
      <c r="M181" s="66"/>
    </row>
    <row r="182" ht="15.75" customHeight="1">
      <c r="A182" s="56" t="s">
        <v>6954</v>
      </c>
      <c r="B182" s="57">
        <v>9193.0</v>
      </c>
      <c r="C182" s="241">
        <v>18632.0</v>
      </c>
      <c r="D182" s="241">
        <v>44599.0</v>
      </c>
      <c r="E182" s="61">
        <v>0.4166666666666667</v>
      </c>
      <c r="F182" s="62" t="s">
        <v>6767</v>
      </c>
      <c r="G182" s="63" t="s">
        <v>6562</v>
      </c>
      <c r="H182" s="64" t="s">
        <v>6527</v>
      </c>
      <c r="I182" s="65" t="s">
        <v>6427</v>
      </c>
      <c r="J182" s="242"/>
      <c r="K182" s="242" t="s">
        <v>6559</v>
      </c>
      <c r="L182" s="242"/>
      <c r="M182" s="66"/>
    </row>
    <row r="183" ht="15.75" customHeight="1">
      <c r="A183" s="56" t="s">
        <v>6955</v>
      </c>
      <c r="B183" s="57">
        <v>17153.0</v>
      </c>
      <c r="C183" s="241">
        <v>29857.0</v>
      </c>
      <c r="D183" s="241">
        <v>44599.0</v>
      </c>
      <c r="E183" s="61">
        <v>0.4270833333333333</v>
      </c>
      <c r="F183" s="62" t="s">
        <v>6767</v>
      </c>
      <c r="G183" s="63" t="s">
        <v>6561</v>
      </c>
      <c r="H183" s="64" t="s">
        <v>6527</v>
      </c>
      <c r="I183" s="65" t="s">
        <v>6956</v>
      </c>
      <c r="J183" s="66" t="s">
        <v>6559</v>
      </c>
      <c r="K183" s="66"/>
      <c r="L183" s="66"/>
      <c r="M183" s="66"/>
    </row>
    <row r="184" ht="15.75" customHeight="1">
      <c r="A184" s="56" t="s">
        <v>6957</v>
      </c>
      <c r="B184" s="57">
        <v>18021.0</v>
      </c>
      <c r="C184" s="241">
        <v>37457.0</v>
      </c>
      <c r="D184" s="241">
        <v>44599.0</v>
      </c>
      <c r="E184" s="61">
        <v>0.44166666666666665</v>
      </c>
      <c r="F184" s="62" t="s">
        <v>6766</v>
      </c>
      <c r="G184" s="63" t="s">
        <v>6561</v>
      </c>
      <c r="H184" s="64" t="s">
        <v>6527</v>
      </c>
      <c r="I184" s="65" t="s">
        <v>6958</v>
      </c>
      <c r="J184" s="66" t="s">
        <v>6559</v>
      </c>
      <c r="K184" s="66"/>
      <c r="L184" s="66"/>
      <c r="M184" s="66"/>
    </row>
    <row r="185" ht="15.75" customHeight="1">
      <c r="A185" s="56" t="s">
        <v>6959</v>
      </c>
      <c r="B185" s="57">
        <v>10444.0</v>
      </c>
      <c r="C185" s="241">
        <v>26614.0</v>
      </c>
      <c r="D185" s="241">
        <v>44599.0</v>
      </c>
      <c r="E185" s="61">
        <v>0.4166666666666667</v>
      </c>
      <c r="F185" s="62" t="s">
        <v>6767</v>
      </c>
      <c r="G185" s="63" t="s">
        <v>6558</v>
      </c>
      <c r="H185" s="64" t="s">
        <v>6521</v>
      </c>
      <c r="I185" s="65" t="s">
        <v>6373</v>
      </c>
      <c r="J185" s="66"/>
      <c r="K185" s="66" t="s">
        <v>6559</v>
      </c>
      <c r="L185" s="66" t="s">
        <v>6559</v>
      </c>
      <c r="M185" s="66"/>
    </row>
    <row r="186" ht="15.75" customHeight="1">
      <c r="A186" s="56" t="s">
        <v>6960</v>
      </c>
      <c r="B186" s="57">
        <v>18016.0</v>
      </c>
      <c r="C186" s="241">
        <v>21543.0</v>
      </c>
      <c r="D186" s="241">
        <v>44599.0</v>
      </c>
      <c r="E186" s="61">
        <v>0.4423611111111111</v>
      </c>
      <c r="F186" s="62" t="s">
        <v>6767</v>
      </c>
      <c r="G186" s="63" t="s">
        <v>6561</v>
      </c>
      <c r="H186" s="64" t="s">
        <v>6527</v>
      </c>
      <c r="I186" s="65" t="s">
        <v>6961</v>
      </c>
      <c r="J186" s="66" t="s">
        <v>6559</v>
      </c>
      <c r="K186" s="66"/>
      <c r="L186" s="66"/>
      <c r="M186" s="66"/>
    </row>
    <row r="187" ht="15.75" customHeight="1">
      <c r="A187" s="56" t="s">
        <v>6962</v>
      </c>
      <c r="B187" s="57">
        <v>12412.0</v>
      </c>
      <c r="C187" s="241">
        <v>21267.0</v>
      </c>
      <c r="D187" s="241">
        <v>44599.0</v>
      </c>
      <c r="E187" s="61">
        <v>0.4479166666666667</v>
      </c>
      <c r="F187" s="62" t="s">
        <v>6766</v>
      </c>
      <c r="G187" s="63" t="s">
        <v>6558</v>
      </c>
      <c r="H187" s="64" t="s">
        <v>6521</v>
      </c>
      <c r="I187" s="65" t="s">
        <v>6381</v>
      </c>
      <c r="J187" s="66"/>
      <c r="K187" s="66" t="s">
        <v>6559</v>
      </c>
      <c r="L187" s="66"/>
      <c r="M187" s="66"/>
    </row>
    <row r="188" ht="15.75" customHeight="1">
      <c r="A188" s="56" t="s">
        <v>6963</v>
      </c>
      <c r="B188" s="57">
        <v>10185.0</v>
      </c>
      <c r="C188" s="241">
        <v>24575.0</v>
      </c>
      <c r="D188" s="241">
        <v>44599.0</v>
      </c>
      <c r="E188" s="61">
        <v>0.46875</v>
      </c>
      <c r="F188" s="62" t="s">
        <v>6767</v>
      </c>
      <c r="G188" s="63" t="s">
        <v>6558</v>
      </c>
      <c r="H188" s="64" t="s">
        <v>6521</v>
      </c>
      <c r="I188" s="65" t="s">
        <v>6384</v>
      </c>
      <c r="J188" s="66"/>
      <c r="K188" s="66" t="s">
        <v>6559</v>
      </c>
      <c r="L188" s="66"/>
      <c r="M188" s="66"/>
    </row>
    <row r="189" ht="15.75" customHeight="1">
      <c r="A189" s="56" t="s">
        <v>6964</v>
      </c>
      <c r="B189" s="57">
        <v>17544.0</v>
      </c>
      <c r="C189" s="241">
        <v>23721.0</v>
      </c>
      <c r="D189" s="241">
        <v>44599.0</v>
      </c>
      <c r="E189" s="61">
        <v>0.4722222222222222</v>
      </c>
      <c r="F189" s="62" t="s">
        <v>6767</v>
      </c>
      <c r="G189" s="63" t="s">
        <v>6562</v>
      </c>
      <c r="H189" s="64" t="s">
        <v>6529</v>
      </c>
      <c r="I189" s="65" t="s">
        <v>6835</v>
      </c>
      <c r="J189" s="66"/>
      <c r="K189" s="66" t="s">
        <v>6559</v>
      </c>
      <c r="L189" s="66" t="s">
        <v>6559</v>
      </c>
      <c r="M189" s="66"/>
    </row>
    <row r="190" ht="15.75" customHeight="1">
      <c r="A190" s="56" t="s">
        <v>6965</v>
      </c>
      <c r="B190" s="57">
        <v>16086.0</v>
      </c>
      <c r="C190" s="241">
        <v>29859.0</v>
      </c>
      <c r="D190" s="241">
        <v>44599.0</v>
      </c>
      <c r="E190" s="61">
        <v>0.4791666666666667</v>
      </c>
      <c r="F190" s="62" t="s">
        <v>6767</v>
      </c>
      <c r="G190" s="63" t="s">
        <v>6562</v>
      </c>
      <c r="H190" s="64" t="s">
        <v>6529</v>
      </c>
      <c r="I190" s="65" t="s">
        <v>6427</v>
      </c>
      <c r="J190" s="66"/>
      <c r="K190" s="66" t="s">
        <v>6559</v>
      </c>
      <c r="L190" s="66"/>
      <c r="M190" s="66"/>
    </row>
    <row r="191" ht="15.75" customHeight="1">
      <c r="A191" s="56" t="s">
        <v>6966</v>
      </c>
      <c r="B191" s="57">
        <v>12062.0</v>
      </c>
      <c r="C191" s="241">
        <v>11801.0</v>
      </c>
      <c r="D191" s="241">
        <v>44599.0</v>
      </c>
      <c r="E191" s="61">
        <v>0.4791666666666667</v>
      </c>
      <c r="F191" s="62" t="s">
        <v>6767</v>
      </c>
      <c r="G191" s="63" t="s">
        <v>6558</v>
      </c>
      <c r="H191" s="64" t="s">
        <v>6521</v>
      </c>
      <c r="I191" s="65" t="s">
        <v>6427</v>
      </c>
      <c r="J191" s="242"/>
      <c r="K191" s="242" t="s">
        <v>6559</v>
      </c>
      <c r="L191" s="242" t="s">
        <v>6559</v>
      </c>
      <c r="M191" s="66"/>
    </row>
    <row r="192" ht="15.75" customHeight="1">
      <c r="A192" s="56" t="s">
        <v>6967</v>
      </c>
      <c r="B192" s="57">
        <v>15657.0</v>
      </c>
      <c r="C192" s="241">
        <v>24273.0</v>
      </c>
      <c r="D192" s="241">
        <v>44599.0</v>
      </c>
      <c r="E192" s="61">
        <v>0.4791666666666667</v>
      </c>
      <c r="F192" s="62" t="s">
        <v>6767</v>
      </c>
      <c r="G192" s="63" t="s">
        <v>6558</v>
      </c>
      <c r="H192" s="64" t="s">
        <v>6521</v>
      </c>
      <c r="I192" s="65" t="s">
        <v>6451</v>
      </c>
      <c r="J192" s="66"/>
      <c r="K192" s="66" t="s">
        <v>6559</v>
      </c>
      <c r="L192" s="66" t="s">
        <v>6559</v>
      </c>
      <c r="M192" s="66"/>
    </row>
    <row r="193" ht="15.75" customHeight="1">
      <c r="A193" s="56" t="s">
        <v>6302</v>
      </c>
      <c r="B193" s="57">
        <v>18029.0</v>
      </c>
      <c r="C193" s="241">
        <v>34870.0</v>
      </c>
      <c r="D193" s="241">
        <v>44599.0</v>
      </c>
      <c r="E193" s="61">
        <v>0.4861111111111111</v>
      </c>
      <c r="F193" s="62" t="s">
        <v>6767</v>
      </c>
      <c r="G193" s="63" t="s">
        <v>6562</v>
      </c>
      <c r="H193" s="64" t="s">
        <v>6527</v>
      </c>
      <c r="I193" s="65" t="s">
        <v>6781</v>
      </c>
      <c r="J193" s="66" t="s">
        <v>6559</v>
      </c>
      <c r="K193" s="66"/>
      <c r="L193" s="66"/>
      <c r="M193" s="66"/>
    </row>
    <row r="194" ht="15.75" customHeight="1">
      <c r="A194" s="56" t="s">
        <v>6968</v>
      </c>
      <c r="B194" s="57">
        <v>13518.0</v>
      </c>
      <c r="C194" s="241">
        <v>32525.0</v>
      </c>
      <c r="D194" s="241">
        <v>44599.0</v>
      </c>
      <c r="E194" s="61">
        <v>0.4861111111111111</v>
      </c>
      <c r="F194" s="62" t="s">
        <v>6766</v>
      </c>
      <c r="G194" s="63" t="s">
        <v>6562</v>
      </c>
      <c r="H194" s="64" t="s">
        <v>6527</v>
      </c>
      <c r="I194" s="65" t="s">
        <v>6444</v>
      </c>
      <c r="J194" s="66"/>
      <c r="K194" s="66" t="s">
        <v>6559</v>
      </c>
      <c r="L194" s="66"/>
      <c r="M194" s="66"/>
    </row>
    <row r="195" ht="15.75" customHeight="1">
      <c r="A195" s="56" t="s">
        <v>6969</v>
      </c>
      <c r="B195" s="57">
        <v>18033.0</v>
      </c>
      <c r="C195" s="241">
        <v>20590.0</v>
      </c>
      <c r="D195" s="241">
        <v>44599.0</v>
      </c>
      <c r="E195" s="61">
        <v>0.4861111111111111</v>
      </c>
      <c r="F195" s="74" t="s">
        <v>6766</v>
      </c>
      <c r="G195" s="63" t="s">
        <v>6561</v>
      </c>
      <c r="H195" s="64" t="s">
        <v>6775</v>
      </c>
      <c r="I195" s="65" t="s">
        <v>6781</v>
      </c>
      <c r="J195" s="66" t="s">
        <v>6559</v>
      </c>
      <c r="K195" s="66"/>
      <c r="L195" s="66"/>
      <c r="M195" s="66"/>
    </row>
    <row r="196" ht="15.75" customHeight="1">
      <c r="A196" s="56" t="s">
        <v>6970</v>
      </c>
      <c r="B196" s="57">
        <v>10768.0</v>
      </c>
      <c r="C196" s="241">
        <v>19517.0</v>
      </c>
      <c r="D196" s="241">
        <v>44599.0</v>
      </c>
      <c r="E196" s="61">
        <v>0.4652777777777778</v>
      </c>
      <c r="F196" s="74" t="s">
        <v>6767</v>
      </c>
      <c r="G196" s="63" t="s">
        <v>6558</v>
      </c>
      <c r="H196" s="64" t="s">
        <v>6521</v>
      </c>
      <c r="I196" s="65" t="s">
        <v>6781</v>
      </c>
      <c r="J196" s="66"/>
      <c r="K196" s="66" t="s">
        <v>6559</v>
      </c>
      <c r="L196" s="66" t="s">
        <v>6559</v>
      </c>
      <c r="M196" s="66"/>
    </row>
    <row r="197" ht="15.75" customHeight="1">
      <c r="A197" s="56" t="s">
        <v>6971</v>
      </c>
      <c r="B197" s="57">
        <v>17388.0</v>
      </c>
      <c r="C197" s="241">
        <v>20837.0</v>
      </c>
      <c r="D197" s="241">
        <v>44599.0</v>
      </c>
      <c r="E197" s="61">
        <v>0.4895833333333333</v>
      </c>
      <c r="F197" s="74" t="s">
        <v>6766</v>
      </c>
      <c r="G197" s="63" t="s">
        <v>6558</v>
      </c>
      <c r="H197" s="64" t="s">
        <v>6521</v>
      </c>
      <c r="I197" s="65" t="s">
        <v>6948</v>
      </c>
      <c r="J197" s="66"/>
      <c r="K197" s="66" t="s">
        <v>6559</v>
      </c>
      <c r="L197" s="66" t="s">
        <v>6559</v>
      </c>
      <c r="M197" s="66"/>
    </row>
    <row r="198" ht="15.75" customHeight="1">
      <c r="A198" s="56" t="s">
        <v>6972</v>
      </c>
      <c r="B198" s="57">
        <v>17709.0</v>
      </c>
      <c r="C198" s="241">
        <v>29001.0</v>
      </c>
      <c r="D198" s="241">
        <v>44599.0</v>
      </c>
      <c r="E198" s="61">
        <v>0.5</v>
      </c>
      <c r="F198" s="74" t="s">
        <v>6767</v>
      </c>
      <c r="G198" s="63" t="s">
        <v>6973</v>
      </c>
      <c r="H198" s="64" t="s">
        <v>6527</v>
      </c>
      <c r="I198" s="65" t="s">
        <v>6974</v>
      </c>
      <c r="J198" s="66" t="s">
        <v>6559</v>
      </c>
      <c r="K198" s="66"/>
      <c r="L198" s="66"/>
      <c r="M198" s="66"/>
    </row>
    <row r="199" ht="15.75" customHeight="1">
      <c r="A199" s="56" t="s">
        <v>6975</v>
      </c>
      <c r="B199" s="57">
        <v>10429.0</v>
      </c>
      <c r="C199" s="241">
        <v>16572.0</v>
      </c>
      <c r="D199" s="241">
        <v>44599.0</v>
      </c>
      <c r="E199" s="61">
        <v>0.5083333333333333</v>
      </c>
      <c r="F199" s="74" t="s">
        <v>6767</v>
      </c>
      <c r="G199" s="63" t="s">
        <v>6558</v>
      </c>
      <c r="H199" s="64" t="s">
        <v>6521</v>
      </c>
      <c r="I199" s="65" t="s">
        <v>6486</v>
      </c>
      <c r="J199" s="66"/>
      <c r="K199" s="66" t="s">
        <v>6559</v>
      </c>
      <c r="L199" s="66"/>
      <c r="M199" s="66"/>
    </row>
    <row r="200" ht="15.75" customHeight="1">
      <c r="A200" s="56" t="s">
        <v>4665</v>
      </c>
      <c r="B200" s="57">
        <v>16404.0</v>
      </c>
      <c r="C200" s="241">
        <v>21743.0</v>
      </c>
      <c r="D200" s="241">
        <v>44599.0</v>
      </c>
      <c r="E200" s="61">
        <v>0.5729166666666666</v>
      </c>
      <c r="F200" s="74" t="s">
        <v>6766</v>
      </c>
      <c r="G200" s="63" t="s">
        <v>6560</v>
      </c>
      <c r="H200" s="64" t="s">
        <v>6521</v>
      </c>
      <c r="I200" s="65" t="s">
        <v>6948</v>
      </c>
      <c r="J200" s="242"/>
      <c r="K200" s="242" t="s">
        <v>6559</v>
      </c>
      <c r="L200" s="242"/>
      <c r="M200" s="66"/>
    </row>
    <row r="201" ht="15.75" customHeight="1">
      <c r="A201" s="56" t="s">
        <v>6976</v>
      </c>
      <c r="B201" s="57">
        <v>11801.0</v>
      </c>
      <c r="C201" s="241">
        <v>9862.0</v>
      </c>
      <c r="D201" s="241">
        <v>44599.0</v>
      </c>
      <c r="E201" s="61">
        <v>0.59375</v>
      </c>
      <c r="F201" s="74" t="s">
        <v>6767</v>
      </c>
      <c r="G201" s="63" t="s">
        <v>6560</v>
      </c>
      <c r="H201" s="64" t="s">
        <v>6521</v>
      </c>
      <c r="I201" s="65" t="s">
        <v>6391</v>
      </c>
      <c r="J201" s="66"/>
      <c r="K201" s="66" t="s">
        <v>6559</v>
      </c>
      <c r="L201" s="66"/>
      <c r="M201" s="66"/>
    </row>
    <row r="202" ht="15.75" customHeight="1">
      <c r="A202" s="56" t="s">
        <v>6977</v>
      </c>
      <c r="B202" s="57">
        <v>18024.0</v>
      </c>
      <c r="C202" s="241">
        <v>30137.0</v>
      </c>
      <c r="D202" s="241">
        <v>44599.0</v>
      </c>
      <c r="E202" s="61">
        <v>0.59375</v>
      </c>
      <c r="F202" s="74" t="s">
        <v>6767</v>
      </c>
      <c r="G202" s="63" t="s">
        <v>6562</v>
      </c>
      <c r="H202" s="64" t="s">
        <v>6527</v>
      </c>
      <c r="I202" s="65" t="s">
        <v>6391</v>
      </c>
      <c r="J202" s="66" t="s">
        <v>6559</v>
      </c>
      <c r="K202" s="66"/>
      <c r="L202" s="66"/>
      <c r="M202" s="66"/>
    </row>
    <row r="203" ht="15.75" customHeight="1">
      <c r="A203" s="56" t="s">
        <v>6978</v>
      </c>
      <c r="B203" s="57">
        <v>17704.0</v>
      </c>
      <c r="C203" s="241">
        <v>26852.0</v>
      </c>
      <c r="D203" s="241">
        <v>44599.0</v>
      </c>
      <c r="E203" s="61">
        <v>0.59375</v>
      </c>
      <c r="F203" s="74" t="s">
        <v>6766</v>
      </c>
      <c r="G203" s="63" t="s">
        <v>6558</v>
      </c>
      <c r="H203" s="64" t="s">
        <v>6521</v>
      </c>
      <c r="I203" s="65" t="s">
        <v>6427</v>
      </c>
      <c r="J203" s="66"/>
      <c r="K203" s="66" t="s">
        <v>6559</v>
      </c>
      <c r="L203" s="66"/>
      <c r="M203" s="66"/>
    </row>
    <row r="204" ht="15.75" customHeight="1">
      <c r="A204" s="56" t="s">
        <v>6979</v>
      </c>
      <c r="B204" s="57">
        <v>17948.0</v>
      </c>
      <c r="C204" s="241">
        <v>21335.0</v>
      </c>
      <c r="D204" s="241">
        <v>44599.0</v>
      </c>
      <c r="E204" s="61">
        <v>0.5972222222222222</v>
      </c>
      <c r="F204" s="74" t="s">
        <v>6767</v>
      </c>
      <c r="G204" s="63" t="s">
        <v>6562</v>
      </c>
      <c r="H204" s="64" t="s">
        <v>6527</v>
      </c>
      <c r="I204" s="65" t="s">
        <v>6956</v>
      </c>
      <c r="J204" s="66" t="s">
        <v>6559</v>
      </c>
      <c r="K204" s="66"/>
      <c r="L204" s="66"/>
      <c r="M204" s="66"/>
    </row>
    <row r="205" ht="15.75" customHeight="1">
      <c r="A205" s="56" t="s">
        <v>6980</v>
      </c>
      <c r="B205" s="57">
        <v>14971.0</v>
      </c>
      <c r="C205" s="246">
        <v>19737.0</v>
      </c>
      <c r="D205" s="241">
        <v>44599.0</v>
      </c>
      <c r="E205" s="61">
        <v>0.6041666666666666</v>
      </c>
      <c r="F205" s="74" t="s">
        <v>6767</v>
      </c>
      <c r="G205" s="63" t="s">
        <v>6561</v>
      </c>
      <c r="H205" s="64" t="s">
        <v>6527</v>
      </c>
      <c r="I205" s="65" t="s">
        <v>6385</v>
      </c>
      <c r="J205" s="66"/>
      <c r="K205" s="66" t="s">
        <v>6559</v>
      </c>
      <c r="L205" s="66"/>
      <c r="M205" s="66"/>
    </row>
    <row r="206" ht="15.75" customHeight="1">
      <c r="A206" s="56" t="s">
        <v>6981</v>
      </c>
      <c r="B206" s="57">
        <v>12681.0</v>
      </c>
      <c r="C206" s="241">
        <v>23343.0</v>
      </c>
      <c r="D206" s="241">
        <v>44599.0</v>
      </c>
      <c r="E206" s="61">
        <v>0.6041666666666666</v>
      </c>
      <c r="F206" s="74" t="s">
        <v>6767</v>
      </c>
      <c r="G206" s="63" t="s">
        <v>6562</v>
      </c>
      <c r="H206" s="64" t="s">
        <v>6521</v>
      </c>
      <c r="I206" s="65" t="s">
        <v>6781</v>
      </c>
      <c r="J206" s="242"/>
      <c r="K206" s="242" t="s">
        <v>6559</v>
      </c>
      <c r="L206" s="242"/>
      <c r="M206" s="66"/>
    </row>
    <row r="207" ht="15.75" customHeight="1">
      <c r="A207" s="56" t="s">
        <v>6982</v>
      </c>
      <c r="B207" s="57">
        <v>17991.0</v>
      </c>
      <c r="C207" s="241">
        <v>25883.0</v>
      </c>
      <c r="D207" s="241">
        <v>44599.0</v>
      </c>
      <c r="E207" s="61">
        <v>0.6041666666666666</v>
      </c>
      <c r="F207" s="74" t="s">
        <v>6766</v>
      </c>
      <c r="G207" s="63" t="s">
        <v>6561</v>
      </c>
      <c r="H207" s="64" t="s">
        <v>6527</v>
      </c>
      <c r="I207" s="65" t="s">
        <v>6794</v>
      </c>
      <c r="J207" s="66" t="s">
        <v>6559</v>
      </c>
      <c r="K207" s="66"/>
      <c r="L207" s="66"/>
      <c r="M207" s="66"/>
    </row>
    <row r="208" ht="15.75" customHeight="1">
      <c r="A208" s="56" t="s">
        <v>6983</v>
      </c>
      <c r="B208" s="57">
        <v>17905.0</v>
      </c>
      <c r="C208" s="241">
        <v>25479.0</v>
      </c>
      <c r="D208" s="241">
        <v>44599.0</v>
      </c>
      <c r="E208" s="61">
        <v>0.6041666666666666</v>
      </c>
      <c r="F208" s="74" t="s">
        <v>6766</v>
      </c>
      <c r="G208" s="63" t="s">
        <v>6561</v>
      </c>
      <c r="H208" s="64" t="s">
        <v>6527</v>
      </c>
      <c r="I208" s="65" t="s">
        <v>6984</v>
      </c>
      <c r="J208" s="66" t="s">
        <v>6559</v>
      </c>
      <c r="K208" s="66"/>
      <c r="L208" s="66"/>
      <c r="M208" s="66" t="s">
        <v>6792</v>
      </c>
    </row>
    <row r="209" ht="15.75" customHeight="1">
      <c r="A209" s="56" t="s">
        <v>6985</v>
      </c>
      <c r="B209" s="57">
        <v>16835.0</v>
      </c>
      <c r="C209" s="241">
        <v>24826.0</v>
      </c>
      <c r="D209" s="241">
        <v>44599.0</v>
      </c>
      <c r="E209" s="61">
        <v>0.6145833333333334</v>
      </c>
      <c r="F209" s="74" t="s">
        <v>6767</v>
      </c>
      <c r="G209" s="63" t="s">
        <v>6561</v>
      </c>
      <c r="H209" s="64" t="s">
        <v>6527</v>
      </c>
      <c r="I209" s="65" t="s">
        <v>6429</v>
      </c>
      <c r="J209" s="242" t="s">
        <v>6559</v>
      </c>
      <c r="K209" s="242"/>
      <c r="L209" s="242"/>
      <c r="M209" s="66"/>
    </row>
    <row r="210" ht="15.75" customHeight="1">
      <c r="A210" s="56" t="s">
        <v>6986</v>
      </c>
      <c r="B210" s="57">
        <v>14987.0</v>
      </c>
      <c r="C210" s="241">
        <v>27390.0</v>
      </c>
      <c r="D210" s="241">
        <v>44599.0</v>
      </c>
      <c r="E210" s="61">
        <v>0.625</v>
      </c>
      <c r="F210" s="74" t="s">
        <v>6766</v>
      </c>
      <c r="G210" s="63" t="s">
        <v>6561</v>
      </c>
      <c r="H210" s="64" t="s">
        <v>6529</v>
      </c>
      <c r="I210" s="65" t="s">
        <v>6987</v>
      </c>
      <c r="J210" s="86"/>
      <c r="K210" s="86" t="s">
        <v>6559</v>
      </c>
      <c r="L210" s="86" t="s">
        <v>6559</v>
      </c>
      <c r="M210" s="66"/>
    </row>
    <row r="211" ht="15.75" customHeight="1">
      <c r="A211" s="56" t="s">
        <v>6988</v>
      </c>
      <c r="B211" s="57">
        <v>9683.0</v>
      </c>
      <c r="C211" s="63">
        <v>81381.0</v>
      </c>
      <c r="D211" s="241">
        <v>44600.0</v>
      </c>
      <c r="E211" s="61">
        <v>0.3263888888888889</v>
      </c>
      <c r="F211" s="62" t="s">
        <v>6766</v>
      </c>
      <c r="G211" s="63" t="s">
        <v>6558</v>
      </c>
      <c r="H211" s="64" t="s">
        <v>6521</v>
      </c>
      <c r="I211" s="65" t="s">
        <v>6379</v>
      </c>
      <c r="J211" s="66"/>
      <c r="K211" s="66" t="s">
        <v>6559</v>
      </c>
      <c r="L211" s="66" t="s">
        <v>6559</v>
      </c>
      <c r="M211" s="66"/>
    </row>
    <row r="212" ht="15.75" customHeight="1">
      <c r="A212" s="56" t="s">
        <v>4821</v>
      </c>
      <c r="B212" s="57">
        <v>16618.0</v>
      </c>
      <c r="C212" s="241">
        <v>19461.0</v>
      </c>
      <c r="D212" s="241">
        <v>44600.0</v>
      </c>
      <c r="E212" s="61">
        <v>0.3541666666666667</v>
      </c>
      <c r="F212" s="62" t="s">
        <v>6766</v>
      </c>
      <c r="G212" s="63" t="s">
        <v>6560</v>
      </c>
      <c r="H212" s="64" t="s">
        <v>6524</v>
      </c>
      <c r="I212" s="65" t="s">
        <v>6489</v>
      </c>
      <c r="J212" s="66"/>
      <c r="K212" s="66" t="s">
        <v>6559</v>
      </c>
      <c r="L212" s="66"/>
      <c r="M212" s="66"/>
    </row>
    <row r="213" ht="15.75" customHeight="1">
      <c r="A213" s="56" t="s">
        <v>6989</v>
      </c>
      <c r="B213" s="57">
        <v>15962.0</v>
      </c>
      <c r="C213" s="241">
        <v>15921.0</v>
      </c>
      <c r="D213" s="241">
        <v>44600.0</v>
      </c>
      <c r="E213" s="254">
        <v>0.3645833333333333</v>
      </c>
      <c r="F213" s="62" t="s">
        <v>6767</v>
      </c>
      <c r="G213" s="63" t="s">
        <v>6560</v>
      </c>
      <c r="H213" s="64" t="s">
        <v>6524</v>
      </c>
      <c r="I213" s="65" t="s">
        <v>6480</v>
      </c>
      <c r="J213" s="242"/>
      <c r="K213" s="242" t="s">
        <v>6559</v>
      </c>
      <c r="L213" s="242"/>
      <c r="M213" s="66"/>
    </row>
    <row r="214" ht="15.75" customHeight="1">
      <c r="A214" s="56" t="s">
        <v>6990</v>
      </c>
      <c r="B214" s="57">
        <v>16021.0</v>
      </c>
      <c r="C214" s="241">
        <v>16360.0</v>
      </c>
      <c r="D214" s="241">
        <v>44600.0</v>
      </c>
      <c r="E214" s="61">
        <v>0.375</v>
      </c>
      <c r="F214" s="62" t="s">
        <v>6767</v>
      </c>
      <c r="G214" s="63" t="s">
        <v>6560</v>
      </c>
      <c r="H214" s="64" t="s">
        <v>6524</v>
      </c>
      <c r="I214" s="65" t="s">
        <v>6482</v>
      </c>
      <c r="J214" s="66"/>
      <c r="K214" s="66" t="s">
        <v>6559</v>
      </c>
      <c r="L214" s="66"/>
      <c r="M214" s="66"/>
    </row>
    <row r="215" ht="15.75" customHeight="1">
      <c r="A215" s="56" t="s">
        <v>6991</v>
      </c>
      <c r="B215" s="57">
        <v>9752.0</v>
      </c>
      <c r="C215" s="241">
        <v>17975.0</v>
      </c>
      <c r="D215" s="241">
        <v>44600.0</v>
      </c>
      <c r="E215" s="61">
        <v>0.375</v>
      </c>
      <c r="F215" s="62" t="s">
        <v>6766</v>
      </c>
      <c r="G215" s="63" t="s">
        <v>6560</v>
      </c>
      <c r="H215" s="64" t="s">
        <v>6524</v>
      </c>
      <c r="I215" s="65" t="s">
        <v>6479</v>
      </c>
      <c r="J215" s="66"/>
      <c r="K215" s="66" t="s">
        <v>6559</v>
      </c>
      <c r="L215" s="66" t="s">
        <v>6559</v>
      </c>
      <c r="M215" s="66"/>
    </row>
    <row r="216" ht="15.75" customHeight="1">
      <c r="A216" s="56" t="s">
        <v>4148</v>
      </c>
      <c r="B216" s="57">
        <v>15791.0</v>
      </c>
      <c r="C216" s="241">
        <v>21098.0</v>
      </c>
      <c r="D216" s="241">
        <v>44600.0</v>
      </c>
      <c r="E216" s="61">
        <v>0.375</v>
      </c>
      <c r="F216" s="62" t="s">
        <v>6767</v>
      </c>
      <c r="G216" s="63" t="s">
        <v>6560</v>
      </c>
      <c r="H216" s="64" t="s">
        <v>6524</v>
      </c>
      <c r="I216" s="65" t="s">
        <v>6381</v>
      </c>
      <c r="J216" s="242"/>
      <c r="K216" s="242" t="s">
        <v>6559</v>
      </c>
      <c r="L216" s="242" t="s">
        <v>6559</v>
      </c>
      <c r="M216" s="66" t="s">
        <v>6597</v>
      </c>
    </row>
    <row r="217" ht="15.75" customHeight="1">
      <c r="A217" s="56" t="s">
        <v>6992</v>
      </c>
      <c r="B217" s="57">
        <v>18051.0</v>
      </c>
      <c r="C217" s="241">
        <v>21863.0</v>
      </c>
      <c r="D217" s="241">
        <v>44600.0</v>
      </c>
      <c r="E217" s="61">
        <v>0.3958333333333333</v>
      </c>
      <c r="F217" s="62" t="s">
        <v>6766</v>
      </c>
      <c r="G217" s="63" t="s">
        <v>6561</v>
      </c>
      <c r="H217" s="64" t="s">
        <v>6527</v>
      </c>
      <c r="I217" s="65" t="s">
        <v>6372</v>
      </c>
      <c r="J217" s="66" t="s">
        <v>6559</v>
      </c>
      <c r="K217" s="66"/>
      <c r="L217" s="66"/>
      <c r="M217" s="66"/>
    </row>
    <row r="218" ht="15.75" customHeight="1">
      <c r="A218" s="56" t="s">
        <v>6993</v>
      </c>
      <c r="B218" s="57">
        <v>18055.0</v>
      </c>
      <c r="C218" s="241">
        <v>17978.0</v>
      </c>
      <c r="D218" s="241">
        <v>44600.0</v>
      </c>
      <c r="E218" s="61">
        <v>0.3958333333333333</v>
      </c>
      <c r="F218" s="62" t="s">
        <v>6767</v>
      </c>
      <c r="G218" s="63" t="s">
        <v>6561</v>
      </c>
      <c r="H218" s="64" t="s">
        <v>6527</v>
      </c>
      <c r="I218" s="65" t="s">
        <v>6476</v>
      </c>
      <c r="J218" s="243" t="s">
        <v>6559</v>
      </c>
      <c r="K218" s="243"/>
      <c r="L218" s="243"/>
      <c r="M218" s="66"/>
    </row>
    <row r="219" ht="15.75" customHeight="1">
      <c r="A219" s="56" t="s">
        <v>6994</v>
      </c>
      <c r="B219" s="57">
        <v>12082.0</v>
      </c>
      <c r="C219" s="241">
        <v>22122.0</v>
      </c>
      <c r="D219" s="241">
        <v>44600.0</v>
      </c>
      <c r="E219" s="61">
        <v>0.3958333333333333</v>
      </c>
      <c r="F219" s="62" t="s">
        <v>6767</v>
      </c>
      <c r="G219" s="63" t="s">
        <v>6560</v>
      </c>
      <c r="H219" s="64" t="s">
        <v>6524</v>
      </c>
      <c r="I219" s="65" t="s">
        <v>6432</v>
      </c>
      <c r="J219" s="242"/>
      <c r="K219" s="242" t="s">
        <v>6559</v>
      </c>
      <c r="L219" s="242" t="s">
        <v>6559</v>
      </c>
      <c r="M219" s="66"/>
    </row>
    <row r="220" ht="15.75" customHeight="1">
      <c r="A220" s="56" t="s">
        <v>6995</v>
      </c>
      <c r="B220" s="57">
        <v>16952.0</v>
      </c>
      <c r="C220" s="241">
        <v>19025.0</v>
      </c>
      <c r="D220" s="241">
        <v>44600.0</v>
      </c>
      <c r="E220" s="61">
        <v>0.3854166666666667</v>
      </c>
      <c r="F220" s="62" t="s">
        <v>6766</v>
      </c>
      <c r="G220" s="63" t="s">
        <v>6558</v>
      </c>
      <c r="H220" s="64" t="s">
        <v>6521</v>
      </c>
      <c r="I220" s="65" t="s">
        <v>6479</v>
      </c>
      <c r="J220" s="66"/>
      <c r="K220" s="66" t="s">
        <v>6559</v>
      </c>
      <c r="L220" s="66"/>
      <c r="M220" s="66"/>
    </row>
    <row r="221" ht="15.75" customHeight="1">
      <c r="A221" s="56" t="s">
        <v>6996</v>
      </c>
      <c r="B221" s="57">
        <v>18032.0</v>
      </c>
      <c r="C221" s="241">
        <v>15823.0</v>
      </c>
      <c r="D221" s="241">
        <v>44600.0</v>
      </c>
      <c r="E221" s="61">
        <v>0.4166666666666667</v>
      </c>
      <c r="F221" s="62" t="s">
        <v>6767</v>
      </c>
      <c r="G221" s="63" t="s">
        <v>6561</v>
      </c>
      <c r="H221" s="64" t="s">
        <v>6527</v>
      </c>
      <c r="I221" s="65" t="s">
        <v>6997</v>
      </c>
      <c r="J221" s="66" t="s">
        <v>6559</v>
      </c>
      <c r="K221" s="66"/>
      <c r="L221" s="66"/>
      <c r="M221" s="66" t="s">
        <v>6792</v>
      </c>
    </row>
    <row r="222" ht="15.75" customHeight="1">
      <c r="A222" s="56" t="s">
        <v>5941</v>
      </c>
      <c r="B222" s="57">
        <v>17472.0</v>
      </c>
      <c r="C222" s="241">
        <v>23857.0</v>
      </c>
      <c r="D222" s="241">
        <v>44600.0</v>
      </c>
      <c r="E222" s="61">
        <v>0.4166666666666667</v>
      </c>
      <c r="F222" s="62" t="s">
        <v>6766</v>
      </c>
      <c r="G222" s="63" t="s">
        <v>6560</v>
      </c>
      <c r="H222" s="64" t="s">
        <v>6524</v>
      </c>
      <c r="I222" s="65" t="s">
        <v>6420</v>
      </c>
      <c r="J222" s="66"/>
      <c r="K222" s="66" t="s">
        <v>6559</v>
      </c>
      <c r="L222" s="66" t="s">
        <v>6559</v>
      </c>
      <c r="M222" s="66"/>
    </row>
    <row r="223" ht="15.75" customHeight="1">
      <c r="A223" s="56" t="s">
        <v>968</v>
      </c>
      <c r="B223" s="57">
        <v>11478.0</v>
      </c>
      <c r="C223" s="241">
        <v>22542.0</v>
      </c>
      <c r="D223" s="241">
        <v>44600.0</v>
      </c>
      <c r="E223" s="61">
        <v>0.4166666666666667</v>
      </c>
      <c r="F223" s="62" t="s">
        <v>6766</v>
      </c>
      <c r="G223" s="63" t="s">
        <v>6560</v>
      </c>
      <c r="H223" s="64" t="s">
        <v>6524</v>
      </c>
      <c r="I223" s="65" t="s">
        <v>6486</v>
      </c>
      <c r="J223" s="66"/>
      <c r="K223" s="66" t="s">
        <v>6559</v>
      </c>
      <c r="L223" s="66"/>
      <c r="M223" s="66"/>
    </row>
    <row r="224" ht="15.75" customHeight="1">
      <c r="A224" s="56" t="s">
        <v>323</v>
      </c>
      <c r="B224" s="57">
        <v>9862.0</v>
      </c>
      <c r="C224" s="241">
        <v>18805.0</v>
      </c>
      <c r="D224" s="241">
        <v>44600.0</v>
      </c>
      <c r="E224" s="61">
        <v>0.4166666666666667</v>
      </c>
      <c r="F224" s="62" t="s">
        <v>6766</v>
      </c>
      <c r="G224" s="63" t="s">
        <v>6560</v>
      </c>
      <c r="H224" s="64" t="s">
        <v>6524</v>
      </c>
      <c r="I224" s="65" t="s">
        <v>6489</v>
      </c>
      <c r="J224" s="66"/>
      <c r="K224" s="66" t="s">
        <v>6559</v>
      </c>
      <c r="L224" s="66"/>
      <c r="M224" s="66"/>
    </row>
    <row r="225" ht="15.75" customHeight="1">
      <c r="A225" s="56" t="s">
        <v>6998</v>
      </c>
      <c r="B225" s="57">
        <v>16942.0</v>
      </c>
      <c r="C225" s="241">
        <v>21275.0</v>
      </c>
      <c r="D225" s="241">
        <v>44600.0</v>
      </c>
      <c r="E225" s="61">
        <v>0.4166666666666667</v>
      </c>
      <c r="F225" s="62" t="s">
        <v>6767</v>
      </c>
      <c r="G225" s="63" t="s">
        <v>6558</v>
      </c>
      <c r="H225" s="64" t="s">
        <v>6521</v>
      </c>
      <c r="I225" s="65" t="s">
        <v>6486</v>
      </c>
      <c r="J225" s="66"/>
      <c r="K225" s="66" t="s">
        <v>6559</v>
      </c>
      <c r="L225" s="66"/>
      <c r="M225" s="66"/>
    </row>
    <row r="226" ht="15.75" customHeight="1">
      <c r="A226" s="56" t="s">
        <v>6999</v>
      </c>
      <c r="B226" s="57">
        <v>15772.0</v>
      </c>
      <c r="C226" s="241">
        <v>24343.0</v>
      </c>
      <c r="D226" s="241">
        <v>44600.0</v>
      </c>
      <c r="E226" s="61">
        <v>0.4270833333333333</v>
      </c>
      <c r="F226" s="62" t="s">
        <v>6767</v>
      </c>
      <c r="G226" s="63" t="s">
        <v>6562</v>
      </c>
      <c r="H226" s="64" t="s">
        <v>6529</v>
      </c>
      <c r="I226" s="65" t="s">
        <v>7000</v>
      </c>
      <c r="J226" s="66"/>
      <c r="K226" s="66" t="s">
        <v>6559</v>
      </c>
      <c r="L226" s="66" t="s">
        <v>6559</v>
      </c>
      <c r="M226" s="66"/>
    </row>
    <row r="227" ht="15.75" customHeight="1">
      <c r="A227" s="56" t="s">
        <v>7001</v>
      </c>
      <c r="B227" s="57">
        <v>18036.0</v>
      </c>
      <c r="C227" s="241">
        <v>17456.0</v>
      </c>
      <c r="D227" s="241">
        <v>44600.0</v>
      </c>
      <c r="E227" s="61">
        <v>0.4375</v>
      </c>
      <c r="F227" s="62" t="s">
        <v>6766</v>
      </c>
      <c r="G227" s="63" t="s">
        <v>6561</v>
      </c>
      <c r="H227" s="64" t="s">
        <v>6527</v>
      </c>
      <c r="I227" s="65" t="s">
        <v>6835</v>
      </c>
      <c r="J227" s="66" t="s">
        <v>6559</v>
      </c>
      <c r="K227" s="66"/>
      <c r="L227" s="66"/>
      <c r="M227" s="66"/>
    </row>
    <row r="228" ht="15.75" customHeight="1">
      <c r="A228" s="56" t="s">
        <v>7002</v>
      </c>
      <c r="B228" s="57">
        <v>14035.0</v>
      </c>
      <c r="C228" s="241">
        <v>22362.0</v>
      </c>
      <c r="D228" s="241">
        <v>44600.0</v>
      </c>
      <c r="E228" s="61">
        <v>0.4375</v>
      </c>
      <c r="F228" s="62" t="s">
        <v>6767</v>
      </c>
      <c r="G228" s="63" t="s">
        <v>6561</v>
      </c>
      <c r="H228" s="64" t="s">
        <v>6527</v>
      </c>
      <c r="I228" s="65" t="s">
        <v>7003</v>
      </c>
      <c r="J228" s="242"/>
      <c r="K228" s="242" t="s">
        <v>6559</v>
      </c>
      <c r="L228" s="242" t="s">
        <v>6559</v>
      </c>
      <c r="M228" s="66"/>
    </row>
    <row r="229" ht="15.75" customHeight="1">
      <c r="A229" s="56" t="s">
        <v>2160</v>
      </c>
      <c r="B229" s="57">
        <v>13349.0</v>
      </c>
      <c r="C229" s="241">
        <v>24549.0</v>
      </c>
      <c r="D229" s="241">
        <v>44600.0</v>
      </c>
      <c r="E229" s="61">
        <v>0.4479166666666667</v>
      </c>
      <c r="F229" s="62" t="s">
        <v>6767</v>
      </c>
      <c r="G229" s="63" t="s">
        <v>6560</v>
      </c>
      <c r="H229" s="64" t="s">
        <v>6524</v>
      </c>
      <c r="I229" s="65" t="s">
        <v>6486</v>
      </c>
      <c r="J229" s="66"/>
      <c r="K229" s="66" t="s">
        <v>6559</v>
      </c>
      <c r="L229" s="66" t="s">
        <v>6559</v>
      </c>
      <c r="M229" s="66"/>
    </row>
    <row r="230" ht="15.75" customHeight="1">
      <c r="A230" s="56" t="s">
        <v>7004</v>
      </c>
      <c r="B230" s="57">
        <v>18028.0</v>
      </c>
      <c r="C230" s="241">
        <v>17455.0</v>
      </c>
      <c r="D230" s="241">
        <v>44600.0</v>
      </c>
      <c r="E230" s="61">
        <v>0.4513888888888889</v>
      </c>
      <c r="F230" s="62" t="s">
        <v>6767</v>
      </c>
      <c r="G230" s="63" t="s">
        <v>6562</v>
      </c>
      <c r="H230" s="64" t="s">
        <v>6527</v>
      </c>
      <c r="I230" s="65" t="s">
        <v>6451</v>
      </c>
      <c r="J230" s="66" t="s">
        <v>6559</v>
      </c>
      <c r="K230" s="66"/>
      <c r="L230" s="66"/>
      <c r="M230" s="66"/>
    </row>
    <row r="231" ht="15.75" customHeight="1">
      <c r="A231" s="56" t="s">
        <v>7005</v>
      </c>
      <c r="B231" s="57">
        <v>16705.0</v>
      </c>
      <c r="C231" s="241">
        <v>20001.0</v>
      </c>
      <c r="D231" s="241">
        <v>44600.0</v>
      </c>
      <c r="E231" s="255">
        <v>0.4583333333333333</v>
      </c>
      <c r="F231" s="62" t="s">
        <v>6766</v>
      </c>
      <c r="G231" s="63" t="s">
        <v>6562</v>
      </c>
      <c r="H231" s="64" t="s">
        <v>6529</v>
      </c>
      <c r="I231" s="65" t="s">
        <v>6811</v>
      </c>
      <c r="J231" s="66"/>
      <c r="K231" s="66" t="s">
        <v>6559</v>
      </c>
      <c r="L231" s="66" t="s">
        <v>6559</v>
      </c>
      <c r="M231" s="66" t="s">
        <v>6792</v>
      </c>
    </row>
    <row r="232" ht="15.75" customHeight="1">
      <c r="A232" s="56" t="s">
        <v>7006</v>
      </c>
      <c r="B232" s="57" t="s">
        <v>6311</v>
      </c>
      <c r="C232" s="241">
        <v>26246.0</v>
      </c>
      <c r="D232" s="241">
        <v>44600.0</v>
      </c>
      <c r="E232" s="61">
        <v>0.46875</v>
      </c>
      <c r="F232" s="74" t="s">
        <v>6766</v>
      </c>
      <c r="G232" s="63" t="s">
        <v>6562</v>
      </c>
      <c r="H232" s="64" t="s">
        <v>6527</v>
      </c>
      <c r="I232" s="65" t="s">
        <v>6781</v>
      </c>
      <c r="J232" s="66" t="s">
        <v>6559</v>
      </c>
      <c r="K232" s="66"/>
      <c r="L232" s="66"/>
      <c r="M232" s="66"/>
    </row>
    <row r="233" ht="15.75" customHeight="1">
      <c r="A233" s="56" t="s">
        <v>7007</v>
      </c>
      <c r="B233" s="57">
        <v>10049.0</v>
      </c>
      <c r="C233" s="241">
        <v>20472.0</v>
      </c>
      <c r="D233" s="241">
        <v>44600.0</v>
      </c>
      <c r="E233" s="61">
        <v>0.40625</v>
      </c>
      <c r="F233" s="74" t="s">
        <v>6767</v>
      </c>
      <c r="G233" s="63" t="s">
        <v>6558</v>
      </c>
      <c r="H233" s="64" t="s">
        <v>6521</v>
      </c>
      <c r="I233" s="65" t="s">
        <v>6408</v>
      </c>
      <c r="J233" s="66"/>
      <c r="K233" s="66" t="s">
        <v>6559</v>
      </c>
      <c r="L233" s="66"/>
      <c r="M233" s="66"/>
    </row>
    <row r="234" ht="15.75" customHeight="1">
      <c r="A234" s="56" t="s">
        <v>7008</v>
      </c>
      <c r="B234" s="57">
        <v>15762.0</v>
      </c>
      <c r="C234" s="241">
        <v>28325.0</v>
      </c>
      <c r="D234" s="241">
        <v>44600.0</v>
      </c>
      <c r="E234" s="61">
        <v>0.4375</v>
      </c>
      <c r="F234" s="74" t="s">
        <v>6767</v>
      </c>
      <c r="G234" s="63" t="s">
        <v>6558</v>
      </c>
      <c r="H234" s="64" t="s">
        <v>6521</v>
      </c>
      <c r="I234" s="65" t="s">
        <v>6486</v>
      </c>
      <c r="J234" s="66"/>
      <c r="K234" s="66" t="s">
        <v>6559</v>
      </c>
      <c r="L234" s="66"/>
      <c r="M234" s="66"/>
    </row>
    <row r="235" ht="15.75" customHeight="1">
      <c r="A235" s="56" t="s">
        <v>7009</v>
      </c>
      <c r="B235" s="57">
        <v>10160.0</v>
      </c>
      <c r="C235" s="241">
        <v>21263.0</v>
      </c>
      <c r="D235" s="241" t="s">
        <v>7010</v>
      </c>
      <c r="E235" s="61">
        <v>0.4479166666666667</v>
      </c>
      <c r="F235" s="74" t="s">
        <v>6766</v>
      </c>
      <c r="G235" s="63" t="s">
        <v>6558</v>
      </c>
      <c r="H235" s="64" t="s">
        <v>6521</v>
      </c>
      <c r="I235" s="65" t="s">
        <v>6381</v>
      </c>
      <c r="J235" s="66"/>
      <c r="K235" s="66" t="s">
        <v>6559</v>
      </c>
      <c r="L235" s="66" t="s">
        <v>6559</v>
      </c>
      <c r="M235" s="66"/>
    </row>
    <row r="236" ht="15.75" customHeight="1">
      <c r="A236" s="56" t="s">
        <v>7011</v>
      </c>
      <c r="B236" s="57">
        <v>12974.0</v>
      </c>
      <c r="C236" s="241">
        <v>14278.0</v>
      </c>
      <c r="D236" s="241">
        <v>44600.0</v>
      </c>
      <c r="E236" s="61">
        <v>0.47638888888888886</v>
      </c>
      <c r="F236" s="74" t="s">
        <v>6767</v>
      </c>
      <c r="G236" s="63" t="s">
        <v>6562</v>
      </c>
      <c r="H236" s="64" t="s">
        <v>6527</v>
      </c>
      <c r="I236" s="65" t="s">
        <v>6850</v>
      </c>
      <c r="J236" s="66"/>
      <c r="K236" s="66" t="s">
        <v>6559</v>
      </c>
      <c r="L236" s="66"/>
      <c r="M236" s="66"/>
    </row>
    <row r="237" ht="15.75" customHeight="1">
      <c r="A237" s="56" t="s">
        <v>7012</v>
      </c>
      <c r="B237" s="57">
        <v>18066.0</v>
      </c>
      <c r="C237" s="241">
        <v>23481.0</v>
      </c>
      <c r="D237" s="241">
        <v>44600.0</v>
      </c>
      <c r="E237" s="61">
        <v>0.4791666666666667</v>
      </c>
      <c r="F237" s="74" t="s">
        <v>6767</v>
      </c>
      <c r="G237" s="63" t="s">
        <v>6562</v>
      </c>
      <c r="H237" s="64" t="s">
        <v>6527</v>
      </c>
      <c r="I237" s="65" t="s">
        <v>7013</v>
      </c>
      <c r="J237" s="242" t="s">
        <v>6559</v>
      </c>
      <c r="K237" s="242"/>
      <c r="L237" s="242"/>
      <c r="M237" s="66"/>
    </row>
    <row r="238" ht="15.75" customHeight="1">
      <c r="A238" s="56" t="s">
        <v>7014</v>
      </c>
      <c r="B238" s="57">
        <v>17119.0</v>
      </c>
      <c r="C238" s="241">
        <v>22189.0</v>
      </c>
      <c r="D238" s="241">
        <v>44600.0</v>
      </c>
      <c r="E238" s="61">
        <v>0.4270833333333333</v>
      </c>
      <c r="F238" s="74" t="s">
        <v>6767</v>
      </c>
      <c r="G238" s="63" t="s">
        <v>6558</v>
      </c>
      <c r="H238" s="64" t="s">
        <v>6521</v>
      </c>
      <c r="I238" s="65" t="s">
        <v>6444</v>
      </c>
      <c r="J238" s="66"/>
      <c r="K238" s="66" t="s">
        <v>6559</v>
      </c>
      <c r="L238" s="66" t="s">
        <v>6559</v>
      </c>
      <c r="M238" s="66"/>
    </row>
    <row r="239" ht="15.75" customHeight="1">
      <c r="A239" s="56" t="s">
        <v>7015</v>
      </c>
      <c r="B239" s="57">
        <v>13187.0</v>
      </c>
      <c r="C239" s="241">
        <v>20156.0</v>
      </c>
      <c r="D239" s="241">
        <v>44600.0</v>
      </c>
      <c r="E239" s="61">
        <v>0.46875</v>
      </c>
      <c r="F239" s="74" t="s">
        <v>6767</v>
      </c>
      <c r="G239" s="63" t="s">
        <v>6558</v>
      </c>
      <c r="H239" s="64" t="s">
        <v>6521</v>
      </c>
      <c r="I239" s="65" t="s">
        <v>6395</v>
      </c>
      <c r="J239" s="66"/>
      <c r="K239" s="66" t="s">
        <v>6559</v>
      </c>
      <c r="L239" s="66" t="s">
        <v>6559</v>
      </c>
      <c r="M239" s="66"/>
    </row>
    <row r="240" ht="15.75" customHeight="1">
      <c r="A240" s="56" t="s">
        <v>7016</v>
      </c>
      <c r="B240" s="57">
        <v>11070.0</v>
      </c>
      <c r="C240" s="241">
        <v>19238.0</v>
      </c>
      <c r="D240" s="241">
        <v>44600.0</v>
      </c>
      <c r="E240" s="61">
        <v>0.4375</v>
      </c>
      <c r="F240" s="74" t="s">
        <v>6766</v>
      </c>
      <c r="G240" s="63" t="s">
        <v>6558</v>
      </c>
      <c r="H240" s="64" t="s">
        <v>6524</v>
      </c>
      <c r="I240" s="65" t="s">
        <v>6489</v>
      </c>
      <c r="J240" s="66"/>
      <c r="K240" s="66" t="s">
        <v>6559</v>
      </c>
      <c r="L240" s="66"/>
      <c r="M240" s="66"/>
    </row>
    <row r="241" ht="15.75" customHeight="1">
      <c r="A241" s="56" t="s">
        <v>7017</v>
      </c>
      <c r="B241" s="57">
        <v>16336.0</v>
      </c>
      <c r="C241" s="241">
        <v>20145.0</v>
      </c>
      <c r="D241" s="241">
        <v>44600.0</v>
      </c>
      <c r="E241" s="61">
        <v>0.4375</v>
      </c>
      <c r="F241" s="74" t="s">
        <v>6767</v>
      </c>
      <c r="G241" s="63" t="s">
        <v>6558</v>
      </c>
      <c r="H241" s="64" t="s">
        <v>6524</v>
      </c>
      <c r="I241" s="65" t="s">
        <v>6482</v>
      </c>
      <c r="J241" s="66"/>
      <c r="K241" s="66" t="s">
        <v>6559</v>
      </c>
      <c r="L241" s="66"/>
      <c r="M241" s="66"/>
    </row>
    <row r="242" ht="15.75" customHeight="1">
      <c r="A242" s="56" t="s">
        <v>7018</v>
      </c>
      <c r="B242" s="57">
        <v>17682.0</v>
      </c>
      <c r="C242" s="246">
        <v>19868.0</v>
      </c>
      <c r="D242" s="241">
        <v>44600.0</v>
      </c>
      <c r="E242" s="61">
        <v>0.4479166666666667</v>
      </c>
      <c r="F242" s="74" t="s">
        <v>6766</v>
      </c>
      <c r="G242" s="63" t="s">
        <v>6558</v>
      </c>
      <c r="H242" s="64" t="s">
        <v>6524</v>
      </c>
      <c r="I242" s="65" t="s">
        <v>6485</v>
      </c>
      <c r="J242" s="66"/>
      <c r="K242" s="66" t="s">
        <v>6559</v>
      </c>
      <c r="L242" s="66" t="s">
        <v>6559</v>
      </c>
      <c r="M242" s="66"/>
    </row>
    <row r="243" ht="15.75" customHeight="1">
      <c r="A243" s="56" t="s">
        <v>7019</v>
      </c>
      <c r="B243" s="57">
        <v>11315.0</v>
      </c>
      <c r="C243" s="241">
        <v>28233.0</v>
      </c>
      <c r="D243" s="241">
        <v>44600.0</v>
      </c>
      <c r="E243" s="61">
        <v>0.4583333333333333</v>
      </c>
      <c r="F243" s="74" t="s">
        <v>6766</v>
      </c>
      <c r="G243" s="63" t="s">
        <v>6558</v>
      </c>
      <c r="H243" s="64" t="s">
        <v>6524</v>
      </c>
      <c r="I243" s="65" t="s">
        <v>6479</v>
      </c>
      <c r="J243" s="242"/>
      <c r="K243" s="242" t="s">
        <v>6559</v>
      </c>
      <c r="L243" s="242" t="s">
        <v>6559</v>
      </c>
      <c r="M243" s="66"/>
    </row>
    <row r="244" ht="15.75" customHeight="1">
      <c r="A244" s="56" t="s">
        <v>7020</v>
      </c>
      <c r="B244" s="57">
        <v>14030.0</v>
      </c>
      <c r="C244" s="241">
        <v>17261.0</v>
      </c>
      <c r="D244" s="241">
        <v>44600.0</v>
      </c>
      <c r="E244" s="61">
        <v>0.5625</v>
      </c>
      <c r="F244" s="74" t="s">
        <v>6766</v>
      </c>
      <c r="G244" s="63" t="s">
        <v>6561</v>
      </c>
      <c r="H244" s="64" t="s">
        <v>6529</v>
      </c>
      <c r="I244" s="65" t="s">
        <v>7021</v>
      </c>
      <c r="J244" s="66"/>
      <c r="K244" s="66" t="s">
        <v>6559</v>
      </c>
      <c r="L244" s="66"/>
      <c r="M244" s="66"/>
    </row>
    <row r="245" ht="15.75" customHeight="1">
      <c r="A245" s="56" t="s">
        <v>7022</v>
      </c>
      <c r="B245" s="57">
        <v>16914.0</v>
      </c>
      <c r="C245" s="241">
        <v>22267.0</v>
      </c>
      <c r="D245" s="241">
        <v>44600.0</v>
      </c>
      <c r="E245" s="61">
        <v>0.06944444444444445</v>
      </c>
      <c r="F245" s="74" t="s">
        <v>6767</v>
      </c>
      <c r="G245" s="63" t="s">
        <v>6973</v>
      </c>
      <c r="H245" s="64" t="s">
        <v>6527</v>
      </c>
      <c r="I245" s="65" t="s">
        <v>6406</v>
      </c>
      <c r="J245" s="66"/>
      <c r="K245" s="66" t="s">
        <v>6559</v>
      </c>
      <c r="L245" s="66"/>
      <c r="M245" s="66"/>
    </row>
    <row r="246" ht="15.75" customHeight="1">
      <c r="A246" s="56" t="s">
        <v>7023</v>
      </c>
      <c r="B246" s="57">
        <v>9628.0</v>
      </c>
      <c r="C246" s="241">
        <v>19679.0</v>
      </c>
      <c r="D246" s="241">
        <v>44600.0</v>
      </c>
      <c r="E246" s="61">
        <v>0.5416666666666666</v>
      </c>
      <c r="F246" s="74" t="s">
        <v>6767</v>
      </c>
      <c r="G246" s="63" t="s">
        <v>6558</v>
      </c>
      <c r="H246" s="64" t="s">
        <v>6524</v>
      </c>
      <c r="I246" s="65" t="s">
        <v>6486</v>
      </c>
      <c r="J246" s="242"/>
      <c r="K246" s="242" t="s">
        <v>6559</v>
      </c>
      <c r="L246" s="242"/>
      <c r="M246" s="66"/>
    </row>
    <row r="247" ht="15.75" customHeight="1">
      <c r="A247" s="56" t="s">
        <v>7024</v>
      </c>
      <c r="B247" s="57">
        <v>17428.0</v>
      </c>
      <c r="C247" s="241">
        <v>19307.0</v>
      </c>
      <c r="D247" s="241">
        <v>44600.0</v>
      </c>
      <c r="E247" s="61">
        <v>0.5833333333333334</v>
      </c>
      <c r="F247" s="74" t="s">
        <v>6766</v>
      </c>
      <c r="G247" s="63" t="s">
        <v>6562</v>
      </c>
      <c r="H247" s="64" t="s">
        <v>6529</v>
      </c>
      <c r="I247" s="65" t="s">
        <v>6895</v>
      </c>
      <c r="J247" s="86"/>
      <c r="K247" s="86" t="s">
        <v>6559</v>
      </c>
      <c r="L247" s="86"/>
      <c r="M247" s="66"/>
    </row>
    <row r="248" ht="15.75" customHeight="1">
      <c r="A248" s="56" t="s">
        <v>7025</v>
      </c>
      <c r="B248" s="57">
        <v>16287.0</v>
      </c>
      <c r="C248" s="241">
        <v>11138.0</v>
      </c>
      <c r="D248" s="241">
        <v>44600.0</v>
      </c>
      <c r="E248" s="61">
        <v>0.6041666666666666</v>
      </c>
      <c r="F248" s="74" t="s">
        <v>6767</v>
      </c>
      <c r="G248" s="63" t="s">
        <v>6562</v>
      </c>
      <c r="H248" s="89" t="s">
        <v>6529</v>
      </c>
      <c r="I248" s="65" t="s">
        <v>6835</v>
      </c>
      <c r="J248" s="66"/>
      <c r="K248" s="66" t="s">
        <v>6559</v>
      </c>
      <c r="L248" s="66"/>
      <c r="M248" s="66"/>
    </row>
    <row r="249" ht="15.75" customHeight="1">
      <c r="A249" s="56" t="s">
        <v>7026</v>
      </c>
      <c r="B249" s="57">
        <v>18074.0</v>
      </c>
      <c r="C249" s="241">
        <v>21940.0</v>
      </c>
      <c r="D249" s="241">
        <v>44600.0</v>
      </c>
      <c r="E249" s="61">
        <v>0.625</v>
      </c>
      <c r="F249" s="74" t="s">
        <v>6767</v>
      </c>
      <c r="G249" s="63" t="s">
        <v>6562</v>
      </c>
      <c r="H249" s="89" t="s">
        <v>6527</v>
      </c>
      <c r="I249" s="245" t="s">
        <v>6379</v>
      </c>
      <c r="J249" s="66" t="s">
        <v>6559</v>
      </c>
      <c r="K249" s="66"/>
      <c r="L249" s="66"/>
      <c r="M249" s="66"/>
    </row>
    <row r="250" ht="15.75" customHeight="1">
      <c r="A250" s="56" t="s">
        <v>7027</v>
      </c>
      <c r="B250" s="57">
        <v>11314.0</v>
      </c>
      <c r="C250" s="241">
        <v>16759.0</v>
      </c>
      <c r="D250" s="241">
        <v>44600.0</v>
      </c>
      <c r="E250" s="61">
        <v>0.625</v>
      </c>
      <c r="F250" s="74" t="s">
        <v>6767</v>
      </c>
      <c r="G250" s="63" t="s">
        <v>6562</v>
      </c>
      <c r="H250" s="89" t="s">
        <v>6527</v>
      </c>
      <c r="I250" s="245" t="s">
        <v>7028</v>
      </c>
      <c r="J250" s="66"/>
      <c r="K250" s="66" t="s">
        <v>6559</v>
      </c>
      <c r="L250" s="66"/>
      <c r="M250" s="66"/>
    </row>
    <row r="251" ht="15.75" customHeight="1">
      <c r="A251" s="56" t="s">
        <v>7029</v>
      </c>
      <c r="B251" s="57">
        <v>15842.0</v>
      </c>
      <c r="C251" s="241">
        <v>18789.0</v>
      </c>
      <c r="D251" s="241">
        <v>44600.0</v>
      </c>
      <c r="E251" s="61">
        <v>0.625</v>
      </c>
      <c r="F251" s="74" t="s">
        <v>6767</v>
      </c>
      <c r="G251" s="63" t="s">
        <v>6562</v>
      </c>
      <c r="H251" s="89" t="s">
        <v>6529</v>
      </c>
      <c r="I251" s="245" t="s">
        <v>7028</v>
      </c>
      <c r="J251" s="66"/>
      <c r="K251" s="66" t="s">
        <v>6559</v>
      </c>
      <c r="L251" s="66" t="s">
        <v>6559</v>
      </c>
      <c r="M251" s="66"/>
    </row>
    <row r="252" ht="15.75" customHeight="1">
      <c r="A252" s="56" t="s">
        <v>7030</v>
      </c>
      <c r="B252" s="57">
        <v>11045.0</v>
      </c>
      <c r="C252" s="241">
        <v>16559.0</v>
      </c>
      <c r="D252" s="241">
        <v>44600.0</v>
      </c>
      <c r="E252" s="61">
        <v>0.6388888888888888</v>
      </c>
      <c r="F252" s="74" t="s">
        <v>6767</v>
      </c>
      <c r="G252" s="63" t="s">
        <v>6562</v>
      </c>
      <c r="H252" s="89" t="s">
        <v>6529</v>
      </c>
      <c r="I252" s="65" t="s">
        <v>6895</v>
      </c>
      <c r="J252" s="66"/>
      <c r="K252" s="66" t="s">
        <v>6559</v>
      </c>
      <c r="L252" s="66"/>
      <c r="M252" s="66"/>
    </row>
    <row r="253" ht="15.75" customHeight="1">
      <c r="A253" s="56" t="s">
        <v>7031</v>
      </c>
      <c r="B253" s="57">
        <v>17545.0</v>
      </c>
      <c r="C253" s="241">
        <v>20813.0</v>
      </c>
      <c r="D253" s="241">
        <v>44600.0</v>
      </c>
      <c r="E253" s="61">
        <v>0.6388888888888888</v>
      </c>
      <c r="F253" s="74" t="s">
        <v>6767</v>
      </c>
      <c r="G253" s="63" t="s">
        <v>6562</v>
      </c>
      <c r="H253" s="89" t="s">
        <v>6527</v>
      </c>
      <c r="I253" s="65" t="s">
        <v>6372</v>
      </c>
      <c r="J253" s="66" t="s">
        <v>6559</v>
      </c>
      <c r="K253" s="66"/>
      <c r="L253" s="66"/>
      <c r="M253" s="66"/>
    </row>
    <row r="254" ht="15.75" customHeight="1">
      <c r="A254" s="56" t="s">
        <v>7032</v>
      </c>
      <c r="B254" s="57">
        <v>17024.0</v>
      </c>
      <c r="C254" s="241">
        <v>31335.0</v>
      </c>
      <c r="D254" s="241">
        <v>44600.0</v>
      </c>
      <c r="E254" s="61">
        <v>0.6458333333333334</v>
      </c>
      <c r="F254" s="74" t="s">
        <v>6767</v>
      </c>
      <c r="G254" s="63" t="s">
        <v>6561</v>
      </c>
      <c r="H254" s="89" t="s">
        <v>6527</v>
      </c>
      <c r="I254" s="65" t="s">
        <v>6432</v>
      </c>
      <c r="J254" s="66" t="s">
        <v>6559</v>
      </c>
      <c r="K254" s="66"/>
      <c r="L254" s="66"/>
      <c r="M254" s="66"/>
    </row>
    <row r="255" ht="15.75" customHeight="1">
      <c r="A255" s="71" t="s">
        <v>7033</v>
      </c>
      <c r="B255" s="57">
        <v>15253.0</v>
      </c>
      <c r="C255" s="241">
        <v>24706.0</v>
      </c>
      <c r="D255" s="241">
        <v>44600.0</v>
      </c>
      <c r="E255" s="61">
        <v>0.5833333333333334</v>
      </c>
      <c r="F255" s="74" t="s">
        <v>6767</v>
      </c>
      <c r="G255" s="63" t="s">
        <v>6558</v>
      </c>
      <c r="H255" s="89" t="s">
        <v>6521</v>
      </c>
      <c r="I255" s="65" t="s">
        <v>6374</v>
      </c>
      <c r="J255" s="66"/>
      <c r="K255" s="66" t="s">
        <v>6559</v>
      </c>
      <c r="L255" s="66"/>
      <c r="M255" s="66"/>
    </row>
    <row r="256" ht="15.75" customHeight="1">
      <c r="A256" s="56" t="s">
        <v>7034</v>
      </c>
      <c r="B256" s="57">
        <v>11698.0</v>
      </c>
      <c r="C256" s="241">
        <v>33194.0</v>
      </c>
      <c r="D256" s="241">
        <v>44600.0</v>
      </c>
      <c r="E256" s="61">
        <v>0.5625</v>
      </c>
      <c r="F256" s="74" t="s">
        <v>6767</v>
      </c>
      <c r="G256" s="63" t="s">
        <v>6558</v>
      </c>
      <c r="H256" s="89" t="s">
        <v>6521</v>
      </c>
      <c r="I256" s="65" t="s">
        <v>6372</v>
      </c>
      <c r="J256" s="66"/>
      <c r="K256" s="66" t="s">
        <v>6559</v>
      </c>
      <c r="L256" s="66"/>
      <c r="M256" s="66"/>
    </row>
    <row r="257" ht="15.75" customHeight="1">
      <c r="A257" s="56" t="s">
        <v>7035</v>
      </c>
      <c r="B257" s="57">
        <v>9172.0</v>
      </c>
      <c r="C257" s="241">
        <v>21800.0</v>
      </c>
      <c r="D257" s="241">
        <v>44600.0</v>
      </c>
      <c r="E257" s="61">
        <v>0.625</v>
      </c>
      <c r="F257" s="74" t="s">
        <v>6766</v>
      </c>
      <c r="G257" s="63" t="s">
        <v>6558</v>
      </c>
      <c r="H257" s="89" t="s">
        <v>6524</v>
      </c>
      <c r="I257" s="247" t="s">
        <v>6489</v>
      </c>
      <c r="J257" s="66"/>
      <c r="K257" s="66" t="s">
        <v>6559</v>
      </c>
      <c r="L257" s="66"/>
      <c r="M257" s="66"/>
    </row>
    <row r="258" ht="15.75" customHeight="1">
      <c r="A258" s="56" t="s">
        <v>7036</v>
      </c>
      <c r="B258" s="57">
        <v>12787.0</v>
      </c>
      <c r="C258" s="241">
        <v>27859.0</v>
      </c>
      <c r="D258" s="241">
        <v>44600.0</v>
      </c>
      <c r="E258" s="255">
        <v>0.5729166666666666</v>
      </c>
      <c r="F258" s="74" t="s">
        <v>6767</v>
      </c>
      <c r="G258" s="63" t="s">
        <v>6558</v>
      </c>
      <c r="H258" s="89" t="s">
        <v>6521</v>
      </c>
      <c r="I258" s="65" t="s">
        <v>6381</v>
      </c>
      <c r="J258" s="66"/>
      <c r="K258" s="66" t="s">
        <v>6559</v>
      </c>
      <c r="L258" s="66"/>
      <c r="M258" s="66"/>
    </row>
    <row r="259" ht="15.75" customHeight="1">
      <c r="A259" s="56" t="s">
        <v>7037</v>
      </c>
      <c r="B259" s="57">
        <v>14682.0</v>
      </c>
      <c r="C259" s="241">
        <v>33997.0</v>
      </c>
      <c r="D259" s="241">
        <v>44600.0</v>
      </c>
      <c r="E259" s="61">
        <v>0.5833333333333334</v>
      </c>
      <c r="F259" s="74" t="s">
        <v>6767</v>
      </c>
      <c r="G259" s="63" t="s">
        <v>6558</v>
      </c>
      <c r="H259" s="89" t="s">
        <v>6524</v>
      </c>
      <c r="I259" s="65" t="s">
        <v>6427</v>
      </c>
      <c r="J259" s="66"/>
      <c r="K259" s="66" t="s">
        <v>6559</v>
      </c>
      <c r="L259" s="66" t="s">
        <v>6559</v>
      </c>
      <c r="M259" s="66"/>
    </row>
    <row r="260" ht="15.75" customHeight="1">
      <c r="A260" s="56" t="s">
        <v>7038</v>
      </c>
      <c r="B260" s="57">
        <v>10673.0</v>
      </c>
      <c r="C260" s="253">
        <v>21995.0</v>
      </c>
      <c r="D260" s="241">
        <v>44600.0</v>
      </c>
      <c r="E260" s="61">
        <v>0.5763888888888888</v>
      </c>
      <c r="F260" s="74" t="s">
        <v>6767</v>
      </c>
      <c r="G260" s="63" t="s">
        <v>6558</v>
      </c>
      <c r="H260" s="89" t="s">
        <v>6524</v>
      </c>
      <c r="I260" s="65" t="s">
        <v>6391</v>
      </c>
      <c r="J260" s="66"/>
      <c r="K260" s="66" t="s">
        <v>6559</v>
      </c>
      <c r="L260" s="66"/>
      <c r="M260" s="66"/>
    </row>
    <row r="261" ht="15.75" customHeight="1">
      <c r="A261" s="56" t="s">
        <v>7039</v>
      </c>
      <c r="B261" s="57">
        <v>11733.0</v>
      </c>
      <c r="C261" s="241">
        <v>17813.0</v>
      </c>
      <c r="D261" s="241">
        <v>44600.0</v>
      </c>
      <c r="E261" s="61">
        <v>0.59375</v>
      </c>
      <c r="F261" s="74" t="s">
        <v>6766</v>
      </c>
      <c r="G261" s="63" t="s">
        <v>6558</v>
      </c>
      <c r="H261" s="89" t="s">
        <v>6521</v>
      </c>
      <c r="I261" s="65" t="s">
        <v>6489</v>
      </c>
      <c r="J261" s="66"/>
      <c r="K261" s="66" t="s">
        <v>6559</v>
      </c>
      <c r="L261" s="66"/>
      <c r="M261" s="66"/>
    </row>
    <row r="262" ht="15.75" customHeight="1">
      <c r="A262" s="56" t="s">
        <v>7040</v>
      </c>
      <c r="B262" s="57">
        <v>17177.0</v>
      </c>
      <c r="C262" s="241">
        <v>30401.0</v>
      </c>
      <c r="D262" s="241">
        <v>44600.0</v>
      </c>
      <c r="E262" s="61">
        <v>0.5729166666666666</v>
      </c>
      <c r="F262" s="74" t="s">
        <v>6767</v>
      </c>
      <c r="G262" s="63" t="s">
        <v>6558</v>
      </c>
      <c r="H262" s="89" t="s">
        <v>6524</v>
      </c>
      <c r="I262" s="65" t="s">
        <v>6391</v>
      </c>
      <c r="J262" s="66"/>
      <c r="K262" s="66" t="s">
        <v>6559</v>
      </c>
      <c r="L262" s="66"/>
      <c r="M262" s="66"/>
    </row>
    <row r="263" ht="15.75" customHeight="1">
      <c r="A263" s="56" t="s">
        <v>7041</v>
      </c>
      <c r="B263" s="57">
        <v>13293.0</v>
      </c>
      <c r="C263" s="241">
        <v>30806.0</v>
      </c>
      <c r="D263" s="241">
        <v>44600.0</v>
      </c>
      <c r="E263" s="61">
        <v>0.625</v>
      </c>
      <c r="F263" s="74" t="s">
        <v>6767</v>
      </c>
      <c r="G263" s="63" t="s">
        <v>6558</v>
      </c>
      <c r="H263" s="89" t="s">
        <v>6524</v>
      </c>
      <c r="I263" s="65" t="s">
        <v>6781</v>
      </c>
      <c r="J263" s="66"/>
      <c r="K263" s="66" t="s">
        <v>6559</v>
      </c>
      <c r="L263" s="66"/>
      <c r="M263" s="66"/>
    </row>
    <row r="264" ht="15.75" customHeight="1">
      <c r="A264" s="56" t="s">
        <v>7042</v>
      </c>
      <c r="B264" s="57">
        <v>9457.0</v>
      </c>
      <c r="C264" s="241">
        <v>18817.0</v>
      </c>
      <c r="D264" s="241">
        <v>44600.0</v>
      </c>
      <c r="E264" s="61">
        <v>0.6354166666666666</v>
      </c>
      <c r="F264" s="74" t="s">
        <v>6767</v>
      </c>
      <c r="G264" s="63" t="s">
        <v>6558</v>
      </c>
      <c r="H264" s="89" t="s">
        <v>6524</v>
      </c>
      <c r="I264" s="65" t="s">
        <v>6486</v>
      </c>
      <c r="J264" s="66"/>
      <c r="K264" s="66" t="s">
        <v>6559</v>
      </c>
      <c r="L264" s="66"/>
      <c r="M264" s="66"/>
    </row>
    <row r="265" ht="15.75" customHeight="1">
      <c r="A265" s="56" t="s">
        <v>7043</v>
      </c>
      <c r="B265" s="57">
        <v>11393.0</v>
      </c>
      <c r="C265" s="241">
        <v>20624.0</v>
      </c>
      <c r="D265" s="241">
        <v>44600.0</v>
      </c>
      <c r="E265" s="61">
        <v>0.5520833333333334</v>
      </c>
      <c r="F265" s="74" t="s">
        <v>6767</v>
      </c>
      <c r="G265" s="63" t="s">
        <v>6558</v>
      </c>
      <c r="H265" s="89" t="s">
        <v>6521</v>
      </c>
      <c r="I265" s="65" t="s">
        <v>6486</v>
      </c>
      <c r="J265" s="66"/>
      <c r="K265" s="66" t="s">
        <v>6559</v>
      </c>
      <c r="L265" s="66"/>
      <c r="M265" s="66"/>
    </row>
    <row r="266" ht="15.75" customHeight="1">
      <c r="A266" s="56" t="s">
        <v>7044</v>
      </c>
      <c r="B266" s="57">
        <v>12662.0</v>
      </c>
      <c r="C266" s="241">
        <v>25947.0</v>
      </c>
      <c r="D266" s="241">
        <v>44600.0</v>
      </c>
      <c r="E266" s="61">
        <v>0.6458333333333334</v>
      </c>
      <c r="F266" s="74" t="s">
        <v>6767</v>
      </c>
      <c r="G266" s="63" t="s">
        <v>6558</v>
      </c>
      <c r="H266" s="89" t="s">
        <v>6524</v>
      </c>
      <c r="I266" s="65" t="s">
        <v>6381</v>
      </c>
      <c r="J266" s="66"/>
      <c r="K266" s="66" t="s">
        <v>6559</v>
      </c>
      <c r="L266" s="66" t="s">
        <v>6559</v>
      </c>
      <c r="M266" s="66"/>
    </row>
    <row r="267" ht="15.75" customHeight="1">
      <c r="A267" s="56" t="s">
        <v>7045</v>
      </c>
      <c r="B267" s="57">
        <v>10010.0</v>
      </c>
      <c r="C267" s="241">
        <v>17232.0</v>
      </c>
      <c r="D267" s="241">
        <v>44600.0</v>
      </c>
      <c r="E267" s="61">
        <v>0.6666666666666666</v>
      </c>
      <c r="F267" s="74" t="s">
        <v>6766</v>
      </c>
      <c r="G267" s="63" t="s">
        <v>6561</v>
      </c>
      <c r="H267" s="89" t="s">
        <v>6527</v>
      </c>
      <c r="I267" s="65" t="s">
        <v>6448</v>
      </c>
      <c r="J267" s="66"/>
      <c r="K267" s="66" t="s">
        <v>6559</v>
      </c>
      <c r="L267" s="66"/>
      <c r="M267" s="66"/>
    </row>
    <row r="268" ht="15.75" customHeight="1">
      <c r="A268" s="56" t="s">
        <v>7046</v>
      </c>
      <c r="B268" s="57">
        <v>16041.0</v>
      </c>
      <c r="C268" s="241">
        <v>25669.0</v>
      </c>
      <c r="D268" s="241">
        <v>44600.0</v>
      </c>
      <c r="E268" s="61">
        <v>0.65</v>
      </c>
      <c r="F268" s="74" t="s">
        <v>6767</v>
      </c>
      <c r="G268" s="63" t="s">
        <v>6558</v>
      </c>
      <c r="H268" s="89" t="s">
        <v>6524</v>
      </c>
      <c r="I268" s="65" t="s">
        <v>6432</v>
      </c>
      <c r="J268" s="66"/>
      <c r="K268" s="66" t="s">
        <v>6559</v>
      </c>
      <c r="L268" s="66"/>
      <c r="M268" s="66"/>
    </row>
    <row r="269" ht="15.75" customHeight="1">
      <c r="A269" s="56" t="str">
        <f>IFS($B269=FALSE,"",$B269,VLOOKUP($B269,'PATIENT DATA (072721)'!A:C, 2, 0))</f>
        <v>MUNIZ, DORA A</v>
      </c>
      <c r="B269" s="57">
        <v>15906.0</v>
      </c>
      <c r="C269" s="59">
        <v>19970.0</v>
      </c>
      <c r="D269" s="60">
        <v>44601.0</v>
      </c>
      <c r="E269" s="61">
        <v>0.3333333333333333</v>
      </c>
      <c r="F269" s="62" t="s">
        <v>6767</v>
      </c>
      <c r="G269" s="63" t="s">
        <v>6558</v>
      </c>
      <c r="H269" s="64" t="s">
        <v>6521</v>
      </c>
      <c r="I269" s="65" t="s">
        <v>6385</v>
      </c>
      <c r="J269" s="66"/>
      <c r="K269" s="66"/>
      <c r="L269" s="66" t="s">
        <v>6559</v>
      </c>
      <c r="M269" s="66"/>
      <c r="N269" s="69" t="s">
        <v>6519</v>
      </c>
    </row>
    <row r="270" ht="15.75" customHeight="1">
      <c r="A270" s="56" t="str">
        <f>IFS($B270=FALSE,"",$B270,VLOOKUP($B270,'PATIENT DATA (072721)'!A:C, 2, 0))</f>
        <v>CAMPOS, JOSE ABRAHAM</v>
      </c>
      <c r="B270" s="57">
        <v>14103.0</v>
      </c>
      <c r="C270" s="59">
        <v>16960.0</v>
      </c>
      <c r="D270" s="60">
        <v>44601.0</v>
      </c>
      <c r="E270" s="61">
        <v>0.34375</v>
      </c>
      <c r="F270" s="62" t="s">
        <v>6766</v>
      </c>
      <c r="G270" s="63" t="s">
        <v>6560</v>
      </c>
      <c r="H270" s="64" t="s">
        <v>6524</v>
      </c>
      <c r="I270" s="65" t="s">
        <v>6489</v>
      </c>
      <c r="J270" s="66"/>
      <c r="K270" s="66" t="s">
        <v>6559</v>
      </c>
      <c r="L270" s="66" t="s">
        <v>6559</v>
      </c>
      <c r="M270" s="66"/>
      <c r="N270" s="69" t="s">
        <v>6519</v>
      </c>
    </row>
    <row r="271" ht="15.75" customHeight="1">
      <c r="A271" s="56" t="str">
        <f>IFS($B271=FALSE,"",$B271,VLOOKUP($B271,'PATIENT DATA (072721)'!A:C, 2, 0))</f>
        <v>NEAL, FELICIA R</v>
      </c>
      <c r="B271" s="57">
        <v>17372.0</v>
      </c>
      <c r="C271" s="59">
        <v>28927.0</v>
      </c>
      <c r="D271" s="60">
        <v>44601.0</v>
      </c>
      <c r="E271" s="61">
        <v>0.3645833333333333</v>
      </c>
      <c r="F271" s="62" t="s">
        <v>6767</v>
      </c>
      <c r="G271" s="63" t="s">
        <v>6562</v>
      </c>
      <c r="H271" s="64" t="s">
        <v>6527</v>
      </c>
      <c r="I271" s="65" t="s">
        <v>6416</v>
      </c>
      <c r="J271" s="66"/>
      <c r="K271" s="66" t="s">
        <v>6559</v>
      </c>
      <c r="L271" s="66" t="s">
        <v>6559</v>
      </c>
      <c r="M271" s="66"/>
      <c r="N271" s="69" t="s">
        <v>6519</v>
      </c>
    </row>
    <row r="272" ht="15.75" customHeight="1">
      <c r="A272" s="56" t="str">
        <f>IFS($B272=FALSE,"",$B272,VLOOKUP($B272,'PATIENT DATA (072721)'!A:C, 2, 0))</f>
        <v>MONTES, EDWARD</v>
      </c>
      <c r="B272" s="57">
        <v>11303.0</v>
      </c>
      <c r="C272" s="59">
        <v>17223.0</v>
      </c>
      <c r="D272" s="60">
        <v>44601.0</v>
      </c>
      <c r="E272" s="61">
        <v>0.3541666666666667</v>
      </c>
      <c r="F272" s="62" t="s">
        <v>6766</v>
      </c>
      <c r="G272" s="63" t="s">
        <v>6560</v>
      </c>
      <c r="H272" s="64" t="s">
        <v>6524</v>
      </c>
      <c r="I272" s="65" t="s">
        <v>6489</v>
      </c>
      <c r="J272" s="66"/>
      <c r="K272" s="66" t="s">
        <v>6559</v>
      </c>
      <c r="L272" s="66" t="s">
        <v>6559</v>
      </c>
      <c r="M272" s="66"/>
      <c r="N272" s="69" t="s">
        <v>6519</v>
      </c>
    </row>
    <row r="273" ht="15.75" customHeight="1">
      <c r="A273" s="56" t="str">
        <f>IFS($B273=FALSE,"",$B273,VLOOKUP($B273,'PATIENT DATA (072721)'!A:C, 2, 0))</f>
        <v>REGALADO, JOSE</v>
      </c>
      <c r="B273" s="57">
        <v>16140.0</v>
      </c>
      <c r="C273" s="59">
        <v>19835.0</v>
      </c>
      <c r="D273" s="60">
        <v>44601.0</v>
      </c>
      <c r="E273" s="61">
        <v>0.3645833333333333</v>
      </c>
      <c r="F273" s="62" t="s">
        <v>6766</v>
      </c>
      <c r="G273" s="63" t="s">
        <v>6558</v>
      </c>
      <c r="H273" s="64" t="s">
        <v>6521</v>
      </c>
      <c r="I273" s="65" t="s">
        <v>6489</v>
      </c>
      <c r="J273" s="66"/>
      <c r="K273" s="66" t="s">
        <v>6559</v>
      </c>
      <c r="L273" s="66"/>
      <c r="M273" s="66"/>
      <c r="N273" s="69" t="s">
        <v>6523</v>
      </c>
    </row>
    <row r="274" ht="15.75" customHeight="1">
      <c r="A274" s="56" t="str">
        <f>IFS($B274=FALSE,"",$B274,VLOOKUP($B274,'PATIENT DATA (072721)'!A:C, 2, 0))</f>
        <v>REYES, ELFIDA A</v>
      </c>
      <c r="B274" s="57">
        <v>18012.0</v>
      </c>
      <c r="C274" s="59">
        <v>15815.0</v>
      </c>
      <c r="D274" s="60">
        <v>44601.0</v>
      </c>
      <c r="E274" s="61">
        <v>0.3645833333333333</v>
      </c>
      <c r="F274" s="62" t="s">
        <v>6767</v>
      </c>
      <c r="G274" s="63" t="s">
        <v>6562</v>
      </c>
      <c r="H274" s="64" t="s">
        <v>6529</v>
      </c>
      <c r="I274" s="65" t="s">
        <v>6479</v>
      </c>
      <c r="J274" s="66" t="s">
        <v>6559</v>
      </c>
      <c r="K274" s="66"/>
      <c r="L274" s="66"/>
      <c r="M274" s="66"/>
      <c r="N274" s="69" t="s">
        <v>7047</v>
      </c>
    </row>
    <row r="275" ht="15.75" customHeight="1">
      <c r="A275" s="56" t="str">
        <f>IFS($B275=FALSE,"",$B275,VLOOKUP($B275,'PATIENT DATA (072721)'!A:C, 2, 0))</f>
        <v>PITONES, LUISA</v>
      </c>
      <c r="B275" s="57">
        <v>9716.0</v>
      </c>
      <c r="C275" s="59">
        <v>20692.0</v>
      </c>
      <c r="D275" s="60">
        <v>44601.0</v>
      </c>
      <c r="E275" s="61">
        <v>0.375</v>
      </c>
      <c r="F275" s="62" t="s">
        <v>6767</v>
      </c>
      <c r="G275" s="63" t="s">
        <v>6560</v>
      </c>
      <c r="H275" s="64" t="s">
        <v>6524</v>
      </c>
      <c r="I275" s="65" t="s">
        <v>6486</v>
      </c>
      <c r="J275" s="66"/>
      <c r="K275" s="66" t="s">
        <v>6559</v>
      </c>
      <c r="L275" s="66" t="s">
        <v>6559</v>
      </c>
      <c r="M275" s="66"/>
      <c r="N275" s="69" t="s">
        <v>7048</v>
      </c>
    </row>
    <row r="276" ht="15.75" customHeight="1">
      <c r="A276" s="56" t="str">
        <f>IFS($B276=FALSE,"",$B276,VLOOKUP($B276,'PATIENT DATA (072721)'!A:C, 2, 0))</f>
        <v>RODRIGUEZ, CONSUELO</v>
      </c>
      <c r="B276" s="57">
        <v>17759.0</v>
      </c>
      <c r="C276" s="59">
        <v>13627.0</v>
      </c>
      <c r="D276" s="60">
        <v>44601.0</v>
      </c>
      <c r="E276" s="61">
        <v>0.34375</v>
      </c>
      <c r="F276" s="62" t="s">
        <v>6767</v>
      </c>
      <c r="G276" s="63" t="s">
        <v>6562</v>
      </c>
      <c r="H276" s="64" t="s">
        <v>6529</v>
      </c>
      <c r="I276" s="65" t="s">
        <v>6486</v>
      </c>
      <c r="J276" s="66" t="s">
        <v>6559</v>
      </c>
      <c r="K276" s="66"/>
      <c r="L276" s="66"/>
      <c r="M276" s="66"/>
      <c r="N276" s="69" t="s">
        <v>7047</v>
      </c>
    </row>
    <row r="277" ht="15.75" customHeight="1">
      <c r="A277" s="56" t="str">
        <f>IFS($B277=FALSE,"",$B277,VLOOKUP($B277,'PATIENT DATA (072721)'!A:C, 2, 0))</f>
        <v>LAWSON, SEAN</v>
      </c>
      <c r="B277" s="57">
        <v>11205.0</v>
      </c>
      <c r="C277" s="59">
        <v>31645.0</v>
      </c>
      <c r="D277" s="60">
        <v>44601.0</v>
      </c>
      <c r="E277" s="61">
        <v>0.3645833333333333</v>
      </c>
      <c r="F277" s="62" t="s">
        <v>6766</v>
      </c>
      <c r="G277" s="63" t="s">
        <v>6560</v>
      </c>
      <c r="H277" s="64" t="s">
        <v>6524</v>
      </c>
      <c r="I277" s="65" t="s">
        <v>6489</v>
      </c>
      <c r="J277" s="66"/>
      <c r="K277" s="66" t="s">
        <v>6559</v>
      </c>
      <c r="L277" s="66"/>
      <c r="M277" s="66"/>
      <c r="N277" s="69" t="s">
        <v>6523</v>
      </c>
    </row>
    <row r="278" ht="15.75" customHeight="1">
      <c r="A278" s="56" t="str">
        <f>IFS($B278=FALSE,"",$B278,VLOOKUP($B278,'PATIENT DATA (072721)'!A:C, 2, 0))</f>
        <v>ESPRAZA, ENRIQUE</v>
      </c>
      <c r="B278" s="57">
        <v>17340.0</v>
      </c>
      <c r="C278" s="59">
        <v>26715.0</v>
      </c>
      <c r="D278" s="60">
        <v>44601.0</v>
      </c>
      <c r="E278" s="61">
        <v>0.40625</v>
      </c>
      <c r="F278" s="62" t="s">
        <v>6766</v>
      </c>
      <c r="G278" s="63" t="s">
        <v>6562</v>
      </c>
      <c r="H278" s="64" t="s">
        <v>6527</v>
      </c>
      <c r="I278" s="65" t="s">
        <v>6407</v>
      </c>
      <c r="J278" s="66"/>
      <c r="K278" s="66" t="s">
        <v>6559</v>
      </c>
      <c r="L278" s="66"/>
      <c r="M278" s="66"/>
      <c r="N278" s="69" t="s">
        <v>6523</v>
      </c>
    </row>
    <row r="279" ht="15.75" customHeight="1">
      <c r="A279" s="56" t="str">
        <f>IFS($B279=FALSE,"",$B279,VLOOKUP($B279,'PATIENT DATA (072721)'!A:C, 2, 0))</f>
        <v>ESPARZA, JESUS G</v>
      </c>
      <c r="B279" s="57">
        <v>15716.0</v>
      </c>
      <c r="C279" s="59">
        <v>22638.0</v>
      </c>
      <c r="D279" s="60">
        <v>44601.0</v>
      </c>
      <c r="E279" s="61">
        <v>0.3854166666666667</v>
      </c>
      <c r="F279" s="62" t="s">
        <v>6766</v>
      </c>
      <c r="G279" s="63" t="s">
        <v>6558</v>
      </c>
      <c r="H279" s="64" t="s">
        <v>6521</v>
      </c>
      <c r="I279" s="65" t="s">
        <v>6489</v>
      </c>
      <c r="J279" s="66"/>
      <c r="K279" s="66"/>
      <c r="L279" s="66" t="s">
        <v>6559</v>
      </c>
      <c r="M279" s="66"/>
      <c r="N279" s="69" t="s">
        <v>6519</v>
      </c>
    </row>
    <row r="280" ht="15.75" customHeight="1">
      <c r="A280" s="56" t="str">
        <f>IFS($B280=FALSE,"",$B280,VLOOKUP($B280,'PATIENT DATA (072721)'!A:C, 2, 0))</f>
        <v>RODARTE, VANESSA</v>
      </c>
      <c r="B280" s="57">
        <v>17043.0</v>
      </c>
      <c r="C280" s="59">
        <v>28322.0</v>
      </c>
      <c r="D280" s="60">
        <v>44601.0</v>
      </c>
      <c r="E280" s="61">
        <v>0.4479166666666667</v>
      </c>
      <c r="F280" s="62" t="s">
        <v>6767</v>
      </c>
      <c r="G280" s="63" t="s">
        <v>6562</v>
      </c>
      <c r="H280" s="64" t="s">
        <v>6527</v>
      </c>
      <c r="I280" s="65" t="s">
        <v>6381</v>
      </c>
      <c r="J280" s="66"/>
      <c r="K280" s="66" t="s">
        <v>6559</v>
      </c>
      <c r="L280" s="66" t="s">
        <v>6559</v>
      </c>
      <c r="M280" s="66"/>
      <c r="N280" s="69" t="s">
        <v>6519</v>
      </c>
    </row>
    <row r="281" ht="15.75" customHeight="1">
      <c r="A281" s="56" t="str">
        <f>IFS($B281=FALSE,"",$B281,VLOOKUP($B281,'PATIENT DATA (072721)'!A:C, 2, 0))</f>
        <v>BONNER, HUBERT</v>
      </c>
      <c r="B281" s="57">
        <v>9493.0</v>
      </c>
      <c r="C281" s="59">
        <v>20636.0</v>
      </c>
      <c r="D281" s="60">
        <v>44601.0</v>
      </c>
      <c r="E281" s="61">
        <v>0.375</v>
      </c>
      <c r="F281" s="62" t="s">
        <v>6766</v>
      </c>
      <c r="G281" s="63" t="s">
        <v>6560</v>
      </c>
      <c r="H281" s="64" t="s">
        <v>6524</v>
      </c>
      <c r="I281" s="65" t="s">
        <v>6489</v>
      </c>
      <c r="J281" s="66"/>
      <c r="K281" s="66" t="s">
        <v>6559</v>
      </c>
      <c r="L281" s="66"/>
      <c r="M281" s="66"/>
      <c r="N281" s="69" t="s">
        <v>6523</v>
      </c>
    </row>
    <row r="282" ht="15.75" customHeight="1">
      <c r="A282" s="56" t="str">
        <f>IFS($B282=FALSE,"",$B282,VLOOKUP($B282,'PATIENT DATA (072721)'!A:C, 2, 0))</f>
        <v>RAMIREZ, MANUEL A</v>
      </c>
      <c r="B282" s="57">
        <v>12543.0</v>
      </c>
      <c r="C282" s="59">
        <v>22657.0</v>
      </c>
      <c r="D282" s="60">
        <v>44601.0</v>
      </c>
      <c r="E282" s="61">
        <v>0.375</v>
      </c>
      <c r="F282" s="62" t="s">
        <v>6766</v>
      </c>
      <c r="G282" s="63" t="s">
        <v>6562</v>
      </c>
      <c r="H282" s="64" t="s">
        <v>6529</v>
      </c>
      <c r="I282" s="65" t="s">
        <v>6484</v>
      </c>
      <c r="J282" s="66"/>
      <c r="K282" s="66" t="s">
        <v>6559</v>
      </c>
      <c r="L282" s="66"/>
      <c r="M282" s="66"/>
      <c r="N282" s="69" t="s">
        <v>7049</v>
      </c>
    </row>
    <row r="283" ht="15.75" customHeight="1">
      <c r="A283" s="56" t="str">
        <f>IFS($B283=FALSE,"",$B283,VLOOKUP($B283,'PATIENT DATA (072721)'!A:C, 2, 0))</f>
        <v>RASSETTE, CHERYL L</v>
      </c>
      <c r="B283" s="57">
        <v>18063.0</v>
      </c>
      <c r="C283" s="59">
        <v>20233.0</v>
      </c>
      <c r="D283" s="60">
        <v>44601.0</v>
      </c>
      <c r="E283" s="61">
        <v>0.3958333333333333</v>
      </c>
      <c r="F283" s="62" t="s">
        <v>6767</v>
      </c>
      <c r="G283" s="63" t="s">
        <v>6561</v>
      </c>
      <c r="H283" s="64" t="s">
        <v>6529</v>
      </c>
      <c r="I283" s="65" t="s">
        <v>6427</v>
      </c>
      <c r="J283" s="66" t="s">
        <v>6559</v>
      </c>
      <c r="K283" s="66"/>
      <c r="L283" s="66"/>
      <c r="M283" s="66"/>
      <c r="N283" s="69" t="s">
        <v>6525</v>
      </c>
    </row>
    <row r="284" ht="15.75" customHeight="1">
      <c r="A284" s="56" t="str">
        <f>IFS($B284=FALSE,"",$B284,VLOOKUP($B284,'PATIENT DATA (072721)'!A:C, 2, 0))</f>
        <v>SIQUEROS, EVANGELINA</v>
      </c>
      <c r="B284" s="57">
        <v>15994.0</v>
      </c>
      <c r="C284" s="59">
        <v>13335.0</v>
      </c>
      <c r="D284" s="60">
        <v>44601.0</v>
      </c>
      <c r="E284" s="61">
        <v>0.3854166666666667</v>
      </c>
      <c r="F284" s="62" t="s">
        <v>6767</v>
      </c>
      <c r="G284" s="63" t="s">
        <v>6560</v>
      </c>
      <c r="H284" s="64" t="s">
        <v>6524</v>
      </c>
      <c r="I284" s="65" t="s">
        <v>6485</v>
      </c>
      <c r="J284" s="66"/>
      <c r="K284" s="66" t="s">
        <v>6559</v>
      </c>
      <c r="L284" s="66"/>
      <c r="M284" s="66"/>
      <c r="N284" s="69" t="s">
        <v>7049</v>
      </c>
    </row>
    <row r="285" ht="15.75" customHeight="1">
      <c r="A285" s="56" t="str">
        <f>IFS($B285=FALSE,"",$B285,VLOOKUP($B285,'PATIENT DATA (072721)'!A:C, 2, 0))</f>
        <v>RODRIGUEZ, EMILIA YOLANDA</v>
      </c>
      <c r="B285" s="57">
        <v>11998.0</v>
      </c>
      <c r="C285" s="59">
        <v>12569.0</v>
      </c>
      <c r="D285" s="60">
        <v>44601.0</v>
      </c>
      <c r="E285" s="61">
        <v>0.3958333333333333</v>
      </c>
      <c r="F285" s="62" t="s">
        <v>6767</v>
      </c>
      <c r="G285" s="63" t="s">
        <v>6561</v>
      </c>
      <c r="H285" s="64" t="s">
        <v>6529</v>
      </c>
      <c r="I285" s="65" t="s">
        <v>6482</v>
      </c>
      <c r="J285" s="66"/>
      <c r="K285" s="66" t="s">
        <v>6559</v>
      </c>
      <c r="L285" s="66"/>
      <c r="M285" s="66"/>
      <c r="N285" s="69" t="s">
        <v>7049</v>
      </c>
    </row>
    <row r="286" ht="15.75" customHeight="1">
      <c r="A286" s="56" t="str">
        <f>IFS($B286=FALSE,"",$B286,VLOOKUP($B286,'PATIENT DATA (072721)'!A:C, 2, 0))</f>
        <v>MONTOYA, BELEM</v>
      </c>
      <c r="B286" s="57">
        <v>10649.0</v>
      </c>
      <c r="C286" s="59">
        <v>21647.0</v>
      </c>
      <c r="D286" s="60">
        <v>44601.0</v>
      </c>
      <c r="E286" s="61">
        <v>0.3958333333333333</v>
      </c>
      <c r="F286" s="62" t="s">
        <v>6767</v>
      </c>
      <c r="G286" s="63" t="s">
        <v>6560</v>
      </c>
      <c r="H286" s="64" t="s">
        <v>6524</v>
      </c>
      <c r="I286" s="65" t="s">
        <v>6482</v>
      </c>
      <c r="J286" s="66"/>
      <c r="K286" s="66" t="s">
        <v>6559</v>
      </c>
      <c r="L286" s="66" t="s">
        <v>6559</v>
      </c>
      <c r="M286" s="66"/>
      <c r="N286" s="69" t="s">
        <v>7048</v>
      </c>
    </row>
    <row r="287" ht="15.75" customHeight="1">
      <c r="A287" s="56" t="str">
        <f>IFS($B287=FALSE,"",$B287,VLOOKUP($B287,'PATIENT DATA (072721)'!A:C, 2, 0))</f>
        <v>LAGARDA-ITURRALDE, MARGARITA</v>
      </c>
      <c r="B287" s="57">
        <v>12408.0</v>
      </c>
      <c r="C287" s="59">
        <v>23198.0</v>
      </c>
      <c r="D287" s="60">
        <v>44601.0</v>
      </c>
      <c r="E287" s="61">
        <v>0.3958333333333333</v>
      </c>
      <c r="F287" s="62" t="s">
        <v>6767</v>
      </c>
      <c r="G287" s="63" t="s">
        <v>6560</v>
      </c>
      <c r="H287" s="64" t="s">
        <v>6524</v>
      </c>
      <c r="I287" s="65" t="s">
        <v>6379</v>
      </c>
      <c r="J287" s="66"/>
      <c r="K287" s="66" t="s">
        <v>6559</v>
      </c>
      <c r="L287" s="66"/>
      <c r="M287" s="66"/>
      <c r="N287" s="69" t="s">
        <v>6523</v>
      </c>
    </row>
    <row r="288" ht="15.75" customHeight="1">
      <c r="A288" s="56" t="str">
        <f>IFS($B288=FALSE,"",$B288,VLOOKUP($B288,'PATIENT DATA (072721)'!A:C, 2, 0))</f>
        <v>GARY, TINISHA B</v>
      </c>
      <c r="B288" s="57">
        <v>14194.0</v>
      </c>
      <c r="C288" s="59">
        <v>25721.0</v>
      </c>
      <c r="D288" s="60">
        <v>44601.0</v>
      </c>
      <c r="E288" s="61">
        <v>0.3958333333333333</v>
      </c>
      <c r="F288" s="62" t="s">
        <v>6767</v>
      </c>
      <c r="G288" s="63" t="s">
        <v>6562</v>
      </c>
      <c r="H288" s="64" t="s">
        <v>6527</v>
      </c>
      <c r="I288" s="65" t="s">
        <v>6444</v>
      </c>
      <c r="J288" s="66"/>
      <c r="K288" s="66" t="s">
        <v>6559</v>
      </c>
      <c r="L288" s="66" t="s">
        <v>6559</v>
      </c>
      <c r="M288" s="66"/>
      <c r="N288" s="69" t="s">
        <v>6519</v>
      </c>
    </row>
    <row r="289" ht="15.75" customHeight="1">
      <c r="A289" s="56" t="str">
        <f>IFS($B289=FALSE,"",$B289,VLOOKUP($B289,'PATIENT DATA (072721)'!A:C, 2, 0))</f>
        <v>OCHOA, GLORIA E</v>
      </c>
      <c r="B289" s="57">
        <v>16082.0</v>
      </c>
      <c r="C289" s="59">
        <v>22883.0</v>
      </c>
      <c r="D289" s="60">
        <v>44601.0</v>
      </c>
      <c r="E289" s="61">
        <v>0.4166666666666667</v>
      </c>
      <c r="F289" s="62" t="s">
        <v>6767</v>
      </c>
      <c r="G289" s="63" t="s">
        <v>6562</v>
      </c>
      <c r="H289" s="64" t="s">
        <v>6529</v>
      </c>
      <c r="I289" s="65" t="s">
        <v>6485</v>
      </c>
      <c r="J289" s="66"/>
      <c r="K289" s="66" t="s">
        <v>6559</v>
      </c>
      <c r="L289" s="66"/>
      <c r="M289" s="66"/>
      <c r="N289" s="69" t="s">
        <v>7049</v>
      </c>
    </row>
    <row r="290" ht="15.75" customHeight="1">
      <c r="A290" s="56" t="str">
        <f>IFS($B290=FALSE,"",$B290,VLOOKUP($B290,'PATIENT DATA (072721)'!A:C, 2, 0))</f>
        <v>LUCERO, MONICA J</v>
      </c>
      <c r="B290" s="57">
        <v>15724.0</v>
      </c>
      <c r="C290" s="59">
        <v>23824.0</v>
      </c>
      <c r="D290" s="60">
        <v>44601.0</v>
      </c>
      <c r="E290" s="61">
        <v>0.4375</v>
      </c>
      <c r="F290" s="62" t="s">
        <v>6767</v>
      </c>
      <c r="G290" s="63" t="s">
        <v>6560</v>
      </c>
      <c r="H290" s="64" t="s">
        <v>6524</v>
      </c>
      <c r="I290" s="65" t="s">
        <v>6432</v>
      </c>
      <c r="J290" s="66"/>
      <c r="K290" s="66" t="s">
        <v>6559</v>
      </c>
      <c r="L290" s="66"/>
      <c r="M290" s="66"/>
      <c r="N290" s="69" t="s">
        <v>7049</v>
      </c>
    </row>
    <row r="291" ht="15.75" customHeight="1">
      <c r="A291" s="56" t="str">
        <f>IFS($B291=FALSE,"",$B291,VLOOKUP($B291,'PATIENT DATA (072721)'!A:C, 2, 0))</f>
        <v>PODNER, ELIZABETH C</v>
      </c>
      <c r="B291" s="57">
        <v>15335.0</v>
      </c>
      <c r="C291" s="59">
        <v>33029.0</v>
      </c>
      <c r="D291" s="60">
        <v>44601.0</v>
      </c>
      <c r="E291" s="61">
        <v>0.40625</v>
      </c>
      <c r="F291" s="62" t="s">
        <v>6767</v>
      </c>
      <c r="G291" s="63" t="s">
        <v>6560</v>
      </c>
      <c r="H291" s="64" t="s">
        <v>6524</v>
      </c>
      <c r="I291" s="65" t="s">
        <v>6407</v>
      </c>
      <c r="J291" s="66"/>
      <c r="K291" s="66" t="s">
        <v>6559</v>
      </c>
      <c r="L291" s="66" t="s">
        <v>6559</v>
      </c>
      <c r="M291" s="66"/>
      <c r="N291" s="69" t="s">
        <v>6519</v>
      </c>
    </row>
    <row r="292" ht="15.75" customHeight="1">
      <c r="A292" s="56" t="str">
        <f>IFS($B292=FALSE,"",$B292,VLOOKUP($B292,'PATIENT DATA (072721)'!A:C, 2, 0))</f>
        <v>APODACA, ELSA</v>
      </c>
      <c r="B292" s="57">
        <v>15569.0</v>
      </c>
      <c r="C292" s="59">
        <v>25170.0</v>
      </c>
      <c r="D292" s="60">
        <v>44601.0</v>
      </c>
      <c r="E292" s="61">
        <v>0.3333333333333333</v>
      </c>
      <c r="F292" s="62" t="s">
        <v>6767</v>
      </c>
      <c r="G292" s="63" t="s">
        <v>6562</v>
      </c>
      <c r="H292" s="64" t="s">
        <v>6527</v>
      </c>
      <c r="I292" s="65" t="s">
        <v>6432</v>
      </c>
      <c r="J292" s="66"/>
      <c r="K292" s="66" t="s">
        <v>6559</v>
      </c>
      <c r="L292" s="66"/>
      <c r="M292" s="66"/>
      <c r="N292" s="69" t="s">
        <v>7049</v>
      </c>
    </row>
    <row r="293" ht="15.75" customHeight="1">
      <c r="A293" s="56" t="str">
        <f>IFS($B293=FALSE,"",$B293,VLOOKUP($B293,'PATIENT DATA (072721)'!A:C, 2, 0))</f>
        <v>ELMORE, ANTHONY</v>
      </c>
      <c r="B293" s="57">
        <v>15891.0</v>
      </c>
      <c r="C293" s="59">
        <v>25116.0</v>
      </c>
      <c r="D293" s="60">
        <v>44601.0</v>
      </c>
      <c r="E293" s="61">
        <v>0.4375</v>
      </c>
      <c r="F293" s="62" t="s">
        <v>6766</v>
      </c>
      <c r="G293" s="63" t="s">
        <v>6558</v>
      </c>
      <c r="H293" s="64" t="s">
        <v>6521</v>
      </c>
      <c r="I293" s="65" t="s">
        <v>6435</v>
      </c>
      <c r="J293" s="66"/>
      <c r="K293" s="66" t="s">
        <v>6559</v>
      </c>
      <c r="L293" s="66" t="s">
        <v>6559</v>
      </c>
      <c r="M293" s="66"/>
      <c r="N293" s="69" t="s">
        <v>6519</v>
      </c>
    </row>
    <row r="294" ht="15.75" customHeight="1">
      <c r="A294" s="56" t="str">
        <f>IFS($B294=FALSE,"",$B294,VLOOKUP($B294,'PATIENT DATA (072721)'!A:C, 2, 0))</f>
        <v>ARROYO, ALEXIS</v>
      </c>
      <c r="B294" s="57">
        <v>10338.0</v>
      </c>
      <c r="C294" s="59">
        <v>34388.0</v>
      </c>
      <c r="D294" s="60">
        <v>44601.0</v>
      </c>
      <c r="E294" s="61">
        <v>0.4479166666666667</v>
      </c>
      <c r="F294" s="62" t="s">
        <v>6767</v>
      </c>
      <c r="G294" s="63" t="s">
        <v>6560</v>
      </c>
      <c r="H294" s="64" t="s">
        <v>6524</v>
      </c>
      <c r="I294" s="65" t="s">
        <v>6416</v>
      </c>
      <c r="J294" s="66"/>
      <c r="K294" s="66" t="s">
        <v>6559</v>
      </c>
      <c r="L294" s="66" t="s">
        <v>6559</v>
      </c>
      <c r="M294" s="66"/>
      <c r="N294" s="69" t="s">
        <v>6519</v>
      </c>
    </row>
    <row r="295" ht="15.75" customHeight="1">
      <c r="A295" s="56" t="str">
        <f>IFS($B295=FALSE,"",$B295,VLOOKUP($B295,'PATIENT DATA (072721)'!A:C, 2, 0))</f>
        <v>BINGHAM, LINDA K</v>
      </c>
      <c r="B295" s="57">
        <v>13880.0</v>
      </c>
      <c r="C295" s="59">
        <v>18348.0</v>
      </c>
      <c r="D295" s="60">
        <v>44601.0</v>
      </c>
      <c r="E295" s="61">
        <v>0.4479166666666667</v>
      </c>
      <c r="F295" s="62" t="s">
        <v>6767</v>
      </c>
      <c r="G295" s="63" t="s">
        <v>6562</v>
      </c>
      <c r="H295" s="64" t="s">
        <v>6529</v>
      </c>
      <c r="I295" s="65" t="s">
        <v>6427</v>
      </c>
      <c r="J295" s="66"/>
      <c r="K295" s="66" t="s">
        <v>6559</v>
      </c>
      <c r="L295" s="66"/>
      <c r="M295" s="66"/>
      <c r="N295" s="69" t="s">
        <v>6523</v>
      </c>
    </row>
    <row r="296" ht="15.75" customHeight="1">
      <c r="A296" s="56" t="str">
        <f>IFS($B296=FALSE,"",$B296,VLOOKUP($B296,'PATIENT DATA (072721)'!A:C, 2, 0))</f>
        <v>HUERTA MARTINEZ, BERTHA</v>
      </c>
      <c r="B296" s="72">
        <v>9608.0</v>
      </c>
      <c r="C296" s="59">
        <v>21736.0</v>
      </c>
      <c r="D296" s="60">
        <v>44601.0</v>
      </c>
      <c r="E296" s="61">
        <v>0.4583333333333333</v>
      </c>
      <c r="F296" s="62" t="s">
        <v>6767</v>
      </c>
      <c r="G296" s="63" t="s">
        <v>6562</v>
      </c>
      <c r="H296" s="64" t="s">
        <v>6527</v>
      </c>
      <c r="I296" s="65" t="s">
        <v>6480</v>
      </c>
      <c r="J296" s="66"/>
      <c r="K296" s="66" t="s">
        <v>6559</v>
      </c>
      <c r="L296" s="66" t="s">
        <v>6559</v>
      </c>
      <c r="M296" s="66"/>
      <c r="N296" s="69" t="s">
        <v>7048</v>
      </c>
    </row>
    <row r="297" ht="15.75" customHeight="1">
      <c r="A297" s="56" t="str">
        <f>IFS($B297=FALSE,"",$B297,VLOOKUP($B297,'PATIENT DATA (072721)'!A:C, 2, 0))</f>
        <v>QUEZADA-DIAMONDSTEIN, MARIA D</v>
      </c>
      <c r="B297" s="57">
        <v>16431.0</v>
      </c>
      <c r="C297" s="59">
        <v>18157.0</v>
      </c>
      <c r="D297" s="60">
        <v>44601.0</v>
      </c>
      <c r="E297" s="61">
        <v>0.4583333333333333</v>
      </c>
      <c r="F297" s="74" t="s">
        <v>6767</v>
      </c>
      <c r="G297" s="63" t="s">
        <v>6560</v>
      </c>
      <c r="H297" s="64" t="s">
        <v>6524</v>
      </c>
      <c r="I297" s="65" t="s">
        <v>6375</v>
      </c>
      <c r="J297" s="66"/>
      <c r="K297" s="66" t="s">
        <v>6559</v>
      </c>
      <c r="L297" s="66"/>
      <c r="M297" s="66"/>
      <c r="N297" s="69" t="s">
        <v>6523</v>
      </c>
    </row>
    <row r="298" ht="15.75" customHeight="1">
      <c r="A298" s="56" t="str">
        <f>IFS($B298=FALSE,"",$B298,VLOOKUP($B298,'PATIENT DATA (072721)'!A:C, 2, 0))</f>
        <v>PEREZ, ERNESTINA</v>
      </c>
      <c r="B298" s="57">
        <v>15765.0</v>
      </c>
      <c r="C298" s="59">
        <v>23265.0</v>
      </c>
      <c r="D298" s="60">
        <v>44601.0</v>
      </c>
      <c r="E298" s="61">
        <v>0.46875</v>
      </c>
      <c r="F298" s="74" t="s">
        <v>6767</v>
      </c>
      <c r="G298" s="63" t="s">
        <v>6558</v>
      </c>
      <c r="H298" s="64" t="s">
        <v>6521</v>
      </c>
      <c r="I298" s="65" t="s">
        <v>6482</v>
      </c>
      <c r="J298" s="66"/>
      <c r="K298" s="66" t="s">
        <v>6559</v>
      </c>
      <c r="L298" s="66" t="s">
        <v>6559</v>
      </c>
      <c r="M298" s="66"/>
      <c r="N298" s="69" t="s">
        <v>7048</v>
      </c>
    </row>
    <row r="299" ht="15.75" customHeight="1">
      <c r="A299" s="56" t="str">
        <f>IFS($B299=FALSE,"",$B299,VLOOKUP($B299,'PATIENT DATA (072721)'!A:C, 2, 0))</f>
        <v>DURAN, RICARDO</v>
      </c>
      <c r="B299" s="57">
        <v>17457.0</v>
      </c>
      <c r="C299" s="59">
        <v>13539.0</v>
      </c>
      <c r="D299" s="60">
        <v>44601.0</v>
      </c>
      <c r="E299" s="61">
        <v>0.4583333333333333</v>
      </c>
      <c r="F299" s="74" t="s">
        <v>6766</v>
      </c>
      <c r="G299" s="63" t="s">
        <v>6558</v>
      </c>
      <c r="H299" s="64" t="s">
        <v>6521</v>
      </c>
      <c r="I299" s="65" t="s">
        <v>6479</v>
      </c>
      <c r="J299" s="66"/>
      <c r="K299" s="66" t="s">
        <v>6559</v>
      </c>
      <c r="L299" s="66"/>
      <c r="M299" s="66"/>
      <c r="N299" s="69" t="s">
        <v>7049</v>
      </c>
    </row>
    <row r="300" ht="15.75" customHeight="1">
      <c r="A300" s="56" t="str">
        <f>IFS($B300=FALSE,"",$B300,VLOOKUP($B300,'PATIENT DATA (072721)'!A:C, 2, 0))</f>
        <v>LEYVA, ANDREW R</v>
      </c>
      <c r="B300" s="57">
        <v>14972.0</v>
      </c>
      <c r="C300" s="59">
        <v>25152.0</v>
      </c>
      <c r="D300" s="60">
        <v>44601.0</v>
      </c>
      <c r="E300" s="61">
        <v>0.5416666666666666</v>
      </c>
      <c r="F300" s="74" t="s">
        <v>6766</v>
      </c>
      <c r="G300" s="63" t="s">
        <v>6558</v>
      </c>
      <c r="H300" s="64" t="s">
        <v>6521</v>
      </c>
      <c r="I300" s="65" t="s">
        <v>6444</v>
      </c>
      <c r="J300" s="66"/>
      <c r="K300" s="66" t="s">
        <v>6559</v>
      </c>
      <c r="L300" s="66"/>
      <c r="M300" s="66"/>
      <c r="N300" s="69" t="s">
        <v>6523</v>
      </c>
    </row>
    <row r="301" ht="15.75" customHeight="1">
      <c r="A301" s="56" t="str">
        <f>IFS($B301=FALSE,"",$B301,VLOOKUP($B301,'PATIENT DATA (072721)'!A:C, 2, 0))</f>
        <v>ABREGO, JOSE L</v>
      </c>
      <c r="B301" s="57">
        <v>17235.0</v>
      </c>
      <c r="C301" s="59">
        <v>23653.0</v>
      </c>
      <c r="D301" s="60">
        <v>44601.0</v>
      </c>
      <c r="E301" s="61">
        <v>0.53125</v>
      </c>
      <c r="F301" s="74" t="s">
        <v>6766</v>
      </c>
      <c r="G301" s="63" t="s">
        <v>6558</v>
      </c>
      <c r="H301" s="64" t="s">
        <v>6524</v>
      </c>
      <c r="I301" s="65" t="s">
        <v>6486</v>
      </c>
      <c r="J301" s="66"/>
      <c r="K301" s="66" t="s">
        <v>6559</v>
      </c>
      <c r="L301" s="66"/>
      <c r="M301" s="66"/>
      <c r="N301" s="69" t="s">
        <v>7049</v>
      </c>
    </row>
    <row r="302" ht="15.75" customHeight="1">
      <c r="A302" s="56" t="str">
        <f>IFS($B302=FALSE,"",$B302,VLOOKUP($B302,'PATIENT DATA (072721)'!A:C, 2, 0))</f>
        <v>ACOSTA, GERARDO M</v>
      </c>
      <c r="B302" s="57">
        <v>9540.0</v>
      </c>
      <c r="C302" s="59">
        <v>31846.0</v>
      </c>
      <c r="D302" s="60">
        <v>44601.0</v>
      </c>
      <c r="E302" s="61">
        <v>0.5625</v>
      </c>
      <c r="F302" s="74" t="s">
        <v>6766</v>
      </c>
      <c r="G302" s="63" t="s">
        <v>6562</v>
      </c>
      <c r="H302" s="64" t="s">
        <v>6527</v>
      </c>
      <c r="I302" s="65" t="s">
        <v>6445</v>
      </c>
      <c r="J302" s="66"/>
      <c r="K302" s="66" t="s">
        <v>6559</v>
      </c>
      <c r="L302" s="66"/>
      <c r="M302" s="66"/>
      <c r="N302" s="69" t="s">
        <v>6523</v>
      </c>
    </row>
    <row r="303" ht="15.75" customHeight="1">
      <c r="A303" s="56" t="str">
        <f>IFS($B303=FALSE,"",$B303,VLOOKUP($B303,'PATIENT DATA (072721)'!A:C, 2, 0))</f>
        <v>GRADO, EUSTOLIA</v>
      </c>
      <c r="B303" s="57">
        <v>11000.0</v>
      </c>
      <c r="C303" s="59">
        <v>16385.0</v>
      </c>
      <c r="D303" s="60">
        <v>44601.0</v>
      </c>
      <c r="E303" s="61">
        <v>0.5625</v>
      </c>
      <c r="F303" s="74" t="s">
        <v>6767</v>
      </c>
      <c r="G303" s="63" t="s">
        <v>6562</v>
      </c>
      <c r="H303" s="64" t="s">
        <v>6527</v>
      </c>
      <c r="I303" s="65" t="s">
        <v>6384</v>
      </c>
      <c r="J303" s="66"/>
      <c r="K303" s="66" t="s">
        <v>6559</v>
      </c>
      <c r="L303" s="66"/>
      <c r="M303" s="66"/>
      <c r="N303" s="69" t="s">
        <v>6523</v>
      </c>
    </row>
    <row r="304" ht="15.75" customHeight="1">
      <c r="A304" s="56" t="str">
        <f>IFS($B304=FALSE,"",$B304,VLOOKUP($B304,'PATIENT DATA (072721)'!A:C, 2, 0))</f>
        <v>SERRATO, RAYMOND</v>
      </c>
      <c r="B304" s="57">
        <v>15412.0</v>
      </c>
      <c r="C304" s="59">
        <v>9126.0</v>
      </c>
      <c r="D304" s="60">
        <v>44601.0</v>
      </c>
      <c r="E304" s="61">
        <v>0.53125</v>
      </c>
      <c r="F304" s="74" t="s">
        <v>6766</v>
      </c>
      <c r="G304" s="63" t="s">
        <v>6558</v>
      </c>
      <c r="H304" s="64" t="s">
        <v>6524</v>
      </c>
      <c r="I304" s="65" t="s">
        <v>6489</v>
      </c>
      <c r="J304" s="66"/>
      <c r="K304" s="66" t="s">
        <v>6559</v>
      </c>
      <c r="L304" s="66" t="s">
        <v>6559</v>
      </c>
      <c r="M304" s="66"/>
      <c r="N304" s="69" t="s">
        <v>6519</v>
      </c>
    </row>
    <row r="305" ht="15.75" customHeight="1">
      <c r="A305" s="56" t="str">
        <f>IFS($B305=FALSE,"",$B305,VLOOKUP($B305,'PATIENT DATA (072721)'!A:C, 2, 0))</f>
        <v>VILLANUEVA, FELIPE</v>
      </c>
      <c r="B305" s="57">
        <v>16834.0</v>
      </c>
      <c r="C305" s="59">
        <v>19637.0</v>
      </c>
      <c r="D305" s="60">
        <v>44601.0</v>
      </c>
      <c r="E305" s="61">
        <v>0.5625</v>
      </c>
      <c r="F305" s="74" t="s">
        <v>6766</v>
      </c>
      <c r="G305" s="63" t="s">
        <v>6562</v>
      </c>
      <c r="H305" s="64" t="s">
        <v>6529</v>
      </c>
      <c r="I305" s="65" t="s">
        <v>6484</v>
      </c>
      <c r="J305" s="66"/>
      <c r="K305" s="66" t="s">
        <v>6559</v>
      </c>
      <c r="L305" s="66" t="s">
        <v>6559</v>
      </c>
      <c r="M305" s="66"/>
      <c r="N305" s="69" t="s">
        <v>7048</v>
      </c>
    </row>
    <row r="306" ht="15.75" customHeight="1">
      <c r="A306" s="56" t="str">
        <f>IFS($B306=FALSE,"",$B306,VLOOKUP($B306,'PATIENT DATA (072721)'!A:C, 2, 0))</f>
        <v>COOK, STEVE R</v>
      </c>
      <c r="B306" s="57">
        <v>15988.0</v>
      </c>
      <c r="C306" s="59">
        <v>17400.0</v>
      </c>
      <c r="D306" s="60">
        <v>44601.0</v>
      </c>
      <c r="E306" s="61">
        <v>0.5416666666666666</v>
      </c>
      <c r="F306" s="74" t="s">
        <v>6766</v>
      </c>
      <c r="G306" s="63" t="s">
        <v>6558</v>
      </c>
      <c r="H306" s="64" t="s">
        <v>6524</v>
      </c>
      <c r="I306" s="65" t="s">
        <v>6427</v>
      </c>
      <c r="J306" s="66"/>
      <c r="K306" s="66" t="s">
        <v>6559</v>
      </c>
      <c r="L306" s="66"/>
      <c r="M306" s="66"/>
      <c r="N306" s="69" t="s">
        <v>6523</v>
      </c>
    </row>
    <row r="307" ht="15.75" customHeight="1">
      <c r="A307" s="56" t="str">
        <f>IFS($B307=FALSE,"",$B307,VLOOKUP($B307,'PATIENT DATA (072721)'!A:C, 2, 0))</f>
        <v>HINOJOS, LIDIA</v>
      </c>
      <c r="B307" s="57">
        <v>16626.0</v>
      </c>
      <c r="C307" s="59">
        <v>22990.0</v>
      </c>
      <c r="D307" s="60">
        <v>44601.0</v>
      </c>
      <c r="E307" s="61">
        <v>0.5520833333333334</v>
      </c>
      <c r="F307" s="74" t="s">
        <v>6767</v>
      </c>
      <c r="G307" s="63" t="s">
        <v>6561</v>
      </c>
      <c r="H307" s="64" t="s">
        <v>6527</v>
      </c>
      <c r="I307" s="65" t="s">
        <v>6528</v>
      </c>
      <c r="J307" s="66" t="s">
        <v>6559</v>
      </c>
      <c r="K307" s="66"/>
      <c r="L307" s="66"/>
      <c r="M307" s="66"/>
      <c r="N307" s="69" t="s">
        <v>6525</v>
      </c>
    </row>
    <row r="308" ht="15.75" customHeight="1">
      <c r="A308" s="56" t="str">
        <f>IFS($B308=FALSE,"",$B308,VLOOKUP($B308,'PATIENT DATA (072721)'!A:C, 2, 0))</f>
        <v>NYGAARD, JILL</v>
      </c>
      <c r="B308" s="57">
        <v>13800.0</v>
      </c>
      <c r="C308" s="59">
        <v>21061.0</v>
      </c>
      <c r="D308" s="60">
        <v>44601.0</v>
      </c>
      <c r="E308" s="61">
        <v>0.5625</v>
      </c>
      <c r="F308" s="62" t="s">
        <v>6767</v>
      </c>
      <c r="G308" s="63" t="s">
        <v>6558</v>
      </c>
      <c r="H308" s="64" t="s">
        <v>6524</v>
      </c>
      <c r="I308" s="65" t="s">
        <v>6437</v>
      </c>
      <c r="J308" s="66"/>
      <c r="K308" s="66" t="s">
        <v>6559</v>
      </c>
      <c r="L308" s="66" t="s">
        <v>6559</v>
      </c>
      <c r="M308" s="66"/>
      <c r="N308" s="69" t="s">
        <v>7048</v>
      </c>
    </row>
    <row r="309" ht="15.75" customHeight="1">
      <c r="A309" s="56" t="str">
        <f>IFS($B309=FALSE,"",$B309,VLOOKUP($B309,'PATIENT DATA (072721)'!A:C, 2, 0))</f>
        <v>SALAZAR, ENRIQUE MARQUEZ</v>
      </c>
      <c r="B309" s="57">
        <v>15578.0</v>
      </c>
      <c r="C309" s="59">
        <v>24337.0</v>
      </c>
      <c r="D309" s="60">
        <v>44601.0</v>
      </c>
      <c r="E309" s="61">
        <v>0.5729166666666666</v>
      </c>
      <c r="F309" s="62" t="s">
        <v>6766</v>
      </c>
      <c r="G309" s="63" t="s">
        <v>6562</v>
      </c>
      <c r="H309" s="64" t="s">
        <v>6527</v>
      </c>
      <c r="I309" s="65" t="s">
        <v>6465</v>
      </c>
      <c r="J309" s="66"/>
      <c r="K309" s="66" t="s">
        <v>6559</v>
      </c>
      <c r="L309" s="66"/>
      <c r="M309" s="66"/>
      <c r="N309" s="69" t="s">
        <v>6523</v>
      </c>
    </row>
    <row r="310" ht="15.75" customHeight="1">
      <c r="A310" s="56" t="str">
        <f>IFS($B310=FALSE,"",$B310,VLOOKUP($B310,'PATIENT DATA (072721)'!A:C, 2, 0))</f>
        <v>KNIGHT SAPIEN, MONICA</v>
      </c>
      <c r="B310" s="57">
        <v>15971.0</v>
      </c>
      <c r="C310" s="59">
        <v>26266.0</v>
      </c>
      <c r="D310" s="60">
        <v>44601.0</v>
      </c>
      <c r="E310" s="61">
        <v>0.5729166666666666</v>
      </c>
      <c r="F310" s="62" t="s">
        <v>6767</v>
      </c>
      <c r="G310" s="63" t="s">
        <v>6558</v>
      </c>
      <c r="H310" s="64" t="s">
        <v>6521</v>
      </c>
      <c r="I310" s="65" t="s">
        <v>6437</v>
      </c>
      <c r="J310" s="66"/>
      <c r="K310" s="66" t="s">
        <v>6559</v>
      </c>
      <c r="L310" s="66"/>
      <c r="M310" s="66"/>
      <c r="N310" s="69" t="s">
        <v>7049</v>
      </c>
    </row>
    <row r="311" ht="15.75" customHeight="1">
      <c r="A311" s="56" t="str">
        <f>IFS($B311=FALSE,"",$B311,VLOOKUP($B311,'PATIENT DATA (072721)'!A:C, 2, 0))</f>
        <v>SALES, PATRICIA B</v>
      </c>
      <c r="B311" s="57">
        <v>18060.0</v>
      </c>
      <c r="C311" s="59">
        <v>19866.0</v>
      </c>
      <c r="D311" s="60">
        <v>44601.0</v>
      </c>
      <c r="E311" s="61">
        <v>0.5625</v>
      </c>
      <c r="F311" s="62" t="s">
        <v>6767</v>
      </c>
      <c r="G311" s="63" t="s">
        <v>6561</v>
      </c>
      <c r="H311" s="64" t="s">
        <v>6529</v>
      </c>
      <c r="I311" s="65" t="s">
        <v>6427</v>
      </c>
      <c r="J311" s="66" t="s">
        <v>6559</v>
      </c>
      <c r="K311" s="66"/>
      <c r="L311" s="66"/>
      <c r="M311" s="66"/>
      <c r="N311" s="69" t="s">
        <v>6525</v>
      </c>
    </row>
    <row r="312" ht="15.75" customHeight="1">
      <c r="A312" s="56" t="str">
        <f>IFS($B312=FALSE,"",$B312,VLOOKUP($B312,'PATIENT DATA (072721)'!A:C, 2, 0))</f>
        <v>BERMEA, IDA H</v>
      </c>
      <c r="B312" s="57">
        <v>16216.0</v>
      </c>
      <c r="C312" s="59">
        <v>25289.0</v>
      </c>
      <c r="D312" s="60">
        <v>44601.0</v>
      </c>
      <c r="E312" s="61">
        <v>0.59375</v>
      </c>
      <c r="F312" s="62" t="s">
        <v>6767</v>
      </c>
      <c r="G312" s="63" t="s">
        <v>6562</v>
      </c>
      <c r="H312" s="64" t="s">
        <v>6527</v>
      </c>
      <c r="I312" s="65" t="s">
        <v>6476</v>
      </c>
      <c r="J312" s="66" t="s">
        <v>6559</v>
      </c>
      <c r="K312" s="66"/>
      <c r="L312" s="66"/>
      <c r="M312" s="66"/>
      <c r="N312" s="69" t="s">
        <v>6525</v>
      </c>
    </row>
    <row r="313" ht="15.75" customHeight="1">
      <c r="A313" s="56" t="str">
        <f>IFS($B313=FALSE,"",$B313,VLOOKUP($B313,'PATIENT DATA (072721)'!A:C, 2, 0))</f>
        <v>PATINO, SILVIA</v>
      </c>
      <c r="B313" s="57">
        <v>16521.0</v>
      </c>
      <c r="C313" s="59">
        <v>19307.0</v>
      </c>
      <c r="D313" s="60">
        <v>44601.0</v>
      </c>
      <c r="E313" s="61">
        <v>0.59375</v>
      </c>
      <c r="F313" s="62" t="s">
        <v>6767</v>
      </c>
      <c r="G313" s="63" t="s">
        <v>6560</v>
      </c>
      <c r="H313" s="64" t="s">
        <v>6524</v>
      </c>
      <c r="I313" s="65" t="s">
        <v>6379</v>
      </c>
      <c r="J313" s="66"/>
      <c r="K313" s="66" t="s">
        <v>6559</v>
      </c>
      <c r="L313" s="66"/>
      <c r="M313" s="66"/>
      <c r="N313" s="69" t="s">
        <v>6523</v>
      </c>
    </row>
    <row r="314" ht="15.75" customHeight="1">
      <c r="A314" s="56" t="str">
        <f>IFS($B314=FALSE,"",$B314,VLOOKUP($B314,'PATIENT DATA (072721)'!A:C, 2, 0))</f>
        <v>LICHARD, JESSY</v>
      </c>
      <c r="B314" s="57">
        <v>9892.0</v>
      </c>
      <c r="C314" s="59">
        <v>24543.0</v>
      </c>
      <c r="D314" s="60">
        <v>44601.0</v>
      </c>
      <c r="E314" s="61">
        <v>0.59375</v>
      </c>
      <c r="F314" s="62" t="s">
        <v>6766</v>
      </c>
      <c r="G314" s="63" t="s">
        <v>6558</v>
      </c>
      <c r="H314" s="64" t="s">
        <v>6521</v>
      </c>
      <c r="I314" s="65" t="s">
        <v>6489</v>
      </c>
      <c r="J314" s="66"/>
      <c r="K314" s="66" t="s">
        <v>6559</v>
      </c>
      <c r="L314" s="66" t="s">
        <v>6559</v>
      </c>
      <c r="M314" s="66"/>
      <c r="N314" s="69" t="s">
        <v>6519</v>
      </c>
    </row>
    <row r="315" ht="15.75" customHeight="1">
      <c r="A315" s="56" t="str">
        <f>IFS($B315=FALSE,"",$B315,VLOOKUP($B315,'PATIENT DATA (072721)'!A:C, 2, 0))</f>
        <v>ALLVILLAR, LUZ E</v>
      </c>
      <c r="B315" s="57">
        <v>18022.0</v>
      </c>
      <c r="C315" s="59">
        <v>19421.0</v>
      </c>
      <c r="D315" s="60">
        <v>44601.0</v>
      </c>
      <c r="E315" s="61">
        <v>0.59375</v>
      </c>
      <c r="F315" s="62" t="s">
        <v>6767</v>
      </c>
      <c r="G315" s="63" t="s">
        <v>6562</v>
      </c>
      <c r="H315" s="64" t="s">
        <v>6529</v>
      </c>
      <c r="I315" s="65" t="s">
        <v>6486</v>
      </c>
      <c r="J315" s="66" t="s">
        <v>6559</v>
      </c>
      <c r="K315" s="66"/>
      <c r="L315" s="66"/>
      <c r="M315" s="66" t="s">
        <v>6792</v>
      </c>
      <c r="N315" s="69" t="s">
        <v>7050</v>
      </c>
    </row>
    <row r="316" ht="15.75" customHeight="1">
      <c r="A316" s="56" t="str">
        <f>IFS($B316=FALSE,"",$B316,VLOOKUP($B316,'PATIENT DATA (072721)'!A:C, 2, 0))</f>
        <v>ONTIVEROS, CARMEN D</v>
      </c>
      <c r="B316" s="57">
        <v>13848.0</v>
      </c>
      <c r="C316" s="59">
        <v>16483.0</v>
      </c>
      <c r="D316" s="60">
        <v>44601.0</v>
      </c>
      <c r="E316" s="61">
        <v>0.6041666666666666</v>
      </c>
      <c r="F316" s="62" t="s">
        <v>6767</v>
      </c>
      <c r="G316" s="63" t="s">
        <v>6560</v>
      </c>
      <c r="H316" s="64" t="s">
        <v>6524</v>
      </c>
      <c r="I316" s="65" t="s">
        <v>6480</v>
      </c>
      <c r="J316" s="66"/>
      <c r="K316" s="66" t="s">
        <v>6559</v>
      </c>
      <c r="L316" s="66"/>
      <c r="M316" s="66"/>
      <c r="N316" s="69" t="s">
        <v>7049</v>
      </c>
    </row>
    <row r="317" ht="15.75" customHeight="1">
      <c r="A317" s="56" t="str">
        <f>IFS($B317=FALSE,"",$B317,VLOOKUP($B317,'PATIENT DATA (072721)'!A:C, 2, 0))</f>
        <v>OLVERA, CONCEPCION</v>
      </c>
      <c r="B317" s="77">
        <v>16829.0</v>
      </c>
      <c r="C317" s="59">
        <v>25909.0</v>
      </c>
      <c r="D317" s="60">
        <v>44601.0</v>
      </c>
      <c r="E317" s="61">
        <v>0.6041666666666666</v>
      </c>
      <c r="F317" s="82" t="s">
        <v>6767</v>
      </c>
      <c r="G317" s="83" t="s">
        <v>6561</v>
      </c>
      <c r="H317" s="64" t="s">
        <v>6527</v>
      </c>
      <c r="I317" s="65" t="s">
        <v>7051</v>
      </c>
      <c r="J317" s="86" t="s">
        <v>6559</v>
      </c>
      <c r="K317" s="86"/>
      <c r="L317" s="86"/>
      <c r="M317" s="86"/>
      <c r="N317" s="69" t="s">
        <v>6525</v>
      </c>
    </row>
    <row r="318" ht="15.75" customHeight="1">
      <c r="A318" s="56" t="str">
        <f>IFS($B318=FALSE,"",$B318,VLOOKUP($B318,'PATIENT DATA (072721)'!A:C, 2, 0))</f>
        <v>SOLIZ, MARTHA</v>
      </c>
      <c r="B318" s="57">
        <v>11670.0</v>
      </c>
      <c r="C318" s="59">
        <v>20486.0</v>
      </c>
      <c r="D318" s="60">
        <v>44601.0</v>
      </c>
      <c r="E318" s="61">
        <v>0.4270833333333333</v>
      </c>
      <c r="F318" s="74" t="s">
        <v>6767</v>
      </c>
      <c r="G318" s="63" t="s">
        <v>6562</v>
      </c>
      <c r="H318" s="64" t="s">
        <v>6527</v>
      </c>
      <c r="I318" s="65" t="s">
        <v>6486</v>
      </c>
      <c r="J318" s="66"/>
      <c r="K318" s="66" t="s">
        <v>6559</v>
      </c>
      <c r="L318" s="66" t="s">
        <v>6559</v>
      </c>
      <c r="M318" s="66"/>
      <c r="N318" s="69" t="s">
        <v>7048</v>
      </c>
    </row>
    <row r="319" ht="15.75" customHeight="1">
      <c r="A319" s="56" t="str">
        <f>IFS($B319=FALSE,"",$B319,VLOOKUP($B319,'PATIENT DATA (072721)'!A:C, 2, 0))</f>
        <v>DEIMERLY, LISA B</v>
      </c>
      <c r="B319" s="57">
        <v>17105.0</v>
      </c>
      <c r="C319" s="59">
        <v>25263.0</v>
      </c>
      <c r="D319" s="60">
        <v>44601.0</v>
      </c>
      <c r="E319" s="61">
        <v>0.4583333333333333</v>
      </c>
      <c r="F319" s="74" t="s">
        <v>6767</v>
      </c>
      <c r="G319" s="63" t="s">
        <v>6561</v>
      </c>
      <c r="H319" s="64" t="s">
        <v>6527</v>
      </c>
      <c r="I319" s="65" t="s">
        <v>6381</v>
      </c>
      <c r="J319" s="66"/>
      <c r="K319" s="66" t="s">
        <v>6559</v>
      </c>
      <c r="L319" s="66"/>
      <c r="M319" s="66"/>
      <c r="N319" s="69" t="s">
        <v>6523</v>
      </c>
    </row>
    <row r="320" ht="15.75" customHeight="1">
      <c r="A320" s="56" t="str">
        <f>IFS($B320=FALSE,"",$B320,VLOOKUP($B320,'PATIENT DATA (072721)'!A:C, 2, 0))</f>
        <v>EICHHORN, CATHERINE E</v>
      </c>
      <c r="B320" s="57">
        <v>16027.0</v>
      </c>
      <c r="C320" s="59">
        <v>30414.0</v>
      </c>
      <c r="D320" s="60">
        <v>44601.0</v>
      </c>
      <c r="E320" s="61">
        <v>0.46875</v>
      </c>
      <c r="F320" s="74" t="s">
        <v>6767</v>
      </c>
      <c r="G320" s="63" t="s">
        <v>6561</v>
      </c>
      <c r="H320" s="64" t="s">
        <v>6527</v>
      </c>
      <c r="I320" s="65" t="s">
        <v>6393</v>
      </c>
      <c r="J320" s="66"/>
      <c r="K320" s="66" t="s">
        <v>6559</v>
      </c>
      <c r="L320" s="66"/>
      <c r="M320" s="66"/>
      <c r="N320" s="69" t="s">
        <v>6523</v>
      </c>
    </row>
    <row r="321" ht="15.75" customHeight="1">
      <c r="A321" s="56" t="str">
        <f>IFS($B321=FALSE,"",$B321,VLOOKUP($B321,'PATIENT DATA (072721)'!A:C, 2, 0))</f>
        <v>MENDEZ, SOCORRO</v>
      </c>
      <c r="B321" s="57">
        <v>18037.0</v>
      </c>
      <c r="C321" s="59">
        <v>20346.0</v>
      </c>
      <c r="D321" s="60">
        <v>44601.0</v>
      </c>
      <c r="E321" s="61">
        <v>0.46875</v>
      </c>
      <c r="F321" s="74" t="s">
        <v>6767</v>
      </c>
      <c r="G321" s="63" t="s">
        <v>6562</v>
      </c>
      <c r="H321" s="64" t="s">
        <v>6529</v>
      </c>
      <c r="I321" s="65" t="s">
        <v>6486</v>
      </c>
      <c r="J321" s="66" t="s">
        <v>6559</v>
      </c>
      <c r="K321" s="66"/>
      <c r="L321" s="66"/>
      <c r="M321" s="66"/>
      <c r="N321" s="69" t="s">
        <v>7047</v>
      </c>
    </row>
    <row r="322" ht="15.75" customHeight="1">
      <c r="A322" s="56" t="str">
        <f>IFS($B322=FALSE,"",$B322,VLOOKUP($B322,'PATIENT DATA (072721)'!A:C, 2, 0))</f>
        <v>ORTEGA, DOLORES</v>
      </c>
      <c r="B322" s="57">
        <v>15556.0</v>
      </c>
      <c r="C322" s="59">
        <v>12814.0</v>
      </c>
      <c r="D322" s="60">
        <v>44601.0</v>
      </c>
      <c r="E322" s="61">
        <v>0.5833333333333334</v>
      </c>
      <c r="F322" s="74" t="s">
        <v>6767</v>
      </c>
      <c r="G322" s="63" t="s">
        <v>6558</v>
      </c>
      <c r="H322" s="64" t="s">
        <v>6521</v>
      </c>
      <c r="I322" s="65" t="s">
        <v>6479</v>
      </c>
      <c r="J322" s="66"/>
      <c r="K322" s="66" t="s">
        <v>6559</v>
      </c>
      <c r="L322" s="66"/>
      <c r="M322" s="66"/>
      <c r="N322" s="69" t="s">
        <v>7049</v>
      </c>
    </row>
    <row r="323" ht="15.75" customHeight="1">
      <c r="A323" s="56" t="str">
        <f>IFS($B323=FALSE,"",$B323,VLOOKUP($B323,'PATIENT DATA (072721)'!A:C, 2, 0))</f>
        <v>SOSA, LILIA V</v>
      </c>
      <c r="B323" s="57">
        <v>17492.0</v>
      </c>
      <c r="C323" s="59">
        <v>14490.0</v>
      </c>
      <c r="D323" s="60">
        <v>44601.0</v>
      </c>
      <c r="E323" s="61">
        <v>0.5729166666666666</v>
      </c>
      <c r="F323" s="74" t="s">
        <v>6767</v>
      </c>
      <c r="G323" s="63" t="s">
        <v>6558</v>
      </c>
      <c r="H323" s="64" t="s">
        <v>6521</v>
      </c>
      <c r="I323" s="65" t="s">
        <v>6483</v>
      </c>
      <c r="J323" s="66"/>
      <c r="K323" s="66" t="s">
        <v>6559</v>
      </c>
      <c r="L323" s="66"/>
      <c r="M323" s="66"/>
      <c r="N323" s="69" t="s">
        <v>7049</v>
      </c>
    </row>
    <row r="324" ht="15.75" customHeight="1">
      <c r="A324" s="56" t="str">
        <f>IFS($B324=FALSE,"",$B324,VLOOKUP($B324,'PATIENT DATA (072721)'!A:C, 2, 0))</f>
        <v>LIRA, MARTHA</v>
      </c>
      <c r="B324" s="57">
        <v>16937.0</v>
      </c>
      <c r="C324" s="59">
        <v>22909.0</v>
      </c>
      <c r="D324" s="60">
        <v>44601.0</v>
      </c>
      <c r="E324" s="61">
        <v>0.625</v>
      </c>
      <c r="F324" s="74" t="s">
        <v>6767</v>
      </c>
      <c r="G324" s="63" t="s">
        <v>6560</v>
      </c>
      <c r="H324" s="64" t="s">
        <v>6524</v>
      </c>
      <c r="I324" s="65" t="s">
        <v>6432</v>
      </c>
      <c r="J324" s="66"/>
      <c r="K324" s="66" t="s">
        <v>6559</v>
      </c>
      <c r="L324" s="66"/>
      <c r="M324" s="66" t="s">
        <v>6792</v>
      </c>
      <c r="N324" s="69" t="s">
        <v>7050</v>
      </c>
    </row>
    <row r="325" ht="15.75" customHeight="1">
      <c r="A325" s="56" t="str">
        <f>IFS($B325=FALSE,"",$B325,VLOOKUP($B325,'PATIENT DATA (072721)'!A:C, 2, 0))</f>
        <v>YANEZ, THELMA</v>
      </c>
      <c r="B325" s="57">
        <v>12902.0</v>
      </c>
      <c r="C325" s="59">
        <v>22034.0</v>
      </c>
      <c r="D325" s="60">
        <v>44601.0</v>
      </c>
      <c r="E325" s="61">
        <v>0.6145833333333334</v>
      </c>
      <c r="F325" s="74" t="s">
        <v>6767</v>
      </c>
      <c r="G325" s="63" t="s">
        <v>6560</v>
      </c>
      <c r="H325" s="64" t="s">
        <v>6524</v>
      </c>
      <c r="I325" s="65" t="s">
        <v>6381</v>
      </c>
      <c r="J325" s="66"/>
      <c r="K325" s="66" t="s">
        <v>6559</v>
      </c>
      <c r="L325" s="66"/>
      <c r="M325" s="66"/>
      <c r="N325" s="69" t="s">
        <v>6523</v>
      </c>
    </row>
    <row r="326" ht="15.75" customHeight="1">
      <c r="A326" s="256" t="s">
        <v>101</v>
      </c>
      <c r="B326" s="257">
        <v>9245.0</v>
      </c>
      <c r="C326" s="258">
        <v>16580.0</v>
      </c>
      <c r="D326" s="259">
        <v>44602.0</v>
      </c>
      <c r="E326" s="260">
        <v>0.3333333333333333</v>
      </c>
      <c r="F326" s="261" t="s">
        <v>6767</v>
      </c>
      <c r="G326" s="262" t="s">
        <v>6560</v>
      </c>
      <c r="H326" s="263" t="s">
        <v>6524</v>
      </c>
      <c r="I326" s="264" t="s">
        <v>6384</v>
      </c>
      <c r="J326" s="265"/>
      <c r="K326" s="266" t="s">
        <v>6559</v>
      </c>
      <c r="L326" s="261" t="s">
        <v>6559</v>
      </c>
      <c r="M326" s="267"/>
      <c r="N326" s="268" t="s">
        <v>6519</v>
      </c>
    </row>
    <row r="327" ht="15.75" customHeight="1">
      <c r="A327" s="269" t="s">
        <v>1346</v>
      </c>
      <c r="B327" s="270">
        <v>12264.0</v>
      </c>
      <c r="C327" s="271">
        <v>13630.0</v>
      </c>
      <c r="D327" s="272">
        <v>44602.0</v>
      </c>
      <c r="E327" s="273">
        <v>0.3333333333333333</v>
      </c>
      <c r="F327" s="274" t="s">
        <v>6766</v>
      </c>
      <c r="G327" s="274" t="s">
        <v>6560</v>
      </c>
      <c r="H327" s="274" t="s">
        <v>6524</v>
      </c>
      <c r="I327" s="274" t="s">
        <v>6479</v>
      </c>
      <c r="J327" s="265"/>
      <c r="K327" s="266" t="s">
        <v>6559</v>
      </c>
      <c r="L327" s="261" t="s">
        <v>6559</v>
      </c>
      <c r="M327" s="275"/>
      <c r="N327" s="276" t="s">
        <v>7048</v>
      </c>
    </row>
    <row r="328" ht="15.75" customHeight="1">
      <c r="A328" s="277" t="e">
        <v>#N/A</v>
      </c>
      <c r="B328" s="270">
        <v>18085.0</v>
      </c>
      <c r="C328" s="278" t="e">
        <v>#N/A</v>
      </c>
      <c r="D328" s="272">
        <v>44602.0</v>
      </c>
      <c r="E328" s="273">
        <v>0.34375</v>
      </c>
      <c r="F328" s="274" t="s">
        <v>6766</v>
      </c>
      <c r="G328" s="274" t="s">
        <v>6561</v>
      </c>
      <c r="H328" s="274" t="s">
        <v>6529</v>
      </c>
      <c r="I328" s="274" t="s">
        <v>6479</v>
      </c>
      <c r="J328" s="279" t="s">
        <v>6559</v>
      </c>
      <c r="K328" s="265"/>
      <c r="L328" s="265"/>
      <c r="M328" s="275"/>
      <c r="N328" s="280" t="s">
        <v>7047</v>
      </c>
    </row>
    <row r="329" ht="15.75" customHeight="1">
      <c r="A329" s="269" t="s">
        <v>3726</v>
      </c>
      <c r="B329" s="270">
        <v>15309.0</v>
      </c>
      <c r="C329" s="271">
        <v>22714.0</v>
      </c>
      <c r="D329" s="272">
        <v>44602.0</v>
      </c>
      <c r="E329" s="273">
        <v>0.3541666666666667</v>
      </c>
      <c r="F329" s="274" t="s">
        <v>6766</v>
      </c>
      <c r="G329" s="274" t="s">
        <v>6562</v>
      </c>
      <c r="H329" s="274" t="s">
        <v>6529</v>
      </c>
      <c r="I329" s="274" t="s">
        <v>6482</v>
      </c>
      <c r="J329" s="265"/>
      <c r="K329" s="266" t="s">
        <v>6559</v>
      </c>
      <c r="L329" s="261" t="s">
        <v>6559</v>
      </c>
      <c r="M329" s="275"/>
      <c r="N329" s="276" t="s">
        <v>7048</v>
      </c>
    </row>
    <row r="330" ht="15.75" customHeight="1">
      <c r="A330" s="281" t="s">
        <v>2982</v>
      </c>
      <c r="B330" s="282">
        <v>14406.0</v>
      </c>
      <c r="C330" s="283">
        <v>28161.0</v>
      </c>
      <c r="D330" s="284">
        <v>44602.0</v>
      </c>
      <c r="E330" s="285">
        <v>0.34375</v>
      </c>
      <c r="F330" s="279" t="s">
        <v>6766</v>
      </c>
      <c r="G330" s="279" t="s">
        <v>6560</v>
      </c>
      <c r="H330" s="279" t="s">
        <v>6524</v>
      </c>
      <c r="I330" s="279" t="s">
        <v>6438</v>
      </c>
      <c r="J330" s="265"/>
      <c r="K330" s="266" t="s">
        <v>6559</v>
      </c>
      <c r="L330" s="265"/>
      <c r="M330" s="286"/>
      <c r="N330" s="287" t="s">
        <v>6523</v>
      </c>
    </row>
    <row r="331" ht="15.75" customHeight="1">
      <c r="A331" s="269" t="s">
        <v>411</v>
      </c>
      <c r="B331" s="270">
        <v>10101.0</v>
      </c>
      <c r="C331" s="271">
        <v>21656.0</v>
      </c>
      <c r="D331" s="272">
        <v>44602.0</v>
      </c>
      <c r="E331" s="273">
        <v>0.3125</v>
      </c>
      <c r="F331" s="274" t="s">
        <v>6766</v>
      </c>
      <c r="G331" s="274" t="s">
        <v>6558</v>
      </c>
      <c r="H331" s="274" t="s">
        <v>6529</v>
      </c>
      <c r="I331" s="274" t="s">
        <v>6486</v>
      </c>
      <c r="J331" s="265"/>
      <c r="K331" s="266" t="s">
        <v>6559</v>
      </c>
      <c r="L331" s="265"/>
      <c r="M331" s="275"/>
      <c r="N331" s="288" t="s">
        <v>7049</v>
      </c>
    </row>
    <row r="332" ht="15.75" customHeight="1">
      <c r="A332" s="256" t="s">
        <v>3532</v>
      </c>
      <c r="B332" s="257">
        <v>15075.0</v>
      </c>
      <c r="C332" s="258">
        <v>19774.0</v>
      </c>
      <c r="D332" s="259">
        <v>44602.0</v>
      </c>
      <c r="E332" s="260">
        <v>0.3541666666666667</v>
      </c>
      <c r="F332" s="261" t="s">
        <v>6767</v>
      </c>
      <c r="G332" s="262" t="s">
        <v>6560</v>
      </c>
      <c r="H332" s="263" t="s">
        <v>6524</v>
      </c>
      <c r="I332" s="264" t="s">
        <v>6427</v>
      </c>
      <c r="J332" s="265"/>
      <c r="K332" s="266" t="s">
        <v>6559</v>
      </c>
      <c r="L332" s="265"/>
      <c r="M332" s="267"/>
      <c r="N332" s="287" t="s">
        <v>6523</v>
      </c>
    </row>
    <row r="333" ht="15.75" customHeight="1">
      <c r="A333" s="256" t="s">
        <v>4160</v>
      </c>
      <c r="B333" s="257">
        <v>15803.0</v>
      </c>
      <c r="C333" s="258">
        <v>23681.0</v>
      </c>
      <c r="D333" s="259">
        <v>44602.0</v>
      </c>
      <c r="E333" s="260">
        <v>0.3333333333333333</v>
      </c>
      <c r="F333" s="261" t="s">
        <v>6767</v>
      </c>
      <c r="G333" s="262" t="s">
        <v>6558</v>
      </c>
      <c r="H333" s="263" t="s">
        <v>6521</v>
      </c>
      <c r="I333" s="264" t="s">
        <v>6410</v>
      </c>
      <c r="J333" s="265"/>
      <c r="K333" s="266" t="s">
        <v>6559</v>
      </c>
      <c r="L333" s="261" t="s">
        <v>6559</v>
      </c>
      <c r="M333" s="267"/>
      <c r="N333" s="268" t="s">
        <v>6519</v>
      </c>
    </row>
    <row r="334" ht="15.75" customHeight="1">
      <c r="A334" s="256" t="s">
        <v>1422</v>
      </c>
      <c r="B334" s="257">
        <v>12381.0</v>
      </c>
      <c r="C334" s="258">
        <v>26666.0</v>
      </c>
      <c r="D334" s="259">
        <v>44602.0</v>
      </c>
      <c r="E334" s="260">
        <v>0.3645833333333333</v>
      </c>
      <c r="F334" s="261" t="s">
        <v>6767</v>
      </c>
      <c r="G334" s="262" t="s">
        <v>6562</v>
      </c>
      <c r="H334" s="263" t="s">
        <v>6527</v>
      </c>
      <c r="I334" s="264" t="s">
        <v>6385</v>
      </c>
      <c r="J334" s="265"/>
      <c r="K334" s="266" t="s">
        <v>6559</v>
      </c>
      <c r="L334" s="265"/>
      <c r="M334" s="267"/>
      <c r="N334" s="287" t="s">
        <v>6523</v>
      </c>
    </row>
    <row r="335" ht="15.75" customHeight="1">
      <c r="A335" s="256" t="s">
        <v>4230</v>
      </c>
      <c r="B335" s="257">
        <v>15879.0</v>
      </c>
      <c r="C335" s="258">
        <v>28372.0</v>
      </c>
      <c r="D335" s="259">
        <v>44602.0</v>
      </c>
      <c r="E335" s="260">
        <v>0.375</v>
      </c>
      <c r="F335" s="261" t="s">
        <v>6766</v>
      </c>
      <c r="G335" s="262" t="s">
        <v>6560</v>
      </c>
      <c r="H335" s="263" t="s">
        <v>6524</v>
      </c>
      <c r="I335" s="264" t="s">
        <v>6489</v>
      </c>
      <c r="J335" s="265"/>
      <c r="K335" s="266" t="s">
        <v>6559</v>
      </c>
      <c r="L335" s="265"/>
      <c r="M335" s="267"/>
      <c r="N335" s="287" t="s">
        <v>6523</v>
      </c>
    </row>
    <row r="336" ht="15.75" customHeight="1">
      <c r="A336" s="269" t="s">
        <v>1272</v>
      </c>
      <c r="B336" s="270">
        <v>12102.0</v>
      </c>
      <c r="C336" s="271">
        <v>17055.0</v>
      </c>
      <c r="D336" s="272">
        <v>44602.0</v>
      </c>
      <c r="E336" s="273">
        <v>0.3541666666666667</v>
      </c>
      <c r="F336" s="274" t="s">
        <v>6767</v>
      </c>
      <c r="G336" s="274" t="s">
        <v>6558</v>
      </c>
      <c r="H336" s="274" t="s">
        <v>6521</v>
      </c>
      <c r="I336" s="274" t="s">
        <v>6479</v>
      </c>
      <c r="J336" s="265"/>
      <c r="K336" s="266" t="s">
        <v>6559</v>
      </c>
      <c r="L336" s="265"/>
      <c r="M336" s="275"/>
      <c r="N336" s="288" t="s">
        <v>7049</v>
      </c>
    </row>
    <row r="337" ht="15.75" customHeight="1">
      <c r="A337" s="269" t="s">
        <v>148</v>
      </c>
      <c r="B337" s="270">
        <v>9378.0</v>
      </c>
      <c r="C337" s="271">
        <v>15869.0</v>
      </c>
      <c r="D337" s="272">
        <v>44602.0</v>
      </c>
      <c r="E337" s="273">
        <v>0.3854166666666667</v>
      </c>
      <c r="F337" s="274" t="s">
        <v>6767</v>
      </c>
      <c r="G337" s="274" t="s">
        <v>6561</v>
      </c>
      <c r="H337" s="274" t="s">
        <v>6527</v>
      </c>
      <c r="I337" s="274" t="s">
        <v>6479</v>
      </c>
      <c r="J337" s="265"/>
      <c r="K337" s="266" t="s">
        <v>6559</v>
      </c>
      <c r="L337" s="265"/>
      <c r="M337" s="275"/>
      <c r="N337" s="288" t="s">
        <v>7049</v>
      </c>
    </row>
    <row r="338" ht="15.75" customHeight="1">
      <c r="A338" s="269" t="s">
        <v>557</v>
      </c>
      <c r="B338" s="270">
        <v>10467.0</v>
      </c>
      <c r="C338" s="271">
        <v>18038.0</v>
      </c>
      <c r="D338" s="272">
        <v>44602.0</v>
      </c>
      <c r="E338" s="273">
        <v>0.4583333333333333</v>
      </c>
      <c r="F338" s="274" t="s">
        <v>6767</v>
      </c>
      <c r="G338" s="274" t="s">
        <v>6558</v>
      </c>
      <c r="H338" s="274" t="s">
        <v>6521</v>
      </c>
      <c r="I338" s="274" t="s">
        <v>6486</v>
      </c>
      <c r="J338" s="265"/>
      <c r="K338" s="266" t="s">
        <v>6559</v>
      </c>
      <c r="L338" s="265"/>
      <c r="M338" s="275"/>
      <c r="N338" s="288" t="s">
        <v>7049</v>
      </c>
    </row>
    <row r="339" ht="15.75" customHeight="1">
      <c r="A339" s="256" t="s">
        <v>3305</v>
      </c>
      <c r="B339" s="257">
        <v>14802.0</v>
      </c>
      <c r="C339" s="258">
        <v>33158.0</v>
      </c>
      <c r="D339" s="259">
        <v>44602.0</v>
      </c>
      <c r="E339" s="260">
        <v>0.3958333333333333</v>
      </c>
      <c r="F339" s="261" t="s">
        <v>6767</v>
      </c>
      <c r="G339" s="262" t="s">
        <v>6558</v>
      </c>
      <c r="H339" s="263" t="s">
        <v>6521</v>
      </c>
      <c r="I339" s="264" t="s">
        <v>6416</v>
      </c>
      <c r="J339" s="265"/>
      <c r="K339" s="266" t="s">
        <v>6559</v>
      </c>
      <c r="L339" s="265"/>
      <c r="M339" s="267"/>
      <c r="N339" s="287" t="s">
        <v>6523</v>
      </c>
    </row>
    <row r="340" ht="15.75" customHeight="1">
      <c r="A340" s="289" t="e">
        <v>#N/A</v>
      </c>
      <c r="B340" s="257">
        <v>18080.0</v>
      </c>
      <c r="C340" s="290" t="e">
        <v>#N/A</v>
      </c>
      <c r="D340" s="259">
        <v>44602.0</v>
      </c>
      <c r="E340" s="260">
        <v>0.3958333333333333</v>
      </c>
      <c r="F340" s="261" t="s">
        <v>6766</v>
      </c>
      <c r="G340" s="262" t="s">
        <v>6562</v>
      </c>
      <c r="H340" s="263" t="s">
        <v>6529</v>
      </c>
      <c r="I340" s="264" t="s">
        <v>6427</v>
      </c>
      <c r="J340" s="279" t="s">
        <v>6559</v>
      </c>
      <c r="K340" s="265"/>
      <c r="L340" s="265"/>
      <c r="M340" s="267"/>
      <c r="N340" s="291" t="s">
        <v>6525</v>
      </c>
    </row>
    <row r="341" ht="15.75" customHeight="1">
      <c r="A341" s="256" t="s">
        <v>177</v>
      </c>
      <c r="B341" s="257">
        <v>9479.0</v>
      </c>
      <c r="C341" s="258">
        <v>19225.0</v>
      </c>
      <c r="D341" s="259">
        <v>44602.0</v>
      </c>
      <c r="E341" s="260">
        <v>0.3958333333333333</v>
      </c>
      <c r="F341" s="261" t="s">
        <v>6767</v>
      </c>
      <c r="G341" s="262" t="s">
        <v>6560</v>
      </c>
      <c r="H341" s="263" t="s">
        <v>6524</v>
      </c>
      <c r="I341" s="264" t="s">
        <v>6427</v>
      </c>
      <c r="J341" s="265"/>
      <c r="K341" s="266" t="s">
        <v>6559</v>
      </c>
      <c r="L341" s="265"/>
      <c r="M341" s="267"/>
      <c r="N341" s="287" t="s">
        <v>6523</v>
      </c>
    </row>
    <row r="342" ht="15.75" customHeight="1">
      <c r="A342" s="256" t="s">
        <v>2762</v>
      </c>
      <c r="B342" s="257">
        <v>14126.0</v>
      </c>
      <c r="C342" s="258">
        <v>18823.0</v>
      </c>
      <c r="D342" s="259">
        <v>44602.0</v>
      </c>
      <c r="E342" s="260">
        <v>0.40625</v>
      </c>
      <c r="F342" s="261" t="s">
        <v>6766</v>
      </c>
      <c r="G342" s="262" t="s">
        <v>6560</v>
      </c>
      <c r="H342" s="263" t="s">
        <v>6524</v>
      </c>
      <c r="I342" s="264" t="s">
        <v>6489</v>
      </c>
      <c r="J342" s="265"/>
      <c r="K342" s="266" t="s">
        <v>6559</v>
      </c>
      <c r="L342" s="265"/>
      <c r="M342" s="267"/>
      <c r="N342" s="287" t="s">
        <v>6523</v>
      </c>
    </row>
    <row r="343" ht="15.75" customHeight="1">
      <c r="A343" s="256" t="s">
        <v>1113</v>
      </c>
      <c r="B343" s="257">
        <v>11792.0</v>
      </c>
      <c r="C343" s="258">
        <v>20872.0</v>
      </c>
      <c r="D343" s="259">
        <v>44602.0</v>
      </c>
      <c r="E343" s="260">
        <v>0.34375</v>
      </c>
      <c r="F343" s="261" t="s">
        <v>6767</v>
      </c>
      <c r="G343" s="262" t="s">
        <v>6558</v>
      </c>
      <c r="H343" s="263" t="s">
        <v>6521</v>
      </c>
      <c r="I343" s="264" t="s">
        <v>6427</v>
      </c>
      <c r="J343" s="265"/>
      <c r="K343" s="266" t="s">
        <v>6559</v>
      </c>
      <c r="L343" s="261" t="s">
        <v>6559</v>
      </c>
      <c r="M343" s="267"/>
      <c r="N343" s="268" t="s">
        <v>6519</v>
      </c>
    </row>
    <row r="344" ht="15.75" customHeight="1">
      <c r="A344" s="256" t="s">
        <v>2249</v>
      </c>
      <c r="B344" s="257">
        <v>13466.0</v>
      </c>
      <c r="C344" s="258">
        <v>26953.0</v>
      </c>
      <c r="D344" s="259">
        <v>44602.0</v>
      </c>
      <c r="E344" s="260">
        <v>0.4270833333333333</v>
      </c>
      <c r="F344" s="261" t="s">
        <v>6767</v>
      </c>
      <c r="G344" s="262" t="s">
        <v>6558</v>
      </c>
      <c r="H344" s="263" t="s">
        <v>6521</v>
      </c>
      <c r="I344" s="264" t="s">
        <v>6476</v>
      </c>
      <c r="J344" s="265"/>
      <c r="K344" s="266" t="s">
        <v>6559</v>
      </c>
      <c r="L344" s="265"/>
      <c r="M344" s="267"/>
      <c r="N344" s="287" t="s">
        <v>6523</v>
      </c>
    </row>
    <row r="345" ht="15.75" customHeight="1">
      <c r="A345" s="292" t="s">
        <v>436</v>
      </c>
      <c r="B345" s="293">
        <v>10164.0</v>
      </c>
      <c r="C345" s="294">
        <v>21050.0</v>
      </c>
      <c r="D345" s="295">
        <v>44602.0</v>
      </c>
      <c r="E345" s="296">
        <v>0.375</v>
      </c>
      <c r="F345" s="297" t="s">
        <v>6767</v>
      </c>
      <c r="G345" s="297" t="s">
        <v>6560</v>
      </c>
      <c r="H345" s="297" t="s">
        <v>6524</v>
      </c>
      <c r="I345" s="297" t="s">
        <v>6432</v>
      </c>
      <c r="J345" s="265"/>
      <c r="K345" s="266" t="s">
        <v>6559</v>
      </c>
      <c r="L345" s="261" t="s">
        <v>6559</v>
      </c>
      <c r="M345" s="298"/>
      <c r="N345" s="276" t="s">
        <v>7048</v>
      </c>
    </row>
    <row r="346" ht="15.75" customHeight="1">
      <c r="A346" s="269" t="s">
        <v>7052</v>
      </c>
      <c r="B346" s="270">
        <v>11187.0</v>
      </c>
      <c r="C346" s="271">
        <v>22577.0</v>
      </c>
      <c r="D346" s="272">
        <v>44602.0</v>
      </c>
      <c r="E346" s="273">
        <v>0.3958333333333333</v>
      </c>
      <c r="F346" s="274" t="s">
        <v>6767</v>
      </c>
      <c r="G346" s="274" t="s">
        <v>6561</v>
      </c>
      <c r="H346" s="274" t="s">
        <v>6529</v>
      </c>
      <c r="I346" s="274" t="s">
        <v>6480</v>
      </c>
      <c r="J346" s="279" t="s">
        <v>6559</v>
      </c>
      <c r="K346" s="265"/>
      <c r="L346" s="265"/>
      <c r="M346" s="275"/>
      <c r="N346" s="280" t="s">
        <v>7047</v>
      </c>
    </row>
    <row r="347" ht="15.75" customHeight="1">
      <c r="A347" s="256" t="s">
        <v>4485</v>
      </c>
      <c r="B347" s="257">
        <v>16175.0</v>
      </c>
      <c r="C347" s="258">
        <v>15210.0</v>
      </c>
      <c r="D347" s="259">
        <v>44602.0</v>
      </c>
      <c r="E347" s="260">
        <v>0.3958333333333333</v>
      </c>
      <c r="F347" s="261" t="s">
        <v>6767</v>
      </c>
      <c r="G347" s="262" t="s">
        <v>6561</v>
      </c>
      <c r="H347" s="263" t="s">
        <v>6529</v>
      </c>
      <c r="I347" s="264" t="s">
        <v>6427</v>
      </c>
      <c r="J347" s="279" t="s">
        <v>6559</v>
      </c>
      <c r="K347" s="265"/>
      <c r="L347" s="265"/>
      <c r="M347" s="267"/>
      <c r="N347" s="291" t="s">
        <v>6525</v>
      </c>
    </row>
    <row r="348" ht="15.75" customHeight="1">
      <c r="A348" s="277" t="e">
        <v>#N/A</v>
      </c>
      <c r="B348" s="270">
        <v>18083.0</v>
      </c>
      <c r="C348" s="278" t="e">
        <v>#N/A</v>
      </c>
      <c r="D348" s="272">
        <v>44602.0</v>
      </c>
      <c r="E348" s="273">
        <v>0.4166666666666667</v>
      </c>
      <c r="F348" s="274" t="s">
        <v>6767</v>
      </c>
      <c r="G348" s="274" t="s">
        <v>6561</v>
      </c>
      <c r="H348" s="274" t="s">
        <v>6529</v>
      </c>
      <c r="I348" s="274" t="s">
        <v>6485</v>
      </c>
      <c r="J348" s="279" t="s">
        <v>6559</v>
      </c>
      <c r="K348" s="265"/>
      <c r="L348" s="265"/>
      <c r="M348" s="275"/>
      <c r="N348" s="280" t="s">
        <v>7047</v>
      </c>
    </row>
    <row r="349" ht="15.75" customHeight="1">
      <c r="A349" s="256" t="s">
        <v>5156</v>
      </c>
      <c r="B349" s="257">
        <v>17042.0</v>
      </c>
      <c r="C349" s="258">
        <v>16764.0</v>
      </c>
      <c r="D349" s="259">
        <v>44602.0</v>
      </c>
      <c r="E349" s="260">
        <v>0.4270833333333333</v>
      </c>
      <c r="F349" s="261" t="s">
        <v>6766</v>
      </c>
      <c r="G349" s="262" t="s">
        <v>6562</v>
      </c>
      <c r="H349" s="263" t="s">
        <v>6527</v>
      </c>
      <c r="I349" s="264" t="s">
        <v>6489</v>
      </c>
      <c r="J349" s="265"/>
      <c r="K349" s="266" t="s">
        <v>6559</v>
      </c>
      <c r="L349" s="265"/>
      <c r="M349" s="267"/>
      <c r="N349" s="287" t="s">
        <v>6523</v>
      </c>
    </row>
    <row r="350" ht="15.75" customHeight="1">
      <c r="A350" s="256" t="s">
        <v>1973</v>
      </c>
      <c r="B350" s="257">
        <v>13109.0</v>
      </c>
      <c r="C350" s="258">
        <v>29219.0</v>
      </c>
      <c r="D350" s="259">
        <v>44602.0</v>
      </c>
      <c r="E350" s="260">
        <v>0.4270833333333333</v>
      </c>
      <c r="F350" s="261" t="s">
        <v>6766</v>
      </c>
      <c r="G350" s="262" t="s">
        <v>6560</v>
      </c>
      <c r="H350" s="263" t="s">
        <v>6524</v>
      </c>
      <c r="I350" s="264" t="s">
        <v>6391</v>
      </c>
      <c r="J350" s="265"/>
      <c r="K350" s="266" t="s">
        <v>6559</v>
      </c>
      <c r="L350" s="265"/>
      <c r="M350" s="267"/>
      <c r="N350" s="287" t="s">
        <v>6523</v>
      </c>
    </row>
    <row r="351" ht="15.75" customHeight="1">
      <c r="A351" s="256" t="s">
        <v>2737</v>
      </c>
      <c r="B351" s="257">
        <v>14095.0</v>
      </c>
      <c r="C351" s="258">
        <v>22965.0</v>
      </c>
      <c r="D351" s="259">
        <v>44602.0</v>
      </c>
      <c r="E351" s="260">
        <v>0.3958333333333333</v>
      </c>
      <c r="F351" s="261" t="s">
        <v>6767</v>
      </c>
      <c r="G351" s="262" t="s">
        <v>6558</v>
      </c>
      <c r="H351" s="263" t="s">
        <v>6521</v>
      </c>
      <c r="I351" s="264" t="s">
        <v>6407</v>
      </c>
      <c r="J351" s="265"/>
      <c r="K351" s="266" t="s">
        <v>6559</v>
      </c>
      <c r="L351" s="261" t="s">
        <v>6559</v>
      </c>
      <c r="M351" s="267"/>
      <c r="N351" s="268" t="s">
        <v>6519</v>
      </c>
    </row>
    <row r="352" ht="15.75" customHeight="1">
      <c r="A352" s="256" t="s">
        <v>3825</v>
      </c>
      <c r="B352" s="257">
        <v>15428.0</v>
      </c>
      <c r="C352" s="258">
        <v>30271.0</v>
      </c>
      <c r="D352" s="259">
        <v>44602.0</v>
      </c>
      <c r="E352" s="260">
        <v>0.4583333333333333</v>
      </c>
      <c r="F352" s="261" t="s">
        <v>6767</v>
      </c>
      <c r="G352" s="262" t="s">
        <v>6558</v>
      </c>
      <c r="H352" s="263" t="s">
        <v>6521</v>
      </c>
      <c r="I352" s="264" t="s">
        <v>6407</v>
      </c>
      <c r="J352" s="265"/>
      <c r="K352" s="266" t="s">
        <v>6559</v>
      </c>
      <c r="L352" s="265"/>
      <c r="M352" s="267"/>
      <c r="N352" s="287" t="s">
        <v>6523</v>
      </c>
    </row>
    <row r="353" ht="15.75" customHeight="1">
      <c r="A353" s="256" t="s">
        <v>5276</v>
      </c>
      <c r="B353" s="299">
        <v>17191.0</v>
      </c>
      <c r="C353" s="258">
        <v>28971.0</v>
      </c>
      <c r="D353" s="259">
        <v>44602.0</v>
      </c>
      <c r="E353" s="260">
        <v>0.4479166666666667</v>
      </c>
      <c r="F353" s="261" t="s">
        <v>6767</v>
      </c>
      <c r="G353" s="262" t="s">
        <v>6561</v>
      </c>
      <c r="H353" s="263" t="s">
        <v>6527</v>
      </c>
      <c r="I353" s="264" t="s">
        <v>6420</v>
      </c>
      <c r="J353" s="265"/>
      <c r="K353" s="266" t="s">
        <v>6559</v>
      </c>
      <c r="L353" s="265"/>
      <c r="M353" s="267"/>
      <c r="N353" s="287" t="s">
        <v>6523</v>
      </c>
    </row>
    <row r="354" ht="15.75" customHeight="1">
      <c r="A354" s="256" t="s">
        <v>2200</v>
      </c>
      <c r="B354" s="257">
        <v>13402.0</v>
      </c>
      <c r="C354" s="258">
        <v>27668.0</v>
      </c>
      <c r="D354" s="259">
        <v>44602.0</v>
      </c>
      <c r="E354" s="260">
        <v>0.4375</v>
      </c>
      <c r="F354" s="261" t="s">
        <v>6767</v>
      </c>
      <c r="G354" s="262" t="s">
        <v>6558</v>
      </c>
      <c r="H354" s="263" t="s">
        <v>6521</v>
      </c>
      <c r="I354" s="264" t="s">
        <v>6381</v>
      </c>
      <c r="J354" s="265"/>
      <c r="K354" s="266" t="s">
        <v>6559</v>
      </c>
      <c r="L354" s="261" t="s">
        <v>6559</v>
      </c>
      <c r="M354" s="267"/>
      <c r="N354" s="268" t="s">
        <v>6519</v>
      </c>
    </row>
    <row r="355" ht="15.75" customHeight="1">
      <c r="A355" s="289" t="e">
        <v>#N/A</v>
      </c>
      <c r="B355" s="257">
        <v>18089.0</v>
      </c>
      <c r="C355" s="290" t="e">
        <v>#N/A</v>
      </c>
      <c r="D355" s="259">
        <v>44602.0</v>
      </c>
      <c r="E355" s="260">
        <v>0.4479166666666667</v>
      </c>
      <c r="F355" s="261" t="s">
        <v>6767</v>
      </c>
      <c r="G355" s="262" t="s">
        <v>6562</v>
      </c>
      <c r="H355" s="263" t="s">
        <v>6529</v>
      </c>
      <c r="I355" s="264" t="s">
        <v>6427</v>
      </c>
      <c r="J355" s="279" t="s">
        <v>6559</v>
      </c>
      <c r="K355" s="265"/>
      <c r="L355" s="265"/>
      <c r="M355" s="267"/>
      <c r="N355" s="291" t="s">
        <v>6525</v>
      </c>
    </row>
    <row r="356" ht="15.75" customHeight="1">
      <c r="A356" s="256" t="s">
        <v>4427</v>
      </c>
      <c r="B356" s="257">
        <v>16107.0</v>
      </c>
      <c r="C356" s="258">
        <v>14998.0</v>
      </c>
      <c r="D356" s="259">
        <v>44602.0</v>
      </c>
      <c r="E356" s="260">
        <v>0.4375</v>
      </c>
      <c r="F356" s="261" t="s">
        <v>6767</v>
      </c>
      <c r="G356" s="262" t="s">
        <v>6558</v>
      </c>
      <c r="H356" s="263" t="s">
        <v>6521</v>
      </c>
      <c r="I356" s="264" t="s">
        <v>6427</v>
      </c>
      <c r="J356" s="265"/>
      <c r="K356" s="266" t="s">
        <v>6559</v>
      </c>
      <c r="L356" s="261" t="s">
        <v>6559</v>
      </c>
      <c r="M356" s="267"/>
      <c r="N356" s="268" t="s">
        <v>6519</v>
      </c>
    </row>
    <row r="357" ht="15.75" customHeight="1">
      <c r="A357" s="289" t="e">
        <v>#N/A</v>
      </c>
      <c r="B357" s="257">
        <v>18006.0</v>
      </c>
      <c r="C357" s="290" t="e">
        <v>#N/A</v>
      </c>
      <c r="D357" s="259">
        <v>44602.0</v>
      </c>
      <c r="E357" s="260">
        <v>0.4479166666666667</v>
      </c>
      <c r="F357" s="261" t="s">
        <v>6766</v>
      </c>
      <c r="G357" s="262" t="s">
        <v>6561</v>
      </c>
      <c r="H357" s="263" t="s">
        <v>6529</v>
      </c>
      <c r="I357" s="264" t="s">
        <v>6427</v>
      </c>
      <c r="J357" s="279" t="s">
        <v>6559</v>
      </c>
      <c r="K357" s="265"/>
      <c r="L357" s="265"/>
      <c r="M357" s="267"/>
      <c r="N357" s="291" t="s">
        <v>6525</v>
      </c>
    </row>
    <row r="358" ht="15.75" customHeight="1">
      <c r="A358" s="292" t="s">
        <v>4560</v>
      </c>
      <c r="B358" s="293">
        <v>15709.0</v>
      </c>
      <c r="C358" s="294">
        <v>33385.0</v>
      </c>
      <c r="D358" s="295">
        <v>44602.0</v>
      </c>
      <c r="E358" s="296">
        <v>0.4583333333333333</v>
      </c>
      <c r="F358" s="297" t="s">
        <v>6766</v>
      </c>
      <c r="G358" s="297" t="s">
        <v>6562</v>
      </c>
      <c r="H358" s="297" t="s">
        <v>6527</v>
      </c>
      <c r="I358" s="297" t="s">
        <v>6432</v>
      </c>
      <c r="J358" s="265"/>
      <c r="K358" s="266" t="s">
        <v>6559</v>
      </c>
      <c r="L358" s="265"/>
      <c r="M358" s="298"/>
      <c r="N358" s="288" t="s">
        <v>7049</v>
      </c>
    </row>
    <row r="359" ht="15.75" customHeight="1">
      <c r="A359" s="269" t="s">
        <v>3888</v>
      </c>
      <c r="B359" s="270">
        <v>15503.0</v>
      </c>
      <c r="C359" s="271">
        <v>18910.0</v>
      </c>
      <c r="D359" s="272">
        <v>44602.0</v>
      </c>
      <c r="E359" s="273">
        <v>0.46875</v>
      </c>
      <c r="F359" s="274" t="s">
        <v>6766</v>
      </c>
      <c r="G359" s="274" t="s">
        <v>6562</v>
      </c>
      <c r="H359" s="274" t="s">
        <v>6527</v>
      </c>
      <c r="I359" s="274" t="s">
        <v>6479</v>
      </c>
      <c r="J359" s="265"/>
      <c r="K359" s="266" t="s">
        <v>6559</v>
      </c>
      <c r="L359" s="265"/>
      <c r="M359" s="275"/>
      <c r="N359" s="288" t="s">
        <v>7049</v>
      </c>
    </row>
    <row r="360" ht="15.75" customHeight="1">
      <c r="A360" s="269" t="s">
        <v>1382</v>
      </c>
      <c r="B360" s="270">
        <v>12316.0</v>
      </c>
      <c r="C360" s="271">
        <v>21955.0</v>
      </c>
      <c r="D360" s="272">
        <v>44602.0</v>
      </c>
      <c r="E360" s="273">
        <v>0.4479166666666667</v>
      </c>
      <c r="F360" s="274" t="s">
        <v>6766</v>
      </c>
      <c r="G360" s="274" t="s">
        <v>6560</v>
      </c>
      <c r="H360" s="274" t="s">
        <v>6524</v>
      </c>
      <c r="I360" s="274" t="s">
        <v>6486</v>
      </c>
      <c r="J360" s="265"/>
      <c r="K360" s="266" t="s">
        <v>6559</v>
      </c>
      <c r="L360" s="261" t="s">
        <v>6559</v>
      </c>
      <c r="M360" s="275"/>
      <c r="N360" s="276" t="s">
        <v>7048</v>
      </c>
    </row>
    <row r="361" ht="15.75" customHeight="1">
      <c r="A361" s="256" t="s">
        <v>2585</v>
      </c>
      <c r="B361" s="257">
        <v>13892.0</v>
      </c>
      <c r="C361" s="258">
        <v>25062.0</v>
      </c>
      <c r="D361" s="259">
        <v>44602.0</v>
      </c>
      <c r="E361" s="260">
        <v>0.46875</v>
      </c>
      <c r="F361" s="261" t="s">
        <v>6767</v>
      </c>
      <c r="G361" s="262" t="s">
        <v>6560</v>
      </c>
      <c r="H361" s="263" t="s">
        <v>6524</v>
      </c>
      <c r="I361" s="264" t="s">
        <v>6381</v>
      </c>
      <c r="J361" s="265"/>
      <c r="K361" s="266" t="s">
        <v>6559</v>
      </c>
      <c r="L361" s="265"/>
      <c r="M361" s="267"/>
      <c r="N361" s="287" t="s">
        <v>6523</v>
      </c>
    </row>
    <row r="362" ht="15.75" customHeight="1">
      <c r="A362" s="256" t="s">
        <v>2389</v>
      </c>
      <c r="B362" s="257">
        <v>13641.0</v>
      </c>
      <c r="C362" s="258">
        <v>29118.0</v>
      </c>
      <c r="D362" s="259">
        <v>44602.0</v>
      </c>
      <c r="E362" s="300" t="e">
        <v>#N/A</v>
      </c>
      <c r="F362" s="261" t="s">
        <v>6766</v>
      </c>
      <c r="G362" s="262" t="s">
        <v>6558</v>
      </c>
      <c r="H362" s="263"/>
      <c r="I362" s="301" t="e">
        <v>#N/A</v>
      </c>
      <c r="J362" s="265"/>
      <c r="K362" s="266" t="s">
        <v>6559</v>
      </c>
      <c r="L362" s="265"/>
      <c r="M362" s="267"/>
      <c r="N362" s="280" t="e">
        <v>#N/A</v>
      </c>
    </row>
    <row r="363" ht="15.75" customHeight="1">
      <c r="A363" s="256" t="s">
        <v>4956</v>
      </c>
      <c r="B363" s="257">
        <v>16788.0</v>
      </c>
      <c r="C363" s="258">
        <v>18684.0</v>
      </c>
      <c r="D363" s="259">
        <v>44602.0</v>
      </c>
      <c r="E363" s="260">
        <v>0.5416666666666666</v>
      </c>
      <c r="F363" s="261" t="s">
        <v>6767</v>
      </c>
      <c r="G363" s="262" t="s">
        <v>6558</v>
      </c>
      <c r="H363" s="263" t="s">
        <v>6521</v>
      </c>
      <c r="I363" s="264" t="s">
        <v>6372</v>
      </c>
      <c r="J363" s="265"/>
      <c r="K363" s="266" t="s">
        <v>6559</v>
      </c>
      <c r="L363" s="265"/>
      <c r="M363" s="267"/>
      <c r="N363" s="287" t="s">
        <v>6523</v>
      </c>
    </row>
    <row r="364" ht="15.75" customHeight="1">
      <c r="A364" s="269" t="s">
        <v>988</v>
      </c>
      <c r="B364" s="270">
        <v>11516.0</v>
      </c>
      <c r="C364" s="271">
        <v>19283.0</v>
      </c>
      <c r="D364" s="272">
        <v>44602.0</v>
      </c>
      <c r="E364" s="273">
        <v>0.5729166666666666</v>
      </c>
      <c r="F364" s="274" t="s">
        <v>6767</v>
      </c>
      <c r="G364" s="274" t="s">
        <v>6561</v>
      </c>
      <c r="H364" s="274" t="s">
        <v>6529</v>
      </c>
      <c r="I364" s="274" t="s">
        <v>6482</v>
      </c>
      <c r="J364" s="265"/>
      <c r="K364" s="266" t="s">
        <v>6559</v>
      </c>
      <c r="L364" s="261" t="s">
        <v>6559</v>
      </c>
      <c r="M364" s="302" t="s">
        <v>7053</v>
      </c>
      <c r="N364" s="280" t="e">
        <v>#N/A</v>
      </c>
    </row>
    <row r="365" ht="15.75" customHeight="1">
      <c r="A365" s="256" t="s">
        <v>2729</v>
      </c>
      <c r="B365" s="257">
        <v>14087.0</v>
      </c>
      <c r="C365" s="258">
        <v>20668.0</v>
      </c>
      <c r="D365" s="259">
        <v>44602.0</v>
      </c>
      <c r="E365" s="260">
        <v>0.5625</v>
      </c>
      <c r="F365" s="261" t="s">
        <v>6767</v>
      </c>
      <c r="G365" s="262" t="s">
        <v>6558</v>
      </c>
      <c r="H365" s="263" t="s">
        <v>6524</v>
      </c>
      <c r="I365" s="264" t="s">
        <v>6489</v>
      </c>
      <c r="J365" s="265"/>
      <c r="K365" s="266" t="s">
        <v>6559</v>
      </c>
      <c r="L365" s="265"/>
      <c r="M365" s="267"/>
      <c r="N365" s="287" t="s">
        <v>6523</v>
      </c>
    </row>
    <row r="366" ht="15.75" customHeight="1">
      <c r="A366" s="269" t="s">
        <v>210</v>
      </c>
      <c r="B366" s="270">
        <v>9555.0</v>
      </c>
      <c r="C366" s="271">
        <v>17568.0</v>
      </c>
      <c r="D366" s="272">
        <v>44602.0</v>
      </c>
      <c r="E366" s="273">
        <v>0.5520833333333334</v>
      </c>
      <c r="F366" s="274" t="s">
        <v>6767</v>
      </c>
      <c r="G366" s="274" t="s">
        <v>6561</v>
      </c>
      <c r="H366" s="274" t="s">
        <v>6529</v>
      </c>
      <c r="I366" s="274" t="s">
        <v>6486</v>
      </c>
      <c r="J366" s="265"/>
      <c r="K366" s="266" t="s">
        <v>6559</v>
      </c>
      <c r="L366" s="265"/>
      <c r="M366" s="275"/>
      <c r="N366" s="288" t="s">
        <v>7049</v>
      </c>
    </row>
    <row r="367" ht="15.75" customHeight="1">
      <c r="A367" s="269" t="s">
        <v>1846</v>
      </c>
      <c r="B367" s="270">
        <v>17577.0</v>
      </c>
      <c r="C367" s="271">
        <v>23885.0</v>
      </c>
      <c r="D367" s="272">
        <v>44602.0</v>
      </c>
      <c r="E367" s="273">
        <v>0.5729166666666666</v>
      </c>
      <c r="F367" s="274" t="s">
        <v>6766</v>
      </c>
      <c r="G367" s="274" t="s">
        <v>6560</v>
      </c>
      <c r="H367" s="274" t="s">
        <v>6524</v>
      </c>
      <c r="I367" s="274" t="s">
        <v>6486</v>
      </c>
      <c r="J367" s="265"/>
      <c r="K367" s="266" t="s">
        <v>6559</v>
      </c>
      <c r="L367" s="261" t="s">
        <v>6559</v>
      </c>
      <c r="M367" s="275"/>
      <c r="N367" s="276" t="s">
        <v>7048</v>
      </c>
    </row>
    <row r="368" ht="15.75" customHeight="1">
      <c r="A368" s="256" t="s">
        <v>2676</v>
      </c>
      <c r="B368" s="257">
        <v>14018.0</v>
      </c>
      <c r="C368" s="258">
        <v>27273.0</v>
      </c>
      <c r="D368" s="259">
        <v>44602.0</v>
      </c>
      <c r="E368" s="260">
        <v>0.5625</v>
      </c>
      <c r="F368" s="261" t="s">
        <v>6766</v>
      </c>
      <c r="G368" s="262" t="s">
        <v>6561</v>
      </c>
      <c r="H368" s="263" t="s">
        <v>6527</v>
      </c>
      <c r="I368" s="264" t="s">
        <v>6407</v>
      </c>
      <c r="J368" s="265"/>
      <c r="K368" s="266" t="s">
        <v>6559</v>
      </c>
      <c r="L368" s="265"/>
      <c r="M368" s="267"/>
      <c r="N368" s="287" t="s">
        <v>6523</v>
      </c>
    </row>
    <row r="369" ht="15.75" customHeight="1">
      <c r="A369" s="289" t="e">
        <v>#N/A</v>
      </c>
      <c r="B369" s="257">
        <v>18039.0</v>
      </c>
      <c r="C369" s="290" t="e">
        <v>#N/A</v>
      </c>
      <c r="D369" s="259">
        <v>44602.0</v>
      </c>
      <c r="E369" s="260">
        <v>0.5625</v>
      </c>
      <c r="F369" s="261" t="s">
        <v>6767</v>
      </c>
      <c r="G369" s="262" t="s">
        <v>6561</v>
      </c>
      <c r="H369" s="263" t="s">
        <v>6529</v>
      </c>
      <c r="I369" s="264" t="s">
        <v>6427</v>
      </c>
      <c r="J369" s="279" t="s">
        <v>6559</v>
      </c>
      <c r="K369" s="265"/>
      <c r="L369" s="265"/>
      <c r="M369" s="267"/>
      <c r="N369" s="291" t="s">
        <v>6525</v>
      </c>
    </row>
    <row r="370" ht="15.75" customHeight="1">
      <c r="A370" s="256" t="s">
        <v>7054</v>
      </c>
      <c r="B370" s="257">
        <v>11090.0</v>
      </c>
      <c r="C370" s="258">
        <v>29523.0</v>
      </c>
      <c r="D370" s="259">
        <v>44602.0</v>
      </c>
      <c r="E370" s="260">
        <v>0.6041666666666666</v>
      </c>
      <c r="F370" s="261" t="s">
        <v>6767</v>
      </c>
      <c r="G370" s="262" t="s">
        <v>6560</v>
      </c>
      <c r="H370" s="263" t="s">
        <v>6524</v>
      </c>
      <c r="I370" s="264" t="s">
        <v>6489</v>
      </c>
      <c r="J370" s="265"/>
      <c r="K370" s="266" t="s">
        <v>6559</v>
      </c>
      <c r="L370" s="265"/>
      <c r="M370" s="267"/>
      <c r="N370" s="287" t="s">
        <v>6523</v>
      </c>
    </row>
    <row r="371" ht="15.75" customHeight="1">
      <c r="A371" s="256" t="s">
        <v>3214</v>
      </c>
      <c r="B371" s="257">
        <v>14691.0</v>
      </c>
      <c r="C371" s="258">
        <v>18045.0</v>
      </c>
      <c r="D371" s="259">
        <v>44602.0</v>
      </c>
      <c r="E371" s="260">
        <v>0.6354166666666666</v>
      </c>
      <c r="F371" s="261" t="s">
        <v>6767</v>
      </c>
      <c r="G371" s="262" t="s">
        <v>6562</v>
      </c>
      <c r="H371" s="263" t="s">
        <v>6529</v>
      </c>
      <c r="I371" s="264" t="s">
        <v>6427</v>
      </c>
      <c r="J371" s="265"/>
      <c r="K371" s="266" t="s">
        <v>6559</v>
      </c>
      <c r="L371" s="261" t="s">
        <v>6559</v>
      </c>
      <c r="M371" s="267"/>
      <c r="N371" s="268" t="s">
        <v>6519</v>
      </c>
    </row>
    <row r="372" ht="15.75" customHeight="1">
      <c r="A372" s="269" t="s">
        <v>5529</v>
      </c>
      <c r="B372" s="270">
        <v>17522.0</v>
      </c>
      <c r="C372" s="271">
        <v>18023.0</v>
      </c>
      <c r="D372" s="272">
        <v>44602.0</v>
      </c>
      <c r="E372" s="273">
        <v>0.625</v>
      </c>
      <c r="F372" s="274" t="s">
        <v>6767</v>
      </c>
      <c r="G372" s="274" t="s">
        <v>6560</v>
      </c>
      <c r="H372" s="274" t="s">
        <v>6524</v>
      </c>
      <c r="I372" s="274" t="s">
        <v>6479</v>
      </c>
      <c r="J372" s="265"/>
      <c r="K372" s="266" t="s">
        <v>6559</v>
      </c>
      <c r="L372" s="265"/>
      <c r="M372" s="275"/>
      <c r="N372" s="288" t="s">
        <v>7049</v>
      </c>
    </row>
    <row r="373" ht="15.75" customHeight="1">
      <c r="A373" s="256" t="s">
        <v>4978</v>
      </c>
      <c r="B373" s="257">
        <v>16811.0</v>
      </c>
      <c r="C373" s="258">
        <v>22145.0</v>
      </c>
      <c r="D373" s="259">
        <v>44602.0</v>
      </c>
      <c r="E373" s="260">
        <v>0.625</v>
      </c>
      <c r="F373" s="261" t="s">
        <v>6767</v>
      </c>
      <c r="G373" s="262" t="s">
        <v>6558</v>
      </c>
      <c r="H373" s="263" t="s">
        <v>6521</v>
      </c>
      <c r="I373" s="264" t="s">
        <v>6407</v>
      </c>
      <c r="J373" s="265"/>
      <c r="K373" s="266" t="s">
        <v>6559</v>
      </c>
      <c r="L373" s="265"/>
      <c r="M373" s="267"/>
      <c r="N373" s="287" t="s">
        <v>6523</v>
      </c>
    </row>
    <row r="374" ht="15.75" customHeight="1">
      <c r="A374" s="269" t="s">
        <v>4057</v>
      </c>
      <c r="B374" s="270">
        <v>15692.0</v>
      </c>
      <c r="C374" s="271">
        <v>19760.0</v>
      </c>
      <c r="D374" s="272">
        <v>44602.0</v>
      </c>
      <c r="E374" s="273">
        <v>0.5625</v>
      </c>
      <c r="F374" s="274" t="s">
        <v>6767</v>
      </c>
      <c r="G374" s="274" t="s">
        <v>6558</v>
      </c>
      <c r="H374" s="274" t="s">
        <v>6521</v>
      </c>
      <c r="I374" s="274" t="s">
        <v>6486</v>
      </c>
      <c r="J374" s="265"/>
      <c r="K374" s="266" t="s">
        <v>6559</v>
      </c>
      <c r="L374" s="265"/>
      <c r="M374" s="275"/>
      <c r="N374" s="288" t="s">
        <v>7049</v>
      </c>
    </row>
    <row r="375" ht="15.75" customHeight="1">
      <c r="A375" s="269" t="s">
        <v>1929</v>
      </c>
      <c r="B375" s="270">
        <v>13050.0</v>
      </c>
      <c r="C375" s="271">
        <v>23718.0</v>
      </c>
      <c r="D375" s="272">
        <v>44602.0</v>
      </c>
      <c r="E375" s="273">
        <v>0.5833333333333334</v>
      </c>
      <c r="F375" s="274" t="s">
        <v>6766</v>
      </c>
      <c r="G375" s="274" t="s">
        <v>6558</v>
      </c>
      <c r="H375" s="274" t="s">
        <v>6524</v>
      </c>
      <c r="I375" s="274" t="s">
        <v>6486</v>
      </c>
      <c r="J375" s="265"/>
      <c r="K375" s="266" t="s">
        <v>6559</v>
      </c>
      <c r="L375" s="261" t="s">
        <v>6559</v>
      </c>
      <c r="M375" s="275"/>
      <c r="N375" s="276" t="s">
        <v>7048</v>
      </c>
    </row>
    <row r="376" ht="15.75" customHeight="1">
      <c r="A376" s="256" t="s">
        <v>1166</v>
      </c>
      <c r="B376" s="257">
        <v>11881.0</v>
      </c>
      <c r="C376" s="258">
        <v>14449.0</v>
      </c>
      <c r="D376" s="259">
        <v>44602.0</v>
      </c>
      <c r="E376" s="260">
        <v>0.6041666666666666</v>
      </c>
      <c r="F376" s="261" t="s">
        <v>6766</v>
      </c>
      <c r="G376" s="262" t="s">
        <v>6562</v>
      </c>
      <c r="H376" s="263" t="s">
        <v>6527</v>
      </c>
      <c r="I376" s="264" t="s">
        <v>6427</v>
      </c>
      <c r="J376" s="265"/>
      <c r="K376" s="266" t="s">
        <v>6559</v>
      </c>
      <c r="L376" s="261" t="s">
        <v>6559</v>
      </c>
      <c r="M376" s="267"/>
      <c r="N376" s="268" t="s">
        <v>6519</v>
      </c>
    </row>
    <row r="377" ht="15.75" customHeight="1">
      <c r="A377" s="256" t="s">
        <v>4699</v>
      </c>
      <c r="B377" s="257">
        <v>16456.0</v>
      </c>
      <c r="C377" s="258">
        <v>33340.0</v>
      </c>
      <c r="D377" s="259">
        <v>44602.0</v>
      </c>
      <c r="E377" s="260">
        <v>0.6458333333333334</v>
      </c>
      <c r="F377" s="261" t="s">
        <v>6767</v>
      </c>
      <c r="G377" s="262" t="s">
        <v>6558</v>
      </c>
      <c r="H377" s="263" t="s">
        <v>6521</v>
      </c>
      <c r="I377" s="264" t="s">
        <v>6372</v>
      </c>
      <c r="J377" s="265"/>
      <c r="K377" s="266" t="s">
        <v>6559</v>
      </c>
      <c r="L377" s="265"/>
      <c r="M377" s="267"/>
      <c r="N377" s="287" t="s">
        <v>6523</v>
      </c>
    </row>
    <row r="378" ht="15.75" customHeight="1">
      <c r="A378" s="292" t="s">
        <v>3405</v>
      </c>
      <c r="B378" s="293">
        <v>14918.0</v>
      </c>
      <c r="C378" s="294">
        <v>29730.0</v>
      </c>
      <c r="D378" s="295">
        <v>44602.0</v>
      </c>
      <c r="E378" s="303" t="e">
        <v>#N/A</v>
      </c>
      <c r="F378" s="297" t="s">
        <v>6767</v>
      </c>
      <c r="G378" s="297" t="s">
        <v>6558</v>
      </c>
      <c r="H378" s="297" t="s">
        <v>6521</v>
      </c>
      <c r="I378" s="297" t="s">
        <v>6432</v>
      </c>
      <c r="J378" s="265"/>
      <c r="K378" s="266" t="s">
        <v>6559</v>
      </c>
      <c r="L378" s="265"/>
      <c r="M378" s="298"/>
      <c r="N378" s="280" t="e">
        <v>#N/A</v>
      </c>
    </row>
    <row r="379" ht="15.75" customHeight="1">
      <c r="A379" s="256" t="s">
        <v>473</v>
      </c>
      <c r="B379" s="257">
        <v>10277.0</v>
      </c>
      <c r="C379" s="258">
        <v>19210.0</v>
      </c>
      <c r="D379" s="259">
        <v>44603.0</v>
      </c>
      <c r="E379" s="260">
        <v>0.3541666666666667</v>
      </c>
      <c r="F379" s="261" t="s">
        <v>6766</v>
      </c>
      <c r="G379" s="262" t="s">
        <v>6561</v>
      </c>
      <c r="H379" s="263" t="s">
        <v>6529</v>
      </c>
      <c r="I379" s="264" t="s">
        <v>6427</v>
      </c>
      <c r="J379" s="265"/>
      <c r="K379" s="266" t="s">
        <v>6559</v>
      </c>
      <c r="L379" s="265"/>
      <c r="M379" s="267"/>
      <c r="N379" s="287" t="s">
        <v>6523</v>
      </c>
    </row>
    <row r="380" ht="15.75" customHeight="1">
      <c r="A380" s="269" t="s">
        <v>5977</v>
      </c>
      <c r="B380" s="270">
        <v>17832.0</v>
      </c>
      <c r="C380" s="271">
        <v>16496.0</v>
      </c>
      <c r="D380" s="272">
        <v>44603.0</v>
      </c>
      <c r="E380" s="273">
        <v>0.3541666666666667</v>
      </c>
      <c r="F380" s="274" t="s">
        <v>6766</v>
      </c>
      <c r="G380" s="274" t="s">
        <v>6562</v>
      </c>
      <c r="H380" s="274" t="s">
        <v>6529</v>
      </c>
      <c r="I380" s="274" t="s">
        <v>6486</v>
      </c>
      <c r="J380" s="265"/>
      <c r="K380" s="266" t="s">
        <v>6559</v>
      </c>
      <c r="L380" s="261" t="s">
        <v>6559</v>
      </c>
      <c r="M380" s="275"/>
      <c r="N380" s="276" t="s">
        <v>7048</v>
      </c>
    </row>
    <row r="381" ht="15.75" customHeight="1">
      <c r="A381" s="256" t="s">
        <v>643</v>
      </c>
      <c r="B381" s="257">
        <v>10702.0</v>
      </c>
      <c r="C381" s="258">
        <v>18579.0</v>
      </c>
      <c r="D381" s="259">
        <v>44603.0</v>
      </c>
      <c r="E381" s="260">
        <v>0.3333333333333333</v>
      </c>
      <c r="F381" s="261" t="s">
        <v>6766</v>
      </c>
      <c r="G381" s="262" t="s">
        <v>6558</v>
      </c>
      <c r="H381" s="263" t="s">
        <v>6521</v>
      </c>
      <c r="I381" s="264" t="s">
        <v>6489</v>
      </c>
      <c r="J381" s="265"/>
      <c r="K381" s="266" t="s">
        <v>6559</v>
      </c>
      <c r="L381" s="261" t="s">
        <v>6559</v>
      </c>
      <c r="M381" s="267"/>
      <c r="N381" s="268" t="s">
        <v>6519</v>
      </c>
    </row>
    <row r="382" ht="15.75" customHeight="1">
      <c r="A382" s="256" t="s">
        <v>4049</v>
      </c>
      <c r="B382" s="257">
        <v>15683.0</v>
      </c>
      <c r="C382" s="258">
        <v>25687.0</v>
      </c>
      <c r="D382" s="259">
        <v>44603.0</v>
      </c>
      <c r="E382" s="260">
        <v>0.3541666666666667</v>
      </c>
      <c r="F382" s="261" t="s">
        <v>6766</v>
      </c>
      <c r="G382" s="262" t="s">
        <v>6558</v>
      </c>
      <c r="H382" s="263" t="s">
        <v>6521</v>
      </c>
      <c r="I382" s="264" t="s">
        <v>6375</v>
      </c>
      <c r="J382" s="265"/>
      <c r="K382" s="266" t="s">
        <v>6559</v>
      </c>
      <c r="L382" s="261" t="s">
        <v>6559</v>
      </c>
      <c r="M382" s="267"/>
      <c r="N382" s="268" t="s">
        <v>6519</v>
      </c>
    </row>
    <row r="383" ht="15.75" customHeight="1">
      <c r="A383" s="256" t="s">
        <v>5178</v>
      </c>
      <c r="B383" s="257">
        <v>17071.0</v>
      </c>
      <c r="C383" s="258">
        <v>20042.0</v>
      </c>
      <c r="D383" s="259">
        <v>44603.0</v>
      </c>
      <c r="E383" s="260">
        <v>0.375</v>
      </c>
      <c r="F383" s="261" t="s">
        <v>6766</v>
      </c>
      <c r="G383" s="262" t="s">
        <v>6561</v>
      </c>
      <c r="H383" s="263" t="s">
        <v>6527</v>
      </c>
      <c r="I383" s="264" t="s">
        <v>6489</v>
      </c>
      <c r="J383" s="265"/>
      <c r="K383" s="266" t="s">
        <v>6559</v>
      </c>
      <c r="L383" s="261" t="s">
        <v>6559</v>
      </c>
      <c r="M383" s="267"/>
      <c r="N383" s="268" t="s">
        <v>6519</v>
      </c>
    </row>
    <row r="384" ht="15.75" customHeight="1">
      <c r="A384" s="256" t="s">
        <v>4426</v>
      </c>
      <c r="B384" s="257">
        <v>16106.0</v>
      </c>
      <c r="C384" s="258">
        <v>23484.0</v>
      </c>
      <c r="D384" s="259">
        <v>44603.0</v>
      </c>
      <c r="E384" s="260">
        <v>0.3854166666666667</v>
      </c>
      <c r="F384" s="261" t="s">
        <v>6767</v>
      </c>
      <c r="G384" s="262" t="s">
        <v>6562</v>
      </c>
      <c r="H384" s="263" t="s">
        <v>6529</v>
      </c>
      <c r="I384" s="264" t="s">
        <v>6427</v>
      </c>
      <c r="J384" s="265"/>
      <c r="K384" s="266" t="s">
        <v>6559</v>
      </c>
      <c r="L384" s="261" t="s">
        <v>6559</v>
      </c>
      <c r="M384" s="267"/>
      <c r="N384" s="268" t="s">
        <v>6519</v>
      </c>
    </row>
    <row r="385" ht="15.75" customHeight="1">
      <c r="A385" s="256" t="s">
        <v>875</v>
      </c>
      <c r="B385" s="257">
        <v>11245.0</v>
      </c>
      <c r="C385" s="258">
        <v>23641.0</v>
      </c>
      <c r="D385" s="259">
        <v>44603.0</v>
      </c>
      <c r="E385" s="260">
        <v>0.3854166666666667</v>
      </c>
      <c r="F385" s="261" t="s">
        <v>6767</v>
      </c>
      <c r="G385" s="262" t="s">
        <v>6558</v>
      </c>
      <c r="H385" s="263" t="s">
        <v>6521</v>
      </c>
      <c r="I385" s="264" t="s">
        <v>6492</v>
      </c>
      <c r="J385" s="265"/>
      <c r="K385" s="266" t="s">
        <v>6559</v>
      </c>
      <c r="L385" s="265"/>
      <c r="M385" s="267"/>
      <c r="N385" s="287" t="s">
        <v>6523</v>
      </c>
    </row>
    <row r="386" ht="15.75" customHeight="1">
      <c r="A386" s="269" t="s">
        <v>89</v>
      </c>
      <c r="B386" s="270">
        <v>9227.0</v>
      </c>
      <c r="C386" s="271">
        <v>21258.0</v>
      </c>
      <c r="D386" s="272">
        <v>44603.0</v>
      </c>
      <c r="E386" s="273">
        <v>0.375</v>
      </c>
      <c r="F386" s="274" t="s">
        <v>6766</v>
      </c>
      <c r="G386" s="274" t="s">
        <v>6561</v>
      </c>
      <c r="H386" s="274" t="s">
        <v>6529</v>
      </c>
      <c r="I386" s="274" t="s">
        <v>6484</v>
      </c>
      <c r="J386" s="265"/>
      <c r="K386" s="266" t="s">
        <v>6559</v>
      </c>
      <c r="L386" s="265"/>
      <c r="M386" s="275"/>
      <c r="N386" s="288" t="s">
        <v>7049</v>
      </c>
    </row>
    <row r="387" ht="15.75" customHeight="1">
      <c r="A387" s="269" t="s">
        <v>4480</v>
      </c>
      <c r="B387" s="270">
        <v>16170.0</v>
      </c>
      <c r="C387" s="271">
        <v>14821.0</v>
      </c>
      <c r="D387" s="272">
        <v>44603.0</v>
      </c>
      <c r="E387" s="273">
        <v>0.3958333333333333</v>
      </c>
      <c r="F387" s="274" t="s">
        <v>6766</v>
      </c>
      <c r="G387" s="274" t="s">
        <v>6562</v>
      </c>
      <c r="H387" s="274" t="s">
        <v>6529</v>
      </c>
      <c r="I387" s="274" t="s">
        <v>6482</v>
      </c>
      <c r="J387" s="265"/>
      <c r="K387" s="266" t="s">
        <v>6559</v>
      </c>
      <c r="L387" s="265"/>
      <c r="M387" s="275"/>
      <c r="N387" s="288" t="s">
        <v>7049</v>
      </c>
    </row>
    <row r="388" ht="15.75" customHeight="1">
      <c r="A388" s="292" t="s">
        <v>2505</v>
      </c>
      <c r="B388" s="293">
        <v>13784.0</v>
      </c>
      <c r="C388" s="294">
        <v>21088.0</v>
      </c>
      <c r="D388" s="295">
        <v>44603.0</v>
      </c>
      <c r="E388" s="296">
        <v>0.3333333333333333</v>
      </c>
      <c r="F388" s="297" t="s">
        <v>6767</v>
      </c>
      <c r="G388" s="297" t="s">
        <v>6560</v>
      </c>
      <c r="H388" s="297" t="s">
        <v>6524</v>
      </c>
      <c r="I388" s="297" t="s">
        <v>6432</v>
      </c>
      <c r="J388" s="265"/>
      <c r="K388" s="266" t="s">
        <v>6559</v>
      </c>
      <c r="L388" s="261" t="s">
        <v>6559</v>
      </c>
      <c r="M388" s="298"/>
      <c r="N388" s="276" t="s">
        <v>7048</v>
      </c>
    </row>
    <row r="389" ht="15.75" customHeight="1">
      <c r="A389" s="256" t="s">
        <v>1433</v>
      </c>
      <c r="B389" s="257">
        <v>12397.0</v>
      </c>
      <c r="C389" s="258">
        <v>24151.0</v>
      </c>
      <c r="D389" s="259">
        <v>44603.0</v>
      </c>
      <c r="E389" s="260">
        <v>0.4166666666666667</v>
      </c>
      <c r="F389" s="261" t="s">
        <v>6766</v>
      </c>
      <c r="G389" s="262" t="s">
        <v>6562</v>
      </c>
      <c r="H389" s="263" t="s">
        <v>6527</v>
      </c>
      <c r="I389" s="264" t="s">
        <v>6381</v>
      </c>
      <c r="J389" s="265"/>
      <c r="K389" s="266" t="s">
        <v>6559</v>
      </c>
      <c r="L389" s="261" t="s">
        <v>6559</v>
      </c>
      <c r="M389" s="267"/>
      <c r="N389" s="268" t="s">
        <v>6519</v>
      </c>
    </row>
    <row r="390" ht="15.75" customHeight="1">
      <c r="A390" s="256" t="s">
        <v>5065</v>
      </c>
      <c r="B390" s="257">
        <v>16928.0</v>
      </c>
      <c r="C390" s="258">
        <v>20393.0</v>
      </c>
      <c r="D390" s="259">
        <v>44603.0</v>
      </c>
      <c r="E390" s="260">
        <v>0.34375</v>
      </c>
      <c r="F390" s="261" t="s">
        <v>6766</v>
      </c>
      <c r="G390" s="262" t="s">
        <v>6560</v>
      </c>
      <c r="H390" s="263" t="s">
        <v>6524</v>
      </c>
      <c r="I390" s="264" t="s">
        <v>6489</v>
      </c>
      <c r="J390" s="265"/>
      <c r="K390" s="266" t="s">
        <v>6559</v>
      </c>
      <c r="L390" s="261" t="s">
        <v>6559</v>
      </c>
      <c r="M390" s="267"/>
      <c r="N390" s="268" t="s">
        <v>6519</v>
      </c>
    </row>
    <row r="391" ht="15.75" customHeight="1">
      <c r="A391" s="281" t="s">
        <v>1656</v>
      </c>
      <c r="B391" s="282">
        <v>12724.0</v>
      </c>
      <c r="C391" s="283">
        <v>25314.0</v>
      </c>
      <c r="D391" s="284">
        <v>44603.0</v>
      </c>
      <c r="E391" s="285">
        <v>0.3645833333333333</v>
      </c>
      <c r="F391" s="279" t="s">
        <v>6766</v>
      </c>
      <c r="G391" s="279" t="s">
        <v>6560</v>
      </c>
      <c r="H391" s="279" t="s">
        <v>6524</v>
      </c>
      <c r="I391" s="279" t="s">
        <v>6438</v>
      </c>
      <c r="J391" s="265"/>
      <c r="K391" s="266" t="s">
        <v>6559</v>
      </c>
      <c r="L391" s="261" t="s">
        <v>6559</v>
      </c>
      <c r="M391" s="286"/>
      <c r="N391" s="268" t="s">
        <v>6519</v>
      </c>
    </row>
    <row r="392" ht="15.75" customHeight="1">
      <c r="A392" s="269" t="s">
        <v>995</v>
      </c>
      <c r="B392" s="270">
        <v>11532.0</v>
      </c>
      <c r="C392" s="271">
        <v>20475.0</v>
      </c>
      <c r="D392" s="272">
        <v>44603.0</v>
      </c>
      <c r="E392" s="273">
        <v>0.375</v>
      </c>
      <c r="F392" s="274" t="s">
        <v>6767</v>
      </c>
      <c r="G392" s="274" t="s">
        <v>6560</v>
      </c>
      <c r="H392" s="274" t="s">
        <v>6524</v>
      </c>
      <c r="I392" s="274" t="s">
        <v>6479</v>
      </c>
      <c r="J392" s="265"/>
      <c r="K392" s="266" t="s">
        <v>6559</v>
      </c>
      <c r="L392" s="265"/>
      <c r="M392" s="275"/>
      <c r="N392" s="288" t="s">
        <v>7049</v>
      </c>
    </row>
    <row r="393" ht="15.75" customHeight="1">
      <c r="A393" s="256" t="s">
        <v>4578</v>
      </c>
      <c r="B393" s="257">
        <v>16297.0</v>
      </c>
      <c r="C393" s="258">
        <v>15281.0</v>
      </c>
      <c r="D393" s="259">
        <v>44603.0</v>
      </c>
      <c r="E393" s="260">
        <v>0.3333333333333333</v>
      </c>
      <c r="F393" s="261" t="s">
        <v>6767</v>
      </c>
      <c r="G393" s="262" t="s">
        <v>6560</v>
      </c>
      <c r="H393" s="263" t="s">
        <v>6524</v>
      </c>
      <c r="I393" s="304" t="s">
        <v>6437</v>
      </c>
      <c r="J393" s="265"/>
      <c r="K393" s="266" t="s">
        <v>6559</v>
      </c>
      <c r="L393" s="265"/>
      <c r="M393" s="267"/>
      <c r="N393" s="288" t="s">
        <v>7049</v>
      </c>
    </row>
    <row r="394" ht="15.75" customHeight="1">
      <c r="A394" s="256" t="s">
        <v>4155</v>
      </c>
      <c r="B394" s="257">
        <v>15798.0</v>
      </c>
      <c r="C394" s="258">
        <v>26903.0</v>
      </c>
      <c r="D394" s="259">
        <v>44603.0</v>
      </c>
      <c r="E394" s="260">
        <v>0.4270833333333333</v>
      </c>
      <c r="F394" s="261" t="s">
        <v>6766</v>
      </c>
      <c r="G394" s="262" t="s">
        <v>6558</v>
      </c>
      <c r="H394" s="263" t="s">
        <v>6521</v>
      </c>
      <c r="I394" s="264" t="s">
        <v>6489</v>
      </c>
      <c r="J394" s="265"/>
      <c r="K394" s="266" t="s">
        <v>6559</v>
      </c>
      <c r="L394" s="265"/>
      <c r="M394" s="267"/>
      <c r="N394" s="287" t="s">
        <v>6523</v>
      </c>
    </row>
    <row r="395" ht="15.75" customHeight="1">
      <c r="A395" s="256" t="s">
        <v>2815</v>
      </c>
      <c r="B395" s="257">
        <v>14198.0</v>
      </c>
      <c r="C395" s="258">
        <v>25589.0</v>
      </c>
      <c r="D395" s="259">
        <v>44603.0</v>
      </c>
      <c r="E395" s="260">
        <v>0.4270833333333333</v>
      </c>
      <c r="F395" s="261" t="s">
        <v>6766</v>
      </c>
      <c r="G395" s="262" t="s">
        <v>6561</v>
      </c>
      <c r="H395" s="263" t="s">
        <v>6527</v>
      </c>
      <c r="I395" s="264" t="s">
        <v>6489</v>
      </c>
      <c r="J395" s="265"/>
      <c r="K395" s="266" t="s">
        <v>6559</v>
      </c>
      <c r="L395" s="265"/>
      <c r="M395" s="267"/>
      <c r="N395" s="287" t="s">
        <v>6523</v>
      </c>
    </row>
    <row r="396" ht="15.75" customHeight="1">
      <c r="A396" s="269" t="s">
        <v>7055</v>
      </c>
      <c r="B396" s="270">
        <v>17478.0</v>
      </c>
      <c r="C396" s="271">
        <v>17962.0</v>
      </c>
      <c r="D396" s="272">
        <v>44603.0</v>
      </c>
      <c r="E396" s="273">
        <v>0.4270833333333333</v>
      </c>
      <c r="F396" s="274" t="s">
        <v>6767</v>
      </c>
      <c r="G396" s="274" t="s">
        <v>6560</v>
      </c>
      <c r="H396" s="274" t="s">
        <v>6524</v>
      </c>
      <c r="I396" s="274" t="s">
        <v>6486</v>
      </c>
      <c r="J396" s="265"/>
      <c r="K396" s="266" t="s">
        <v>6559</v>
      </c>
      <c r="L396" s="261" t="s">
        <v>6559</v>
      </c>
      <c r="M396" s="275"/>
      <c r="N396" s="276" t="s">
        <v>7048</v>
      </c>
    </row>
    <row r="397" ht="15.75" customHeight="1">
      <c r="A397" s="269" t="s">
        <v>364</v>
      </c>
      <c r="B397" s="270">
        <v>10003.0</v>
      </c>
      <c r="C397" s="271">
        <v>17511.0</v>
      </c>
      <c r="D397" s="272">
        <v>44603.0</v>
      </c>
      <c r="E397" s="273">
        <v>0.3958333333333333</v>
      </c>
      <c r="F397" s="274" t="s">
        <v>6767</v>
      </c>
      <c r="G397" s="274" t="s">
        <v>6561</v>
      </c>
      <c r="H397" s="274" t="s">
        <v>6529</v>
      </c>
      <c r="I397" s="274" t="s">
        <v>6486</v>
      </c>
      <c r="J397" s="265"/>
      <c r="K397" s="266" t="s">
        <v>6559</v>
      </c>
      <c r="L397" s="265"/>
      <c r="M397" s="275"/>
      <c r="N397" s="288" t="s">
        <v>7049</v>
      </c>
    </row>
    <row r="398" ht="15.75" customHeight="1">
      <c r="A398" s="269" t="s">
        <v>3971</v>
      </c>
      <c r="B398" s="270">
        <v>15597.0</v>
      </c>
      <c r="C398" s="271">
        <v>16309.0</v>
      </c>
      <c r="D398" s="272">
        <v>44603.0</v>
      </c>
      <c r="E398" s="273">
        <v>0.4166666666666667</v>
      </c>
      <c r="F398" s="274" t="s">
        <v>6766</v>
      </c>
      <c r="G398" s="274" t="s">
        <v>6561</v>
      </c>
      <c r="H398" s="274" t="s">
        <v>6529</v>
      </c>
      <c r="I398" s="274" t="s">
        <v>6479</v>
      </c>
      <c r="J398" s="265"/>
      <c r="K398" s="266" t="s">
        <v>6559</v>
      </c>
      <c r="L398" s="265"/>
      <c r="M398" s="275"/>
      <c r="N398" s="288" t="s">
        <v>7049</v>
      </c>
    </row>
    <row r="399" ht="15.75" customHeight="1">
      <c r="A399" s="269" t="s">
        <v>4190</v>
      </c>
      <c r="B399" s="270">
        <v>15838.0</v>
      </c>
      <c r="C399" s="271">
        <v>21409.0</v>
      </c>
      <c r="D399" s="272">
        <v>44603.0</v>
      </c>
      <c r="E399" s="273">
        <v>0.4583333333333333</v>
      </c>
      <c r="F399" s="274" t="s">
        <v>6767</v>
      </c>
      <c r="G399" s="274" t="s">
        <v>6558</v>
      </c>
      <c r="H399" s="274" t="s">
        <v>6521</v>
      </c>
      <c r="I399" s="274" t="s">
        <v>6482</v>
      </c>
      <c r="J399" s="265"/>
      <c r="K399" s="266" t="s">
        <v>6559</v>
      </c>
      <c r="L399" s="261" t="s">
        <v>6559</v>
      </c>
      <c r="M399" s="275"/>
      <c r="N399" s="276" t="s">
        <v>7048</v>
      </c>
    </row>
    <row r="400" ht="15.75" customHeight="1">
      <c r="A400" s="256" t="s">
        <v>2923</v>
      </c>
      <c r="B400" s="257">
        <v>14332.0</v>
      </c>
      <c r="C400" s="258">
        <v>23076.0</v>
      </c>
      <c r="D400" s="259">
        <v>44603.0</v>
      </c>
      <c r="E400" s="260">
        <v>0.40625</v>
      </c>
      <c r="F400" s="261" t="s">
        <v>6767</v>
      </c>
      <c r="G400" s="262" t="s">
        <v>6560</v>
      </c>
      <c r="H400" s="263" t="s">
        <v>6524</v>
      </c>
      <c r="I400" s="264" t="s">
        <v>6407</v>
      </c>
      <c r="J400" s="265"/>
      <c r="K400" s="266" t="s">
        <v>6559</v>
      </c>
      <c r="L400" s="265"/>
      <c r="M400" s="267"/>
      <c r="N400" s="287" t="s">
        <v>6523</v>
      </c>
    </row>
    <row r="401" ht="15.75" customHeight="1">
      <c r="A401" s="269" t="s">
        <v>1315</v>
      </c>
      <c r="B401" s="270">
        <v>12197.0</v>
      </c>
      <c r="C401" s="271">
        <v>20786.0</v>
      </c>
      <c r="D401" s="272">
        <v>44603.0</v>
      </c>
      <c r="E401" s="273">
        <v>0.3541666666666667</v>
      </c>
      <c r="F401" s="274" t="s">
        <v>6767</v>
      </c>
      <c r="G401" s="274" t="s">
        <v>6561</v>
      </c>
      <c r="H401" s="274" t="s">
        <v>6524</v>
      </c>
      <c r="I401" s="274" t="s">
        <v>6486</v>
      </c>
      <c r="J401" s="265"/>
      <c r="K401" s="266" t="s">
        <v>6559</v>
      </c>
      <c r="L401" s="265"/>
      <c r="M401" s="275"/>
      <c r="N401" s="288" t="s">
        <v>7049</v>
      </c>
    </row>
    <row r="402" ht="15.75" customHeight="1">
      <c r="A402" s="256" t="s">
        <v>3451</v>
      </c>
      <c r="B402" s="257">
        <v>14977.0</v>
      </c>
      <c r="C402" s="258">
        <v>21888.0</v>
      </c>
      <c r="D402" s="259">
        <v>44603.0</v>
      </c>
      <c r="E402" s="260">
        <v>0.4479166666666667</v>
      </c>
      <c r="F402" s="261" t="s">
        <v>6766</v>
      </c>
      <c r="G402" s="262" t="s">
        <v>6562</v>
      </c>
      <c r="H402" s="263" t="s">
        <v>6527</v>
      </c>
      <c r="I402" s="264" t="s">
        <v>6489</v>
      </c>
      <c r="J402" s="265"/>
      <c r="K402" s="266" t="s">
        <v>6559</v>
      </c>
      <c r="L402" s="265"/>
      <c r="M402" s="267"/>
      <c r="N402" s="287" t="s">
        <v>6523</v>
      </c>
    </row>
    <row r="403" ht="15.75" customHeight="1">
      <c r="A403" s="269" t="s">
        <v>171</v>
      </c>
      <c r="B403" s="270">
        <v>9463.0</v>
      </c>
      <c r="C403" s="271">
        <v>25642.0</v>
      </c>
      <c r="D403" s="272">
        <v>44603.0</v>
      </c>
      <c r="E403" s="273">
        <v>0.4583333333333333</v>
      </c>
      <c r="F403" s="274" t="s">
        <v>6766</v>
      </c>
      <c r="G403" s="274" t="s">
        <v>6562</v>
      </c>
      <c r="H403" s="274" t="s">
        <v>6529</v>
      </c>
      <c r="I403" s="274" t="s">
        <v>6479</v>
      </c>
      <c r="J403" s="265"/>
      <c r="K403" s="266" t="s">
        <v>6559</v>
      </c>
      <c r="L403" s="265"/>
      <c r="M403" s="275"/>
      <c r="N403" s="288" t="s">
        <v>7049</v>
      </c>
    </row>
    <row r="404" ht="15.75" customHeight="1">
      <c r="A404" s="256" t="s">
        <v>4736</v>
      </c>
      <c r="B404" s="257">
        <v>16503.0</v>
      </c>
      <c r="C404" s="258">
        <v>12325.0</v>
      </c>
      <c r="D404" s="259">
        <v>44603.0</v>
      </c>
      <c r="E404" s="260">
        <v>0.4791666666666667</v>
      </c>
      <c r="F404" s="261" t="s">
        <v>6766</v>
      </c>
      <c r="G404" s="262" t="s">
        <v>6562</v>
      </c>
      <c r="H404" s="263" t="s">
        <v>6527</v>
      </c>
      <c r="I404" s="264" t="s">
        <v>6420</v>
      </c>
      <c r="J404" s="265"/>
      <c r="K404" s="266" t="s">
        <v>6559</v>
      </c>
      <c r="L404" s="265"/>
      <c r="M404" s="267"/>
      <c r="N404" s="287" t="s">
        <v>6523</v>
      </c>
    </row>
    <row r="405" ht="15.75" customHeight="1">
      <c r="A405" s="269" t="s">
        <v>4493</v>
      </c>
      <c r="B405" s="305">
        <v>16184.0</v>
      </c>
      <c r="C405" s="271">
        <v>17049.0</v>
      </c>
      <c r="D405" s="272">
        <v>44603.0</v>
      </c>
      <c r="E405" s="273">
        <v>0.46875</v>
      </c>
      <c r="F405" s="274" t="s">
        <v>6767</v>
      </c>
      <c r="G405" s="274" t="s">
        <v>6561</v>
      </c>
      <c r="H405" s="274" t="s">
        <v>6529</v>
      </c>
      <c r="I405" s="274" t="s">
        <v>6485</v>
      </c>
      <c r="J405" s="265"/>
      <c r="K405" s="266" t="s">
        <v>6559</v>
      </c>
      <c r="L405" s="265"/>
      <c r="M405" s="275"/>
      <c r="N405" s="288" t="s">
        <v>7049</v>
      </c>
    </row>
    <row r="406" ht="15.75" customHeight="1">
      <c r="A406" s="269" t="s">
        <v>3381</v>
      </c>
      <c r="B406" s="270">
        <v>14887.0</v>
      </c>
      <c r="C406" s="271">
        <v>18270.0</v>
      </c>
      <c r="D406" s="272">
        <v>44603.0</v>
      </c>
      <c r="E406" s="273">
        <v>0.4791666666666667</v>
      </c>
      <c r="F406" s="274" t="s">
        <v>6767</v>
      </c>
      <c r="G406" s="274" t="s">
        <v>6562</v>
      </c>
      <c r="H406" s="274" t="s">
        <v>6529</v>
      </c>
      <c r="I406" s="274" t="s">
        <v>6483</v>
      </c>
      <c r="J406" s="265"/>
      <c r="K406" s="266" t="s">
        <v>6559</v>
      </c>
      <c r="L406" s="265"/>
      <c r="M406" s="275"/>
      <c r="N406" s="288" t="s">
        <v>7049</v>
      </c>
    </row>
    <row r="407" ht="15.75" customHeight="1">
      <c r="A407" s="292" t="s">
        <v>944</v>
      </c>
      <c r="B407" s="293">
        <v>11421.0</v>
      </c>
      <c r="C407" s="294">
        <v>14043.0</v>
      </c>
      <c r="D407" s="295">
        <v>44603.0</v>
      </c>
      <c r="E407" s="296">
        <v>0.46875</v>
      </c>
      <c r="F407" s="297" t="s">
        <v>6767</v>
      </c>
      <c r="G407" s="297" t="s">
        <v>6558</v>
      </c>
      <c r="H407" s="297" t="s">
        <v>6521</v>
      </c>
      <c r="I407" s="297" t="s">
        <v>6390</v>
      </c>
      <c r="J407" s="306"/>
      <c r="K407" s="297" t="s">
        <v>6559</v>
      </c>
      <c r="L407" s="297"/>
      <c r="M407" s="298"/>
      <c r="N407" s="288" t="s">
        <v>7049</v>
      </c>
    </row>
    <row r="408" ht="15.75" customHeight="1">
      <c r="A408" s="269" t="s">
        <v>4041</v>
      </c>
      <c r="B408" s="270">
        <v>15673.0</v>
      </c>
      <c r="C408" s="271">
        <v>21105.0</v>
      </c>
      <c r="D408" s="272">
        <v>44603.0</v>
      </c>
      <c r="E408" s="273">
        <v>0.5520833333333334</v>
      </c>
      <c r="F408" s="274" t="s">
        <v>6767</v>
      </c>
      <c r="G408" s="274" t="s">
        <v>4</v>
      </c>
      <c r="H408" s="274" t="s">
        <v>6529</v>
      </c>
      <c r="I408" s="274" t="s">
        <v>6483</v>
      </c>
      <c r="J408" s="265"/>
      <c r="K408" s="266" t="s">
        <v>6559</v>
      </c>
      <c r="L408" s="265"/>
      <c r="M408" s="275"/>
      <c r="N408" s="288" t="s">
        <v>7049</v>
      </c>
    </row>
    <row r="409" ht="15.75" customHeight="1">
      <c r="A409" s="269" t="s">
        <v>3919</v>
      </c>
      <c r="B409" s="270">
        <v>15537.0</v>
      </c>
      <c r="C409" s="271">
        <v>21607.0</v>
      </c>
      <c r="D409" s="272">
        <v>44603.0</v>
      </c>
      <c r="E409" s="273">
        <v>0.5416666666666666</v>
      </c>
      <c r="F409" s="274" t="s">
        <v>6767</v>
      </c>
      <c r="G409" s="274" t="s">
        <v>6561</v>
      </c>
      <c r="H409" s="274" t="s">
        <v>6529</v>
      </c>
      <c r="I409" s="274" t="s">
        <v>6479</v>
      </c>
      <c r="J409" s="265"/>
      <c r="K409" s="266" t="s">
        <v>6559</v>
      </c>
      <c r="L409" s="265"/>
      <c r="M409" s="275"/>
      <c r="N409" s="288" t="s">
        <v>7049</v>
      </c>
    </row>
    <row r="410" ht="15.75" customHeight="1">
      <c r="A410" s="256" t="s">
        <v>2714</v>
      </c>
      <c r="B410" s="257">
        <v>14070.0</v>
      </c>
      <c r="C410" s="258">
        <v>26355.0</v>
      </c>
      <c r="D410" s="259">
        <v>44603.0</v>
      </c>
      <c r="E410" s="260">
        <v>0.5520833333333334</v>
      </c>
      <c r="F410" s="261" t="s">
        <v>6767</v>
      </c>
      <c r="G410" s="262" t="s">
        <v>6558</v>
      </c>
      <c r="H410" s="263" t="s">
        <v>6524</v>
      </c>
      <c r="I410" s="264" t="s">
        <v>6372</v>
      </c>
      <c r="J410" s="265"/>
      <c r="K410" s="266" t="s">
        <v>6559</v>
      </c>
      <c r="L410" s="265"/>
      <c r="M410" s="267"/>
      <c r="N410" s="287" t="s">
        <v>6523</v>
      </c>
    </row>
    <row r="411" ht="15.75" customHeight="1">
      <c r="A411" s="269" t="s">
        <v>3967</v>
      </c>
      <c r="B411" s="270">
        <v>15592.0</v>
      </c>
      <c r="C411" s="271">
        <v>17154.0</v>
      </c>
      <c r="D411" s="272">
        <v>44603.0</v>
      </c>
      <c r="E411" s="273">
        <v>0.5625</v>
      </c>
      <c r="F411" s="274" t="s">
        <v>6767</v>
      </c>
      <c r="G411" s="274" t="s">
        <v>6562</v>
      </c>
      <c r="H411" s="274" t="s">
        <v>6529</v>
      </c>
      <c r="I411" s="274" t="s">
        <v>6486</v>
      </c>
      <c r="J411" s="265"/>
      <c r="K411" s="266" t="s">
        <v>6559</v>
      </c>
      <c r="L411" s="265"/>
      <c r="M411" s="275"/>
      <c r="N411" s="288" t="s">
        <v>7049</v>
      </c>
    </row>
    <row r="412" ht="15.75" customHeight="1">
      <c r="A412" s="256" t="s">
        <v>4688</v>
      </c>
      <c r="B412" s="257">
        <v>16442.0</v>
      </c>
      <c r="C412" s="258">
        <v>22978.0</v>
      </c>
      <c r="D412" s="259">
        <v>44603.0</v>
      </c>
      <c r="E412" s="260">
        <v>0.5833333333333334</v>
      </c>
      <c r="F412" s="261" t="s">
        <v>6767</v>
      </c>
      <c r="G412" s="262" t="s">
        <v>6558</v>
      </c>
      <c r="H412" s="263" t="s">
        <v>6524</v>
      </c>
      <c r="I412" s="264" t="s">
        <v>6374</v>
      </c>
      <c r="J412" s="265"/>
      <c r="K412" s="266" t="s">
        <v>6559</v>
      </c>
      <c r="L412" s="261" t="s">
        <v>6559</v>
      </c>
      <c r="M412" s="267"/>
      <c r="N412" s="268" t="s">
        <v>6519</v>
      </c>
    </row>
    <row r="413" ht="15.75" customHeight="1">
      <c r="A413" s="256" t="s">
        <v>4689</v>
      </c>
      <c r="B413" s="257">
        <v>16443.0</v>
      </c>
      <c r="C413" s="258">
        <v>33995.0</v>
      </c>
      <c r="D413" s="259">
        <v>44603.0</v>
      </c>
      <c r="E413" s="260">
        <v>0.5833333333333334</v>
      </c>
      <c r="F413" s="261" t="s">
        <v>6767</v>
      </c>
      <c r="G413" s="262" t="s">
        <v>6558</v>
      </c>
      <c r="H413" s="263" t="s">
        <v>6524</v>
      </c>
      <c r="I413" s="264" t="s">
        <v>6374</v>
      </c>
      <c r="J413" s="265"/>
      <c r="K413" s="266" t="s">
        <v>6559</v>
      </c>
      <c r="L413" s="261" t="s">
        <v>6559</v>
      </c>
      <c r="M413" s="267"/>
      <c r="N413" s="268" t="s">
        <v>6519</v>
      </c>
    </row>
    <row r="414" ht="15.75" customHeight="1">
      <c r="A414" s="256" t="s">
        <v>2807</v>
      </c>
      <c r="B414" s="257">
        <v>14188.0</v>
      </c>
      <c r="C414" s="258">
        <v>23480.0</v>
      </c>
      <c r="D414" s="259">
        <v>44603.0</v>
      </c>
      <c r="E414" s="260">
        <v>0.5729166666666666</v>
      </c>
      <c r="F414" s="261" t="s">
        <v>6766</v>
      </c>
      <c r="G414" s="262" t="s">
        <v>6558</v>
      </c>
      <c r="H414" s="263" t="s">
        <v>6521</v>
      </c>
      <c r="I414" s="264" t="s">
        <v>6489</v>
      </c>
      <c r="J414" s="265"/>
      <c r="K414" s="266" t="s">
        <v>6559</v>
      </c>
      <c r="L414" s="265"/>
      <c r="M414" s="267"/>
      <c r="N414" s="287" t="s">
        <v>6523</v>
      </c>
    </row>
    <row r="415" ht="15.75" customHeight="1">
      <c r="A415" s="269" t="s">
        <v>1980</v>
      </c>
      <c r="B415" s="270">
        <v>13116.0</v>
      </c>
      <c r="C415" s="271">
        <v>22927.0</v>
      </c>
      <c r="D415" s="272">
        <v>44603.0</v>
      </c>
      <c r="E415" s="273">
        <v>0.5833333333333334</v>
      </c>
      <c r="F415" s="274" t="s">
        <v>6767</v>
      </c>
      <c r="G415" s="274" t="s">
        <v>6562</v>
      </c>
      <c r="H415" s="274" t="s">
        <v>6529</v>
      </c>
      <c r="I415" s="274" t="s">
        <v>6486</v>
      </c>
      <c r="J415" s="265"/>
      <c r="K415" s="266" t="s">
        <v>6559</v>
      </c>
      <c r="L415" s="261" t="s">
        <v>6559</v>
      </c>
      <c r="M415" s="275"/>
      <c r="N415" s="276" t="s">
        <v>7048</v>
      </c>
    </row>
    <row r="416" ht="15.75" customHeight="1">
      <c r="A416" s="256" t="s">
        <v>2720</v>
      </c>
      <c r="B416" s="257">
        <v>14076.0</v>
      </c>
      <c r="C416" s="258">
        <v>29289.0</v>
      </c>
      <c r="D416" s="259">
        <v>44603.0</v>
      </c>
      <c r="E416" s="260">
        <v>0.6041666666666666</v>
      </c>
      <c r="F416" s="261" t="s">
        <v>6766</v>
      </c>
      <c r="G416" s="262" t="s">
        <v>6560</v>
      </c>
      <c r="H416" s="263" t="s">
        <v>6524</v>
      </c>
      <c r="I416" s="264" t="s">
        <v>6489</v>
      </c>
      <c r="J416" s="265"/>
      <c r="K416" s="266" t="s">
        <v>6559</v>
      </c>
      <c r="L416" s="261" t="s">
        <v>6559</v>
      </c>
      <c r="M416" s="267"/>
      <c r="N416" s="268" t="s">
        <v>6519</v>
      </c>
    </row>
    <row r="417" ht="15.75" customHeight="1">
      <c r="A417" s="256" t="s">
        <v>4009</v>
      </c>
      <c r="B417" s="257">
        <v>16283.0</v>
      </c>
      <c r="C417" s="258">
        <v>19566.0</v>
      </c>
      <c r="D417" s="259">
        <v>44603.0</v>
      </c>
      <c r="E417" s="260">
        <v>0.6041666666666666</v>
      </c>
      <c r="F417" s="261" t="s">
        <v>6767</v>
      </c>
      <c r="G417" s="262" t="s">
        <v>6561</v>
      </c>
      <c r="H417" s="263" t="s">
        <v>6529</v>
      </c>
      <c r="I417" s="264" t="s">
        <v>6427</v>
      </c>
      <c r="J417" s="265"/>
      <c r="K417" s="266" t="s">
        <v>6559</v>
      </c>
      <c r="L417" s="265"/>
      <c r="M417" s="267"/>
      <c r="N417" s="287" t="s">
        <v>6523</v>
      </c>
    </row>
    <row r="418" ht="15.75" customHeight="1">
      <c r="A418" s="269" t="s">
        <v>958</v>
      </c>
      <c r="B418" s="270">
        <v>11447.0</v>
      </c>
      <c r="C418" s="271">
        <v>25776.0</v>
      </c>
      <c r="D418" s="272">
        <v>44603.0</v>
      </c>
      <c r="E418" s="273">
        <v>0.6458333333333334</v>
      </c>
      <c r="F418" s="274" t="s">
        <v>6767</v>
      </c>
      <c r="G418" s="274" t="s">
        <v>6562</v>
      </c>
      <c r="H418" s="274" t="s">
        <v>6527</v>
      </c>
      <c r="I418" s="274" t="s">
        <v>6482</v>
      </c>
      <c r="J418" s="265"/>
      <c r="K418" s="266" t="s">
        <v>6559</v>
      </c>
      <c r="L418" s="265"/>
      <c r="M418" s="275"/>
      <c r="N418" s="288" t="s">
        <v>7049</v>
      </c>
    </row>
    <row r="419" ht="15.75" customHeight="1">
      <c r="A419" s="269" t="s">
        <v>2827</v>
      </c>
      <c r="B419" s="270">
        <v>14216.0</v>
      </c>
      <c r="C419" s="271">
        <v>22769.0</v>
      </c>
      <c r="D419" s="272">
        <v>44603.0</v>
      </c>
      <c r="E419" s="273">
        <v>0.6041666666666666</v>
      </c>
      <c r="F419" s="274" t="s">
        <v>6767</v>
      </c>
      <c r="G419" s="274" t="s">
        <v>6561</v>
      </c>
      <c r="H419" s="274" t="s">
        <v>6529</v>
      </c>
      <c r="I419" s="274" t="s">
        <v>6479</v>
      </c>
      <c r="J419" s="265"/>
      <c r="K419" s="266" t="s">
        <v>6559</v>
      </c>
      <c r="L419" s="265"/>
      <c r="M419" s="275"/>
      <c r="N419" s="288" t="s">
        <v>7049</v>
      </c>
    </row>
    <row r="420" ht="15.75" customHeight="1">
      <c r="A420" s="256" t="s">
        <v>1378</v>
      </c>
      <c r="B420" s="257">
        <v>12309.0</v>
      </c>
      <c r="C420" s="258">
        <v>16897.0</v>
      </c>
      <c r="D420" s="259">
        <v>44603.0</v>
      </c>
      <c r="E420" s="260">
        <v>0.5625</v>
      </c>
      <c r="F420" s="261" t="s">
        <v>6766</v>
      </c>
      <c r="G420" s="262" t="s">
        <v>6558</v>
      </c>
      <c r="H420" s="263" t="s">
        <v>6521</v>
      </c>
      <c r="I420" s="264" t="s">
        <v>6489</v>
      </c>
      <c r="J420" s="265"/>
      <c r="K420" s="266" t="s">
        <v>6559</v>
      </c>
      <c r="L420" s="261" t="s">
        <v>6559</v>
      </c>
      <c r="M420" s="267"/>
      <c r="N420" s="268" t="s">
        <v>6519</v>
      </c>
    </row>
    <row r="421" ht="15.75" customHeight="1">
      <c r="A421" s="269" t="s">
        <v>173</v>
      </c>
      <c r="B421" s="270">
        <v>9470.0</v>
      </c>
      <c r="C421" s="271">
        <v>14237.0</v>
      </c>
      <c r="D421" s="272">
        <v>44603.0</v>
      </c>
      <c r="E421" s="273">
        <v>0.6041666666666666</v>
      </c>
      <c r="F421" s="274" t="s">
        <v>6767</v>
      </c>
      <c r="G421" s="274" t="s">
        <v>6562</v>
      </c>
      <c r="H421" s="274" t="s">
        <v>6529</v>
      </c>
      <c r="I421" s="274" t="s">
        <v>6486</v>
      </c>
      <c r="J421" s="265"/>
      <c r="K421" s="266" t="s">
        <v>6559</v>
      </c>
      <c r="L421" s="265"/>
      <c r="M421" s="275"/>
      <c r="N421" s="288" t="s">
        <v>7049</v>
      </c>
    </row>
    <row r="422" ht="15.75" customHeight="1">
      <c r="A422" s="256" t="s">
        <v>1667</v>
      </c>
      <c r="B422" s="257">
        <v>12741.0</v>
      </c>
      <c r="C422" s="258">
        <v>25142.0</v>
      </c>
      <c r="D422" s="259">
        <v>44603.0</v>
      </c>
      <c r="E422" s="260">
        <v>0.625</v>
      </c>
      <c r="F422" s="261" t="s">
        <v>6767</v>
      </c>
      <c r="G422" s="262" t="s">
        <v>6562</v>
      </c>
      <c r="H422" s="263" t="s">
        <v>6529</v>
      </c>
      <c r="I422" s="264" t="s">
        <v>6427</v>
      </c>
      <c r="J422" s="265"/>
      <c r="K422" s="266" t="s">
        <v>6559</v>
      </c>
      <c r="L422" s="265"/>
      <c r="M422" s="267"/>
      <c r="N422" s="287" t="s">
        <v>6523</v>
      </c>
    </row>
    <row r="423" ht="15.75" customHeight="1">
      <c r="A423" s="256" t="s">
        <v>1313</v>
      </c>
      <c r="B423" s="257">
        <v>12190.0</v>
      </c>
      <c r="C423" s="258">
        <v>16791.0</v>
      </c>
      <c r="D423" s="259">
        <v>44603.0</v>
      </c>
      <c r="E423" s="260">
        <v>0.625</v>
      </c>
      <c r="F423" s="261" t="s">
        <v>6767</v>
      </c>
      <c r="G423" s="262" t="s">
        <v>6561</v>
      </c>
      <c r="H423" s="263" t="s">
        <v>6529</v>
      </c>
      <c r="I423" s="264" t="s">
        <v>6427</v>
      </c>
      <c r="J423" s="265"/>
      <c r="K423" s="266" t="s">
        <v>6559</v>
      </c>
      <c r="L423" s="261" t="s">
        <v>6559</v>
      </c>
      <c r="M423" s="267"/>
      <c r="N423" s="268" t="s">
        <v>6519</v>
      </c>
    </row>
    <row r="424" ht="15.75" customHeight="1">
      <c r="A424" s="292" t="s">
        <v>79</v>
      </c>
      <c r="B424" s="293">
        <v>9213.0</v>
      </c>
      <c r="C424" s="294">
        <v>21844.0</v>
      </c>
      <c r="D424" s="295">
        <v>44603.0</v>
      </c>
      <c r="E424" s="296">
        <v>0.6354166666666666</v>
      </c>
      <c r="F424" s="297" t="s">
        <v>6767</v>
      </c>
      <c r="G424" s="297" t="s">
        <v>6561</v>
      </c>
      <c r="H424" s="297" t="s">
        <v>6527</v>
      </c>
      <c r="I424" s="297" t="s">
        <v>6390</v>
      </c>
      <c r="J424" s="306"/>
      <c r="K424" s="297" t="s">
        <v>6559</v>
      </c>
      <c r="L424" s="297"/>
      <c r="M424" s="307"/>
      <c r="N424" s="288" t="s">
        <v>7049</v>
      </c>
    </row>
    <row r="425" ht="15.75" customHeight="1">
      <c r="A425" s="292" t="s">
        <v>2784</v>
      </c>
      <c r="B425" s="293">
        <v>14156.0</v>
      </c>
      <c r="C425" s="294">
        <v>18022.0</v>
      </c>
      <c r="D425" s="295">
        <v>44603.0</v>
      </c>
      <c r="E425" s="296">
        <v>0.625</v>
      </c>
      <c r="F425" s="297" t="s">
        <v>6767</v>
      </c>
      <c r="G425" s="297" t="s">
        <v>6558</v>
      </c>
      <c r="H425" s="297" t="s">
        <v>6521</v>
      </c>
      <c r="I425" s="297" t="s">
        <v>6390</v>
      </c>
      <c r="J425" s="306"/>
      <c r="K425" s="297" t="s">
        <v>6559</v>
      </c>
      <c r="L425" s="297"/>
      <c r="M425" s="298"/>
      <c r="N425" s="288" t="s">
        <v>7049</v>
      </c>
    </row>
    <row r="426" ht="15.75" customHeight="1">
      <c r="A426" s="256" t="s">
        <v>1189</v>
      </c>
      <c r="B426" s="257">
        <v>11933.0</v>
      </c>
      <c r="C426" s="258">
        <v>26960.0</v>
      </c>
      <c r="D426" s="259">
        <v>44603.0</v>
      </c>
      <c r="E426" s="260">
        <v>0.6458333333333334</v>
      </c>
      <c r="F426" s="261" t="s">
        <v>6766</v>
      </c>
      <c r="G426" s="262" t="s">
        <v>6558</v>
      </c>
      <c r="H426" s="263" t="s">
        <v>6521</v>
      </c>
      <c r="I426" s="264" t="s">
        <v>6374</v>
      </c>
      <c r="J426" s="265"/>
      <c r="K426" s="266" t="s">
        <v>6559</v>
      </c>
      <c r="L426" s="261" t="s">
        <v>6559</v>
      </c>
      <c r="M426" s="267"/>
      <c r="N426" s="268" t="s">
        <v>6519</v>
      </c>
    </row>
    <row r="427" ht="15.75" customHeight="1">
      <c r="A427" s="256" t="s">
        <v>341</v>
      </c>
      <c r="B427" s="257">
        <v>9929.0</v>
      </c>
      <c r="C427" s="258">
        <v>28475.0</v>
      </c>
      <c r="D427" s="259">
        <v>44603.0</v>
      </c>
      <c r="E427" s="260">
        <v>0.6458333333333334</v>
      </c>
      <c r="F427" s="261" t="s">
        <v>6767</v>
      </c>
      <c r="G427" s="262" t="s">
        <v>6562</v>
      </c>
      <c r="H427" s="263" t="s">
        <v>6529</v>
      </c>
      <c r="I427" s="264" t="s">
        <v>7056</v>
      </c>
      <c r="J427" s="265"/>
      <c r="K427" s="266" t="s">
        <v>6559</v>
      </c>
      <c r="L427" s="265"/>
      <c r="M427" s="267"/>
      <c r="N427" s="288" t="s">
        <v>7049</v>
      </c>
    </row>
    <row r="428" ht="15.75" customHeight="1">
      <c r="A428" s="269" t="s">
        <v>4850</v>
      </c>
      <c r="B428" s="270">
        <v>16656.0</v>
      </c>
      <c r="C428" s="271">
        <v>19104.0</v>
      </c>
      <c r="D428" s="272">
        <v>44603.0</v>
      </c>
      <c r="E428" s="273">
        <v>0.6458333333333334</v>
      </c>
      <c r="F428" s="274" t="s">
        <v>6767</v>
      </c>
      <c r="G428" s="274" t="s">
        <v>6560</v>
      </c>
      <c r="H428" s="274" t="s">
        <v>6524</v>
      </c>
      <c r="I428" s="274" t="s">
        <v>6486</v>
      </c>
      <c r="J428" s="265"/>
      <c r="K428" s="266" t="s">
        <v>6559</v>
      </c>
      <c r="L428" s="265"/>
      <c r="M428" s="275"/>
      <c r="N428" s="288" t="s">
        <v>7049</v>
      </c>
    </row>
    <row r="429" ht="15.75" customHeight="1">
      <c r="A429" s="269" t="s">
        <v>198</v>
      </c>
      <c r="B429" s="270">
        <v>9531.0</v>
      </c>
      <c r="C429" s="271">
        <v>17451.0</v>
      </c>
      <c r="D429" s="272">
        <v>44603.0</v>
      </c>
      <c r="E429" s="273">
        <v>0.65625</v>
      </c>
      <c r="F429" s="274" t="s">
        <v>6767</v>
      </c>
      <c r="G429" s="274" t="s">
        <v>6562</v>
      </c>
      <c r="H429" s="274" t="s">
        <v>6527</v>
      </c>
      <c r="I429" s="274" t="s">
        <v>6484</v>
      </c>
      <c r="J429" s="265"/>
      <c r="K429" s="266" t="s">
        <v>6559</v>
      </c>
      <c r="L429" s="261" t="s">
        <v>6559</v>
      </c>
      <c r="M429" s="275"/>
      <c r="N429" s="276" t="s">
        <v>7048</v>
      </c>
    </row>
    <row r="430" ht="15.75" customHeight="1">
      <c r="A430" s="256" t="s">
        <v>4613</v>
      </c>
      <c r="B430" s="257">
        <v>16340.0</v>
      </c>
      <c r="C430" s="258">
        <v>21007.0</v>
      </c>
      <c r="D430" s="259">
        <v>44603.0</v>
      </c>
      <c r="E430" s="260">
        <v>0.6770833333333334</v>
      </c>
      <c r="F430" s="261" t="s">
        <v>6766</v>
      </c>
      <c r="G430" s="262" t="s">
        <v>6562</v>
      </c>
      <c r="H430" s="263" t="s">
        <v>6527</v>
      </c>
      <c r="I430" s="264" t="s">
        <v>6444</v>
      </c>
      <c r="J430" s="265"/>
      <c r="K430" s="266" t="s">
        <v>6559</v>
      </c>
      <c r="L430" s="261" t="s">
        <v>6559</v>
      </c>
      <c r="M430" s="267"/>
      <c r="N430" s="268" t="s">
        <v>6519</v>
      </c>
    </row>
    <row r="431" ht="15.75" customHeight="1">
      <c r="A431" s="256" t="s">
        <v>2852</v>
      </c>
      <c r="B431" s="257">
        <v>14249.0</v>
      </c>
      <c r="C431" s="258">
        <v>27991.0</v>
      </c>
      <c r="D431" s="259">
        <v>44603.0</v>
      </c>
      <c r="E431" s="260">
        <v>0.6458333333333334</v>
      </c>
      <c r="F431" s="261" t="s">
        <v>6766</v>
      </c>
      <c r="G431" s="262" t="s">
        <v>6558</v>
      </c>
      <c r="H431" s="263" t="s">
        <v>6521</v>
      </c>
      <c r="I431" s="264" t="s">
        <v>6489</v>
      </c>
      <c r="J431" s="265"/>
      <c r="K431" s="266" t="s">
        <v>6559</v>
      </c>
      <c r="L431" s="265"/>
      <c r="M431" s="267"/>
      <c r="N431" s="287" t="s">
        <v>6523</v>
      </c>
    </row>
    <row r="432" ht="15.75" customHeight="1">
      <c r="A432" s="256" t="s">
        <v>6318</v>
      </c>
      <c r="B432" s="257">
        <v>18046.0</v>
      </c>
      <c r="C432" s="258">
        <v>21540.0</v>
      </c>
      <c r="D432" s="259">
        <v>44606.0</v>
      </c>
      <c r="E432" s="260">
        <v>0.4166666666666667</v>
      </c>
      <c r="F432" s="261" t="s">
        <v>6766</v>
      </c>
      <c r="G432" s="262" t="s">
        <v>6561</v>
      </c>
      <c r="H432" s="263" t="s">
        <v>6527</v>
      </c>
      <c r="I432" s="264" t="s">
        <v>6407</v>
      </c>
      <c r="J432" s="279" t="s">
        <v>6559</v>
      </c>
      <c r="K432" s="265"/>
      <c r="L432" s="265"/>
      <c r="M432" s="267"/>
      <c r="N432" s="291" t="s">
        <v>6525</v>
      </c>
    </row>
    <row r="433" ht="15.75" customHeight="1">
      <c r="A433" s="256" t="s">
        <v>6162</v>
      </c>
      <c r="B433" s="257">
        <v>17869.0</v>
      </c>
      <c r="C433" s="258">
        <v>14526.0</v>
      </c>
      <c r="D433" s="259">
        <v>44606.0</v>
      </c>
      <c r="E433" s="260">
        <v>0.3645833333333333</v>
      </c>
      <c r="F433" s="261" t="s">
        <v>6766</v>
      </c>
      <c r="G433" s="262" t="s">
        <v>6561</v>
      </c>
      <c r="H433" s="263" t="s">
        <v>6529</v>
      </c>
      <c r="I433" s="264" t="s">
        <v>6427</v>
      </c>
      <c r="J433" s="265"/>
      <c r="K433" s="266" t="s">
        <v>6559</v>
      </c>
      <c r="L433" s="261" t="s">
        <v>6559</v>
      </c>
      <c r="M433" s="267"/>
      <c r="N433" s="268" t="s">
        <v>6519</v>
      </c>
    </row>
    <row r="434" ht="15.75" customHeight="1">
      <c r="A434" s="256" t="s">
        <v>6319</v>
      </c>
      <c r="B434" s="257">
        <v>18077.0</v>
      </c>
      <c r="C434" s="258">
        <v>25390.0</v>
      </c>
      <c r="D434" s="259">
        <v>44606.0</v>
      </c>
      <c r="E434" s="260">
        <v>0.3645833333333333</v>
      </c>
      <c r="F434" s="261" t="s">
        <v>6767</v>
      </c>
      <c r="G434" s="262" t="s">
        <v>6561</v>
      </c>
      <c r="H434" s="263" t="s">
        <v>6527</v>
      </c>
      <c r="I434" s="264" t="s">
        <v>6374</v>
      </c>
      <c r="J434" s="279" t="s">
        <v>6559</v>
      </c>
      <c r="K434" s="265"/>
      <c r="L434" s="265"/>
      <c r="M434" s="267"/>
      <c r="N434" s="291" t="s">
        <v>6525</v>
      </c>
    </row>
    <row r="435" ht="15.75" customHeight="1">
      <c r="A435" s="256" t="s">
        <v>3245</v>
      </c>
      <c r="B435" s="257">
        <v>14725.0</v>
      </c>
      <c r="C435" s="258">
        <v>24665.0</v>
      </c>
      <c r="D435" s="259">
        <v>44606.0</v>
      </c>
      <c r="E435" s="260">
        <v>0.3645833333333333</v>
      </c>
      <c r="F435" s="261" t="s">
        <v>6766</v>
      </c>
      <c r="G435" s="262" t="s">
        <v>6562</v>
      </c>
      <c r="H435" s="263" t="s">
        <v>6527</v>
      </c>
      <c r="I435" s="264" t="s">
        <v>6466</v>
      </c>
      <c r="J435" s="265"/>
      <c r="K435" s="266" t="s">
        <v>6559</v>
      </c>
      <c r="L435" s="265"/>
      <c r="M435" s="267"/>
      <c r="N435" s="287" t="s">
        <v>6523</v>
      </c>
    </row>
    <row r="436" ht="15.75" customHeight="1">
      <c r="A436" s="256" t="s">
        <v>5032</v>
      </c>
      <c r="B436" s="257">
        <v>16887.0</v>
      </c>
      <c r="C436" s="258">
        <v>27615.0</v>
      </c>
      <c r="D436" s="259">
        <v>44606.0</v>
      </c>
      <c r="E436" s="260">
        <v>0.375</v>
      </c>
      <c r="F436" s="261" t="s">
        <v>6766</v>
      </c>
      <c r="G436" s="262" t="s">
        <v>6561</v>
      </c>
      <c r="H436" s="263" t="s">
        <v>6527</v>
      </c>
      <c r="I436" s="264" t="s">
        <v>6470</v>
      </c>
      <c r="J436" s="265"/>
      <c r="K436" s="266" t="s">
        <v>6559</v>
      </c>
      <c r="L436" s="265"/>
      <c r="M436" s="267"/>
      <c r="N436" s="287" t="s">
        <v>6523</v>
      </c>
    </row>
    <row r="437" ht="15.75" customHeight="1">
      <c r="A437" s="256" t="s">
        <v>2410</v>
      </c>
      <c r="B437" s="257">
        <v>13668.0</v>
      </c>
      <c r="C437" s="258">
        <v>23634.0</v>
      </c>
      <c r="D437" s="259">
        <v>44606.0</v>
      </c>
      <c r="E437" s="260">
        <v>0.3958333333333333</v>
      </c>
      <c r="F437" s="261" t="s">
        <v>6766</v>
      </c>
      <c r="G437" s="262" t="s">
        <v>6561</v>
      </c>
      <c r="H437" s="263" t="s">
        <v>6527</v>
      </c>
      <c r="I437" s="264" t="s">
        <v>6426</v>
      </c>
      <c r="J437" s="265"/>
      <c r="K437" s="266" t="s">
        <v>6559</v>
      </c>
      <c r="L437" s="261" t="s">
        <v>6559</v>
      </c>
      <c r="M437" s="267"/>
      <c r="N437" s="268" t="s">
        <v>6519</v>
      </c>
    </row>
    <row r="438" ht="15.75" customHeight="1">
      <c r="A438" s="256" t="s">
        <v>6320</v>
      </c>
      <c r="B438" s="257">
        <v>18058.0</v>
      </c>
      <c r="C438" s="258">
        <v>22897.0</v>
      </c>
      <c r="D438" s="259">
        <v>44606.0</v>
      </c>
      <c r="E438" s="260">
        <v>0.3958333333333333</v>
      </c>
      <c r="F438" s="261" t="s">
        <v>6766</v>
      </c>
      <c r="G438" s="262" t="s">
        <v>6562</v>
      </c>
      <c r="H438" s="263" t="s">
        <v>6527</v>
      </c>
      <c r="I438" s="264" t="s">
        <v>6384</v>
      </c>
      <c r="J438" s="279" t="s">
        <v>6559</v>
      </c>
      <c r="K438" s="265"/>
      <c r="L438" s="265"/>
      <c r="M438" s="267"/>
      <c r="N438" s="291" t="s">
        <v>6525</v>
      </c>
    </row>
    <row r="439" ht="15.75" customHeight="1">
      <c r="A439" s="256" t="s">
        <v>6321</v>
      </c>
      <c r="B439" s="257">
        <v>18113.0</v>
      </c>
      <c r="C439" s="258">
        <v>17944.0</v>
      </c>
      <c r="D439" s="259">
        <v>44606.0</v>
      </c>
      <c r="E439" s="260">
        <v>0.3958333333333333</v>
      </c>
      <c r="F439" s="261" t="s">
        <v>6766</v>
      </c>
      <c r="G439" s="262" t="s">
        <v>6562</v>
      </c>
      <c r="H439" s="263" t="s">
        <v>6527</v>
      </c>
      <c r="I439" s="264" t="s">
        <v>6476</v>
      </c>
      <c r="J439" s="279" t="s">
        <v>6559</v>
      </c>
      <c r="K439" s="265"/>
      <c r="L439" s="265"/>
      <c r="M439" s="267"/>
      <c r="N439" s="291" t="s">
        <v>6525</v>
      </c>
    </row>
    <row r="440" ht="15.75" customHeight="1">
      <c r="A440" s="256" t="s">
        <v>2861</v>
      </c>
      <c r="B440" s="257">
        <v>14262.0</v>
      </c>
      <c r="C440" s="258">
        <v>31118.0</v>
      </c>
      <c r="D440" s="259">
        <v>44606.0</v>
      </c>
      <c r="E440" s="260">
        <v>0.3333333333333333</v>
      </c>
      <c r="F440" s="261" t="s">
        <v>6767</v>
      </c>
      <c r="G440" s="262" t="s">
        <v>6558</v>
      </c>
      <c r="H440" s="263" t="s">
        <v>6521</v>
      </c>
      <c r="I440" s="264" t="s">
        <v>6427</v>
      </c>
      <c r="J440" s="265"/>
      <c r="K440" s="266" t="s">
        <v>6559</v>
      </c>
      <c r="L440" s="261" t="s">
        <v>6559</v>
      </c>
      <c r="M440" s="267"/>
      <c r="N440" s="268" t="s">
        <v>6519</v>
      </c>
    </row>
    <row r="441" ht="15.75" customHeight="1">
      <c r="A441" s="308" t="s">
        <v>920</v>
      </c>
      <c r="B441" s="309">
        <v>11363.0</v>
      </c>
      <c r="C441" s="310">
        <v>23246.0</v>
      </c>
      <c r="D441" s="311">
        <v>44606.0</v>
      </c>
      <c r="E441" s="312">
        <v>0.34375</v>
      </c>
      <c r="F441" s="313" t="s">
        <v>6766</v>
      </c>
      <c r="G441" s="313" t="s">
        <v>6558</v>
      </c>
      <c r="H441" s="313" t="s">
        <v>6521</v>
      </c>
      <c r="I441" s="313" t="s">
        <v>6372</v>
      </c>
      <c r="J441" s="314"/>
      <c r="K441" s="313" t="s">
        <v>6559</v>
      </c>
      <c r="L441" s="313"/>
      <c r="M441" s="315" t="s">
        <v>7057</v>
      </c>
      <c r="N441" s="288" t="s">
        <v>7058</v>
      </c>
    </row>
    <row r="442" ht="15.75" customHeight="1">
      <c r="A442" s="256" t="s">
        <v>2677</v>
      </c>
      <c r="B442" s="257">
        <v>14019.0</v>
      </c>
      <c r="C442" s="258">
        <v>23292.0</v>
      </c>
      <c r="D442" s="259">
        <v>44606.0</v>
      </c>
      <c r="E442" s="260">
        <v>0.375</v>
      </c>
      <c r="F442" s="261" t="s">
        <v>6766</v>
      </c>
      <c r="G442" s="262" t="s">
        <v>6558</v>
      </c>
      <c r="H442" s="263" t="s">
        <v>6521</v>
      </c>
      <c r="I442" s="264" t="s">
        <v>6489</v>
      </c>
      <c r="J442" s="265"/>
      <c r="K442" s="266" t="s">
        <v>6559</v>
      </c>
      <c r="L442" s="261" t="s">
        <v>6559</v>
      </c>
      <c r="M442" s="267"/>
      <c r="N442" s="268" t="s">
        <v>6519</v>
      </c>
    </row>
    <row r="443" ht="15.75" customHeight="1">
      <c r="A443" s="256" t="s">
        <v>860</v>
      </c>
      <c r="B443" s="257">
        <v>11209.0</v>
      </c>
      <c r="C443" s="258">
        <v>27406.0</v>
      </c>
      <c r="D443" s="259">
        <v>44606.0</v>
      </c>
      <c r="E443" s="260">
        <v>0.3958333333333333</v>
      </c>
      <c r="F443" s="261" t="s">
        <v>6766</v>
      </c>
      <c r="G443" s="262" t="s">
        <v>6558</v>
      </c>
      <c r="H443" s="263" t="s">
        <v>6521</v>
      </c>
      <c r="I443" s="264" t="s">
        <v>6445</v>
      </c>
      <c r="J443" s="265"/>
      <c r="K443" s="266" t="s">
        <v>6559</v>
      </c>
      <c r="L443" s="261" t="s">
        <v>6559</v>
      </c>
      <c r="M443" s="267"/>
      <c r="N443" s="268" t="s">
        <v>6519</v>
      </c>
    </row>
    <row r="444" ht="15.75" customHeight="1">
      <c r="A444" s="269" t="s">
        <v>421</v>
      </c>
      <c r="B444" s="270">
        <v>10140.0</v>
      </c>
      <c r="C444" s="271">
        <v>24305.0</v>
      </c>
      <c r="D444" s="272">
        <v>44606.0</v>
      </c>
      <c r="E444" s="273">
        <v>0.4166666666666667</v>
      </c>
      <c r="F444" s="274" t="s">
        <v>6767</v>
      </c>
      <c r="G444" s="274" t="s">
        <v>6561</v>
      </c>
      <c r="H444" s="274" t="s">
        <v>6527</v>
      </c>
      <c r="I444" s="274" t="s">
        <v>6479</v>
      </c>
      <c r="J444" s="265"/>
      <c r="K444" s="266" t="s">
        <v>6559</v>
      </c>
      <c r="L444" s="265"/>
      <c r="M444" s="275"/>
      <c r="N444" s="288" t="s">
        <v>7049</v>
      </c>
    </row>
    <row r="445" ht="15.75" customHeight="1">
      <c r="A445" s="292" t="s">
        <v>3397</v>
      </c>
      <c r="B445" s="293">
        <v>14908.0</v>
      </c>
      <c r="C445" s="294">
        <v>23122.0</v>
      </c>
      <c r="D445" s="295">
        <v>44606.0</v>
      </c>
      <c r="E445" s="296">
        <v>0.3333333333333333</v>
      </c>
      <c r="F445" s="297" t="s">
        <v>6767</v>
      </c>
      <c r="G445" s="297" t="s">
        <v>6560</v>
      </c>
      <c r="H445" s="297" t="s">
        <v>6524</v>
      </c>
      <c r="I445" s="297" t="s">
        <v>6432</v>
      </c>
      <c r="J445" s="265"/>
      <c r="K445" s="266" t="s">
        <v>6559</v>
      </c>
      <c r="L445" s="265"/>
      <c r="M445" s="298"/>
      <c r="N445" s="288" t="s">
        <v>7049</v>
      </c>
    </row>
    <row r="446" ht="15.75" customHeight="1">
      <c r="A446" s="256" t="s">
        <v>4285</v>
      </c>
      <c r="B446" s="257">
        <v>15939.0</v>
      </c>
      <c r="C446" s="258">
        <v>24219.0</v>
      </c>
      <c r="D446" s="259">
        <v>44606.0</v>
      </c>
      <c r="E446" s="260">
        <v>0.34375</v>
      </c>
      <c r="F446" s="261" t="s">
        <v>6767</v>
      </c>
      <c r="G446" s="262" t="s">
        <v>6560</v>
      </c>
      <c r="H446" s="263" t="s">
        <v>6524</v>
      </c>
      <c r="I446" s="264" t="s">
        <v>6444</v>
      </c>
      <c r="J446" s="265"/>
      <c r="K446" s="266" t="s">
        <v>6559</v>
      </c>
      <c r="L446" s="265"/>
      <c r="M446" s="267"/>
      <c r="N446" s="287" t="s">
        <v>6523</v>
      </c>
    </row>
    <row r="447" ht="15.75" customHeight="1">
      <c r="A447" s="256" t="s">
        <v>271</v>
      </c>
      <c r="B447" s="257">
        <v>9726.0</v>
      </c>
      <c r="C447" s="258">
        <v>23374.0</v>
      </c>
      <c r="D447" s="259">
        <v>44606.0</v>
      </c>
      <c r="E447" s="260">
        <v>0.3541666666666667</v>
      </c>
      <c r="F447" s="261" t="s">
        <v>6766</v>
      </c>
      <c r="G447" s="262" t="s">
        <v>6560</v>
      </c>
      <c r="H447" s="263" t="s">
        <v>6524</v>
      </c>
      <c r="I447" s="264" t="s">
        <v>6489</v>
      </c>
      <c r="J447" s="265"/>
      <c r="K447" s="266" t="s">
        <v>6559</v>
      </c>
      <c r="L447" s="261" t="s">
        <v>6559</v>
      </c>
      <c r="M447" s="267"/>
      <c r="N447" s="268" t="s">
        <v>6519</v>
      </c>
    </row>
    <row r="448" ht="15.75" customHeight="1">
      <c r="A448" s="256" t="s">
        <v>5998</v>
      </c>
      <c r="B448" s="257">
        <v>17844.0</v>
      </c>
      <c r="C448" s="258">
        <v>30422.0</v>
      </c>
      <c r="D448" s="259">
        <v>44606.0</v>
      </c>
      <c r="E448" s="260">
        <v>0.3645833333333333</v>
      </c>
      <c r="F448" s="261" t="s">
        <v>6767</v>
      </c>
      <c r="G448" s="262" t="s">
        <v>6560</v>
      </c>
      <c r="H448" s="263" t="s">
        <v>6524</v>
      </c>
      <c r="I448" s="264" t="s">
        <v>6381</v>
      </c>
      <c r="J448" s="265"/>
      <c r="K448" s="266" t="s">
        <v>6559</v>
      </c>
      <c r="L448" s="261" t="s">
        <v>6559</v>
      </c>
      <c r="M448" s="267"/>
      <c r="N448" s="268" t="s">
        <v>6519</v>
      </c>
    </row>
    <row r="449" ht="15.75" customHeight="1">
      <c r="A449" s="269" t="s">
        <v>799</v>
      </c>
      <c r="B449" s="270">
        <v>11080.0</v>
      </c>
      <c r="C449" s="271">
        <v>16280.0</v>
      </c>
      <c r="D449" s="272">
        <v>44606.0</v>
      </c>
      <c r="E449" s="273">
        <v>0.375</v>
      </c>
      <c r="F449" s="274" t="s">
        <v>6767</v>
      </c>
      <c r="G449" s="274" t="s">
        <v>6560</v>
      </c>
      <c r="H449" s="274" t="s">
        <v>6524</v>
      </c>
      <c r="I449" s="274" t="s">
        <v>6484</v>
      </c>
      <c r="J449" s="265"/>
      <c r="K449" s="266" t="s">
        <v>6559</v>
      </c>
      <c r="L449" s="265"/>
      <c r="M449" s="275"/>
      <c r="N449" s="288" t="s">
        <v>7049</v>
      </c>
    </row>
    <row r="450" ht="15.75" customHeight="1">
      <c r="A450" s="256" t="s">
        <v>612</v>
      </c>
      <c r="B450" s="257">
        <v>10626.0</v>
      </c>
      <c r="C450" s="258">
        <v>18426.0</v>
      </c>
      <c r="D450" s="259">
        <v>44606.0</v>
      </c>
      <c r="E450" s="260">
        <v>0.375</v>
      </c>
      <c r="F450" s="261" t="s">
        <v>6766</v>
      </c>
      <c r="G450" s="262" t="s">
        <v>6560</v>
      </c>
      <c r="H450" s="263" t="s">
        <v>6524</v>
      </c>
      <c r="I450" s="264" t="s">
        <v>6489</v>
      </c>
      <c r="J450" s="265"/>
      <c r="K450" s="266" t="s">
        <v>6559</v>
      </c>
      <c r="L450" s="261" t="s">
        <v>6559</v>
      </c>
      <c r="M450" s="267"/>
      <c r="N450" s="268" t="s">
        <v>6519</v>
      </c>
    </row>
    <row r="451" ht="15.75" customHeight="1">
      <c r="A451" s="269" t="s">
        <v>901</v>
      </c>
      <c r="B451" s="270">
        <v>11319.0</v>
      </c>
      <c r="C451" s="271">
        <v>22198.0</v>
      </c>
      <c r="D451" s="272">
        <v>44606.0</v>
      </c>
      <c r="E451" s="273">
        <v>0.3958333333333333</v>
      </c>
      <c r="F451" s="274" t="s">
        <v>6767</v>
      </c>
      <c r="G451" s="274" t="s">
        <v>6560</v>
      </c>
      <c r="H451" s="274" t="s">
        <v>6524</v>
      </c>
      <c r="I451" s="274" t="s">
        <v>6486</v>
      </c>
      <c r="J451" s="265"/>
      <c r="K451" s="266" t="s">
        <v>6559</v>
      </c>
      <c r="L451" s="261" t="s">
        <v>6559</v>
      </c>
      <c r="M451" s="275"/>
      <c r="N451" s="276" t="s">
        <v>7048</v>
      </c>
    </row>
    <row r="452" ht="15.75" customHeight="1">
      <c r="A452" s="269" t="s">
        <v>4910</v>
      </c>
      <c r="B452" s="270">
        <v>16734.0</v>
      </c>
      <c r="C452" s="271">
        <v>16208.0</v>
      </c>
      <c r="D452" s="272">
        <v>44606.0</v>
      </c>
      <c r="E452" s="273">
        <v>0.3333333333333333</v>
      </c>
      <c r="F452" s="274" t="s">
        <v>6767</v>
      </c>
      <c r="G452" s="274" t="s">
        <v>6558</v>
      </c>
      <c r="H452" s="274" t="s">
        <v>6521</v>
      </c>
      <c r="I452" s="274" t="s">
        <v>6485</v>
      </c>
      <c r="J452" s="265"/>
      <c r="K452" s="266" t="s">
        <v>6559</v>
      </c>
      <c r="L452" s="265"/>
      <c r="M452" s="275"/>
      <c r="N452" s="288" t="s">
        <v>7049</v>
      </c>
    </row>
    <row r="453" ht="15.75" customHeight="1">
      <c r="A453" s="292" t="s">
        <v>4415</v>
      </c>
      <c r="B453" s="293">
        <v>16090.0</v>
      </c>
      <c r="C453" s="294">
        <v>23657.0</v>
      </c>
      <c r="D453" s="295">
        <v>44606.0</v>
      </c>
      <c r="E453" s="296">
        <v>0.3958333333333333</v>
      </c>
      <c r="F453" s="297" t="s">
        <v>6767</v>
      </c>
      <c r="G453" s="297" t="s">
        <v>6558</v>
      </c>
      <c r="H453" s="297" t="s">
        <v>6521</v>
      </c>
      <c r="I453" s="297" t="s">
        <v>6432</v>
      </c>
      <c r="J453" s="265"/>
      <c r="K453" s="266" t="s">
        <v>6559</v>
      </c>
      <c r="L453" s="265"/>
      <c r="M453" s="298"/>
      <c r="N453" s="288" t="s">
        <v>7049</v>
      </c>
    </row>
    <row r="454" ht="15.75" customHeight="1">
      <c r="A454" s="269" t="s">
        <v>239</v>
      </c>
      <c r="B454" s="270">
        <v>9642.0</v>
      </c>
      <c r="C454" s="271">
        <v>17215.0</v>
      </c>
      <c r="D454" s="272">
        <v>44606.0</v>
      </c>
      <c r="E454" s="273">
        <v>0.4270833333333333</v>
      </c>
      <c r="F454" s="274" t="s">
        <v>6767</v>
      </c>
      <c r="G454" s="274" t="s">
        <v>6558</v>
      </c>
      <c r="H454" s="274" t="s">
        <v>6521</v>
      </c>
      <c r="I454" s="274" t="s">
        <v>6482</v>
      </c>
      <c r="J454" s="265"/>
      <c r="K454" s="266" t="s">
        <v>6559</v>
      </c>
      <c r="L454" s="265"/>
      <c r="M454" s="275"/>
      <c r="N454" s="288" t="s">
        <v>7049</v>
      </c>
    </row>
    <row r="455" ht="15.75" customHeight="1">
      <c r="A455" s="256" t="s">
        <v>2363</v>
      </c>
      <c r="B455" s="257">
        <v>13610.0</v>
      </c>
      <c r="C455" s="258">
        <v>18047.0</v>
      </c>
      <c r="D455" s="259">
        <v>44606.0</v>
      </c>
      <c r="E455" s="260">
        <v>0.40625</v>
      </c>
      <c r="F455" s="261" t="s">
        <v>6767</v>
      </c>
      <c r="G455" s="262" t="s">
        <v>6560</v>
      </c>
      <c r="H455" s="263" t="s">
        <v>6524</v>
      </c>
      <c r="I455" s="264" t="s">
        <v>6448</v>
      </c>
      <c r="J455" s="265"/>
      <c r="K455" s="266" t="s">
        <v>6559</v>
      </c>
      <c r="L455" s="265"/>
      <c r="M455" s="267"/>
      <c r="N455" s="287" t="s">
        <v>6523</v>
      </c>
    </row>
    <row r="456" ht="15.75" customHeight="1">
      <c r="A456" s="256" t="s">
        <v>6322</v>
      </c>
      <c r="B456" s="257">
        <v>12230.0</v>
      </c>
      <c r="C456" s="258">
        <v>18378.0</v>
      </c>
      <c r="D456" s="259">
        <v>44606.0</v>
      </c>
      <c r="E456" s="260">
        <v>0.4166666666666667</v>
      </c>
      <c r="F456" s="261" t="s">
        <v>6766</v>
      </c>
      <c r="G456" s="262" t="s">
        <v>6561</v>
      </c>
      <c r="H456" s="263" t="s">
        <v>6527</v>
      </c>
      <c r="I456" s="264" t="s">
        <v>6427</v>
      </c>
      <c r="J456" s="279" t="s">
        <v>6559</v>
      </c>
      <c r="K456" s="265"/>
      <c r="L456" s="265"/>
      <c r="M456" s="267"/>
      <c r="N456" s="291" t="s">
        <v>6525</v>
      </c>
    </row>
    <row r="457" ht="15.75" customHeight="1">
      <c r="A457" s="256" t="s">
        <v>3876</v>
      </c>
      <c r="B457" s="257">
        <v>15490.0</v>
      </c>
      <c r="C457" s="258">
        <v>31492.0</v>
      </c>
      <c r="D457" s="259">
        <v>44606.0</v>
      </c>
      <c r="E457" s="260">
        <v>0.4479166666666667</v>
      </c>
      <c r="F457" s="261" t="s">
        <v>6766</v>
      </c>
      <c r="G457" s="262" t="s">
        <v>6561</v>
      </c>
      <c r="H457" s="263" t="s">
        <v>6527</v>
      </c>
      <c r="I457" s="264" t="s">
        <v>6444</v>
      </c>
      <c r="J457" s="265"/>
      <c r="K457" s="266" t="s">
        <v>6559</v>
      </c>
      <c r="L457" s="265"/>
      <c r="M457" s="267"/>
      <c r="N457" s="287" t="s">
        <v>6523</v>
      </c>
    </row>
    <row r="458" ht="15.75" customHeight="1">
      <c r="A458" s="256" t="s">
        <v>6323</v>
      </c>
      <c r="B458" s="257">
        <v>18003.0</v>
      </c>
      <c r="C458" s="258">
        <v>23265.0</v>
      </c>
      <c r="D458" s="259">
        <v>44606.0</v>
      </c>
      <c r="E458" s="260">
        <v>0.4479166666666667</v>
      </c>
      <c r="F458" s="261" t="s">
        <v>6767</v>
      </c>
      <c r="G458" s="262" t="s">
        <v>6562</v>
      </c>
      <c r="H458" s="263" t="s">
        <v>6527</v>
      </c>
      <c r="I458" s="264" t="s">
        <v>6444</v>
      </c>
      <c r="J458" s="279" t="s">
        <v>6559</v>
      </c>
      <c r="K458" s="265"/>
      <c r="L458" s="265"/>
      <c r="M458" s="267"/>
      <c r="N458" s="291" t="s">
        <v>6525</v>
      </c>
    </row>
    <row r="459" ht="15.75" customHeight="1">
      <c r="A459" s="292" t="s">
        <v>1838</v>
      </c>
      <c r="B459" s="293">
        <v>12946.0</v>
      </c>
      <c r="C459" s="294">
        <v>22894.0</v>
      </c>
      <c r="D459" s="295">
        <v>44606.0</v>
      </c>
      <c r="E459" s="296">
        <v>0.3854166666666667</v>
      </c>
      <c r="F459" s="297" t="s">
        <v>6767</v>
      </c>
      <c r="G459" s="297" t="s">
        <v>6558</v>
      </c>
      <c r="H459" s="297" t="s">
        <v>6521</v>
      </c>
      <c r="I459" s="297" t="s">
        <v>6432</v>
      </c>
      <c r="J459" s="265"/>
      <c r="K459" s="266" t="s">
        <v>6559</v>
      </c>
      <c r="L459" s="261" t="s">
        <v>6559</v>
      </c>
      <c r="M459" s="298"/>
      <c r="N459" s="276" t="s">
        <v>7048</v>
      </c>
    </row>
    <row r="460" ht="15.75" customHeight="1">
      <c r="A460" s="269" t="s">
        <v>1384</v>
      </c>
      <c r="B460" s="270">
        <v>12318.0</v>
      </c>
      <c r="C460" s="271">
        <v>20463.0</v>
      </c>
      <c r="D460" s="272">
        <v>44606.0</v>
      </c>
      <c r="E460" s="273">
        <v>0.4375</v>
      </c>
      <c r="F460" s="274" t="s">
        <v>6766</v>
      </c>
      <c r="G460" s="274" t="s">
        <v>6560</v>
      </c>
      <c r="H460" s="274" t="s">
        <v>6524</v>
      </c>
      <c r="I460" s="274" t="s">
        <v>6486</v>
      </c>
      <c r="J460" s="265"/>
      <c r="K460" s="266" t="s">
        <v>6559</v>
      </c>
      <c r="L460" s="265"/>
      <c r="M460" s="275"/>
      <c r="N460" s="288" t="s">
        <v>7049</v>
      </c>
    </row>
    <row r="461" ht="15.75" customHeight="1">
      <c r="A461" s="281" t="s">
        <v>6324</v>
      </c>
      <c r="B461" s="282">
        <v>18057.0</v>
      </c>
      <c r="C461" s="283">
        <v>20898.0</v>
      </c>
      <c r="D461" s="284">
        <v>44606.0</v>
      </c>
      <c r="E461" s="285">
        <v>0.4479166666666667</v>
      </c>
      <c r="F461" s="279" t="s">
        <v>6767</v>
      </c>
      <c r="G461" s="279" t="s">
        <v>6562</v>
      </c>
      <c r="H461" s="279" t="s">
        <v>6527</v>
      </c>
      <c r="I461" s="279" t="s">
        <v>6379</v>
      </c>
      <c r="J461" s="279" t="s">
        <v>6559</v>
      </c>
      <c r="K461" s="265"/>
      <c r="L461" s="265"/>
      <c r="M461" s="286"/>
      <c r="N461" s="291" t="s">
        <v>6525</v>
      </c>
    </row>
    <row r="462" ht="15.75" customHeight="1">
      <c r="A462" s="256" t="s">
        <v>6325</v>
      </c>
      <c r="B462" s="257">
        <v>18115.0</v>
      </c>
      <c r="C462" s="258">
        <v>30483.0</v>
      </c>
      <c r="D462" s="259">
        <v>44606.0</v>
      </c>
      <c r="E462" s="260">
        <v>0.46875</v>
      </c>
      <c r="F462" s="261" t="s">
        <v>6766</v>
      </c>
      <c r="G462" s="262" t="s">
        <v>6561</v>
      </c>
      <c r="H462" s="263" t="s">
        <v>6527</v>
      </c>
      <c r="I462" s="264" t="s">
        <v>6488</v>
      </c>
      <c r="J462" s="279" t="s">
        <v>6559</v>
      </c>
      <c r="K462" s="265"/>
      <c r="L462" s="265"/>
      <c r="M462" s="267"/>
      <c r="N462" s="291" t="s">
        <v>6525</v>
      </c>
    </row>
    <row r="463" ht="15.75" customHeight="1">
      <c r="A463" s="256" t="s">
        <v>4093</v>
      </c>
      <c r="B463" s="257">
        <v>15729.0</v>
      </c>
      <c r="C463" s="258">
        <v>27327.0</v>
      </c>
      <c r="D463" s="259">
        <v>44606.0</v>
      </c>
      <c r="E463" s="260">
        <v>0.4375</v>
      </c>
      <c r="F463" s="261" t="s">
        <v>6767</v>
      </c>
      <c r="G463" s="262" t="s">
        <v>6560</v>
      </c>
      <c r="H463" s="263" t="s">
        <v>6524</v>
      </c>
      <c r="I463" s="264" t="s">
        <v>6407</v>
      </c>
      <c r="J463" s="265"/>
      <c r="K463" s="266" t="s">
        <v>6559</v>
      </c>
      <c r="L463" s="265"/>
      <c r="M463" s="267"/>
      <c r="N463" s="287" t="s">
        <v>6523</v>
      </c>
    </row>
    <row r="464" ht="15.75" customHeight="1">
      <c r="A464" s="256" t="s">
        <v>6326</v>
      </c>
      <c r="B464" s="257">
        <v>18073.0</v>
      </c>
      <c r="C464" s="258">
        <v>23991.0</v>
      </c>
      <c r="D464" s="259">
        <v>44606.0</v>
      </c>
      <c r="E464" s="260">
        <v>0.46875</v>
      </c>
      <c r="F464" s="261" t="s">
        <v>6766</v>
      </c>
      <c r="G464" s="262" t="s">
        <v>6561</v>
      </c>
      <c r="H464" s="263" t="s">
        <v>6527</v>
      </c>
      <c r="I464" s="264" t="s">
        <v>6381</v>
      </c>
      <c r="J464" s="279" t="s">
        <v>6559</v>
      </c>
      <c r="K464" s="265"/>
      <c r="L464" s="265"/>
      <c r="M464" s="267"/>
      <c r="N464" s="291" t="s">
        <v>6525</v>
      </c>
    </row>
    <row r="465" ht="15.75" customHeight="1">
      <c r="A465" s="256" t="s">
        <v>5117</v>
      </c>
      <c r="B465" s="257">
        <v>16995.0</v>
      </c>
      <c r="C465" s="258">
        <v>24264.0</v>
      </c>
      <c r="D465" s="259">
        <v>44606.0</v>
      </c>
      <c r="E465" s="300" t="e">
        <v>#N/A</v>
      </c>
      <c r="F465" s="261" t="s">
        <v>6767</v>
      </c>
      <c r="G465" s="262" t="s">
        <v>6560</v>
      </c>
      <c r="H465" s="316" t="e">
        <v>#N/A</v>
      </c>
      <c r="I465" s="301" t="e">
        <v>#N/A</v>
      </c>
      <c r="J465" s="265"/>
      <c r="K465" s="266" t="s">
        <v>6559</v>
      </c>
      <c r="L465" s="261" t="s">
        <v>6559</v>
      </c>
      <c r="M465" s="267"/>
      <c r="N465" s="280" t="e">
        <v>#N/A</v>
      </c>
    </row>
    <row r="466" ht="15.75" customHeight="1">
      <c r="A466" s="281" t="s">
        <v>6327</v>
      </c>
      <c r="B466" s="282">
        <v>18043.0</v>
      </c>
      <c r="C466" s="283">
        <v>25256.0</v>
      </c>
      <c r="D466" s="284">
        <v>44606.0</v>
      </c>
      <c r="E466" s="285">
        <v>0.5416666666666666</v>
      </c>
      <c r="F466" s="279" t="s">
        <v>6767</v>
      </c>
      <c r="G466" s="279" t="s">
        <v>6562</v>
      </c>
      <c r="H466" s="279" t="s">
        <v>6527</v>
      </c>
      <c r="I466" s="279" t="s">
        <v>6379</v>
      </c>
      <c r="J466" s="279" t="s">
        <v>6559</v>
      </c>
      <c r="K466" s="265"/>
      <c r="L466" s="265"/>
      <c r="M466" s="286"/>
      <c r="N466" s="291" t="s">
        <v>6525</v>
      </c>
    </row>
    <row r="467" ht="15.75" customHeight="1">
      <c r="A467" s="256" t="s">
        <v>6328</v>
      </c>
      <c r="B467" s="257">
        <v>18114.0</v>
      </c>
      <c r="C467" s="258">
        <v>32736.0</v>
      </c>
      <c r="D467" s="259">
        <v>44606.0</v>
      </c>
      <c r="E467" s="260">
        <v>0.5416666666666666</v>
      </c>
      <c r="F467" s="261" t="s">
        <v>6766</v>
      </c>
      <c r="G467" s="262" t="s">
        <v>6561</v>
      </c>
      <c r="H467" s="263" t="s">
        <v>6527</v>
      </c>
      <c r="I467" s="264" t="s">
        <v>6488</v>
      </c>
      <c r="J467" s="279" t="s">
        <v>6559</v>
      </c>
      <c r="K467" s="265"/>
      <c r="L467" s="265"/>
      <c r="M467" s="267"/>
      <c r="N467" s="291" t="s">
        <v>6525</v>
      </c>
    </row>
    <row r="468" ht="15.75" customHeight="1">
      <c r="A468" s="256" t="s">
        <v>2814</v>
      </c>
      <c r="B468" s="257">
        <v>14196.0</v>
      </c>
      <c r="C468" s="258">
        <v>12003.0</v>
      </c>
      <c r="D468" s="259">
        <v>44606.0</v>
      </c>
      <c r="E468" s="260">
        <v>0.5416666666666666</v>
      </c>
      <c r="F468" s="261" t="s">
        <v>6767</v>
      </c>
      <c r="G468" s="262" t="s">
        <v>6558</v>
      </c>
      <c r="H468" s="263" t="s">
        <v>6521</v>
      </c>
      <c r="I468" s="264" t="s">
        <v>6427</v>
      </c>
      <c r="J468" s="265"/>
      <c r="K468" s="266" t="s">
        <v>6559</v>
      </c>
      <c r="L468" s="265"/>
      <c r="M468" s="267"/>
      <c r="N468" s="287" t="s">
        <v>6523</v>
      </c>
    </row>
    <row r="469" ht="15.75" customHeight="1">
      <c r="A469" s="256" t="s">
        <v>7059</v>
      </c>
      <c r="B469" s="257">
        <v>17893.0</v>
      </c>
      <c r="C469" s="258">
        <v>17174.0</v>
      </c>
      <c r="D469" s="259">
        <v>44606.0</v>
      </c>
      <c r="E469" s="260">
        <v>0.5625</v>
      </c>
      <c r="F469" s="261" t="s">
        <v>6766</v>
      </c>
      <c r="G469" s="262" t="s">
        <v>6560</v>
      </c>
      <c r="H469" s="263" t="s">
        <v>6524</v>
      </c>
      <c r="I469" s="264" t="s">
        <v>6489</v>
      </c>
      <c r="J469" s="265"/>
      <c r="K469" s="266" t="s">
        <v>6559</v>
      </c>
      <c r="L469" s="261" t="s">
        <v>6559</v>
      </c>
      <c r="M469" s="267"/>
      <c r="N469" s="268" t="s">
        <v>6519</v>
      </c>
    </row>
    <row r="470" ht="15.75" customHeight="1">
      <c r="A470" s="269" t="s">
        <v>4293</v>
      </c>
      <c r="B470" s="270">
        <v>15951.0</v>
      </c>
      <c r="C470" s="271">
        <v>31987.0</v>
      </c>
      <c r="D470" s="272">
        <v>44606.0</v>
      </c>
      <c r="E470" s="273">
        <v>0.5729166666666666</v>
      </c>
      <c r="F470" s="274" t="s">
        <v>6766</v>
      </c>
      <c r="G470" s="274" t="s">
        <v>6561</v>
      </c>
      <c r="H470" s="274" t="s">
        <v>6529</v>
      </c>
      <c r="I470" s="274" t="s">
        <v>6479</v>
      </c>
      <c r="J470" s="265"/>
      <c r="K470" s="266" t="s">
        <v>6559</v>
      </c>
      <c r="L470" s="265"/>
      <c r="M470" s="275"/>
      <c r="N470" s="288" t="s">
        <v>7049</v>
      </c>
    </row>
    <row r="471" ht="15.75" customHeight="1">
      <c r="A471" s="269" t="s">
        <v>4318</v>
      </c>
      <c r="B471" s="270">
        <v>15979.0</v>
      </c>
      <c r="C471" s="271">
        <v>22579.0</v>
      </c>
      <c r="D471" s="272">
        <v>44606.0</v>
      </c>
      <c r="E471" s="273">
        <v>0.5625</v>
      </c>
      <c r="F471" s="274" t="s">
        <v>6766</v>
      </c>
      <c r="G471" s="274" t="s">
        <v>6558</v>
      </c>
      <c r="H471" s="274" t="s">
        <v>6521</v>
      </c>
      <c r="I471" s="274" t="s">
        <v>6482</v>
      </c>
      <c r="J471" s="265"/>
      <c r="K471" s="266" t="s">
        <v>6559</v>
      </c>
      <c r="L471" s="265"/>
      <c r="M471" s="275"/>
      <c r="N471" s="288" t="s">
        <v>7049</v>
      </c>
    </row>
    <row r="472" ht="15.75" customHeight="1">
      <c r="A472" s="256" t="s">
        <v>2730</v>
      </c>
      <c r="B472" s="257">
        <v>14088.0</v>
      </c>
      <c r="C472" s="258">
        <v>22147.0</v>
      </c>
      <c r="D472" s="259">
        <v>44606.0</v>
      </c>
      <c r="E472" s="260">
        <v>0.5833333333333334</v>
      </c>
      <c r="F472" s="261" t="s">
        <v>6766</v>
      </c>
      <c r="G472" s="262" t="s">
        <v>6560</v>
      </c>
      <c r="H472" s="263" t="s">
        <v>6524</v>
      </c>
      <c r="I472" s="264" t="s">
        <v>6489</v>
      </c>
      <c r="J472" s="265"/>
      <c r="K472" s="266" t="s">
        <v>6559</v>
      </c>
      <c r="L472" s="265"/>
      <c r="M472" s="267"/>
      <c r="N472" s="287" t="s">
        <v>6523</v>
      </c>
    </row>
    <row r="473" ht="15.75" customHeight="1">
      <c r="A473" s="256" t="s">
        <v>2638</v>
      </c>
      <c r="B473" s="257">
        <v>13959.0</v>
      </c>
      <c r="C473" s="258">
        <v>17526.0</v>
      </c>
      <c r="D473" s="259">
        <v>44606.0</v>
      </c>
      <c r="E473" s="260">
        <v>0.5520833333333334</v>
      </c>
      <c r="F473" s="261" t="s">
        <v>6767</v>
      </c>
      <c r="G473" s="262" t="s">
        <v>6560</v>
      </c>
      <c r="H473" s="263" t="s">
        <v>6524</v>
      </c>
      <c r="I473" s="264" t="s">
        <v>6448</v>
      </c>
      <c r="J473" s="265"/>
      <c r="K473" s="266" t="s">
        <v>6559</v>
      </c>
      <c r="L473" s="265"/>
      <c r="M473" s="267"/>
      <c r="N473" s="287" t="s">
        <v>6523</v>
      </c>
    </row>
    <row r="474" ht="15.75" customHeight="1">
      <c r="A474" s="256" t="s">
        <v>619</v>
      </c>
      <c r="B474" s="257">
        <v>10646.0</v>
      </c>
      <c r="C474" s="258">
        <v>12791.0</v>
      </c>
      <c r="D474" s="259">
        <v>44606.0</v>
      </c>
      <c r="E474" s="260">
        <v>0.5520833333333334</v>
      </c>
      <c r="F474" s="261" t="s">
        <v>6767</v>
      </c>
      <c r="G474" s="262" t="s">
        <v>6558</v>
      </c>
      <c r="H474" s="263" t="s">
        <v>6521</v>
      </c>
      <c r="I474" s="264" t="s">
        <v>6476</v>
      </c>
      <c r="J474" s="265"/>
      <c r="K474" s="266" t="s">
        <v>6559</v>
      </c>
      <c r="L474" s="261" t="s">
        <v>6559</v>
      </c>
      <c r="M474" s="267"/>
      <c r="N474" s="268" t="s">
        <v>6519</v>
      </c>
    </row>
    <row r="475" ht="15.75" customHeight="1">
      <c r="A475" s="269" t="s">
        <v>760</v>
      </c>
      <c r="B475" s="270">
        <v>15580.0</v>
      </c>
      <c r="C475" s="271">
        <v>19803.0</v>
      </c>
      <c r="D475" s="272">
        <v>44606.0</v>
      </c>
      <c r="E475" s="273">
        <v>0.5833333333333334</v>
      </c>
      <c r="F475" s="274" t="s">
        <v>6766</v>
      </c>
      <c r="G475" s="274" t="s">
        <v>6558</v>
      </c>
      <c r="H475" s="274" t="s">
        <v>6521</v>
      </c>
      <c r="I475" s="274" t="s">
        <v>6486</v>
      </c>
      <c r="J475" s="265"/>
      <c r="K475" s="266" t="s">
        <v>6559</v>
      </c>
      <c r="L475" s="261" t="s">
        <v>6559</v>
      </c>
      <c r="M475" s="275"/>
      <c r="N475" s="276" t="s">
        <v>7048</v>
      </c>
    </row>
    <row r="476" ht="15.75" customHeight="1">
      <c r="A476" s="256" t="s">
        <v>1906</v>
      </c>
      <c r="B476" s="257">
        <v>13023.0</v>
      </c>
      <c r="C476" s="258">
        <v>11936.0</v>
      </c>
      <c r="D476" s="259">
        <v>44606.0</v>
      </c>
      <c r="E476" s="260">
        <v>0.59375</v>
      </c>
      <c r="F476" s="261" t="s">
        <v>6766</v>
      </c>
      <c r="G476" s="262" t="s">
        <v>6558</v>
      </c>
      <c r="H476" s="263" t="s">
        <v>6521</v>
      </c>
      <c r="I476" s="264" t="s">
        <v>6427</v>
      </c>
      <c r="J476" s="265"/>
      <c r="K476" s="266" t="s">
        <v>6559</v>
      </c>
      <c r="L476" s="261" t="s">
        <v>6559</v>
      </c>
      <c r="M476" s="267"/>
      <c r="N476" s="268" t="s">
        <v>6519</v>
      </c>
    </row>
    <row r="477" ht="15.75" customHeight="1">
      <c r="A477" s="269" t="s">
        <v>208</v>
      </c>
      <c r="B477" s="270">
        <v>9552.0</v>
      </c>
      <c r="C477" s="271">
        <v>25547.0</v>
      </c>
      <c r="D477" s="272">
        <v>44606.0</v>
      </c>
      <c r="E477" s="273">
        <v>0.59375</v>
      </c>
      <c r="F477" s="274" t="s">
        <v>6767</v>
      </c>
      <c r="G477" s="274" t="s">
        <v>6561</v>
      </c>
      <c r="H477" s="274" t="s">
        <v>6529</v>
      </c>
      <c r="I477" s="274" t="s">
        <v>6486</v>
      </c>
      <c r="J477" s="265"/>
      <c r="K477" s="266" t="s">
        <v>6559</v>
      </c>
      <c r="L477" s="261" t="s">
        <v>6559</v>
      </c>
      <c r="M477" s="275"/>
      <c r="N477" s="276" t="s">
        <v>7048</v>
      </c>
    </row>
    <row r="478" ht="15.75" customHeight="1">
      <c r="A478" s="256" t="s">
        <v>6329</v>
      </c>
      <c r="B478" s="257">
        <v>10326.0</v>
      </c>
      <c r="C478" s="258">
        <v>23490.0</v>
      </c>
      <c r="D478" s="259">
        <v>44606.0</v>
      </c>
      <c r="E478" s="260">
        <v>0.5729166666666666</v>
      </c>
      <c r="F478" s="261" t="s">
        <v>6767</v>
      </c>
      <c r="G478" s="262" t="s">
        <v>6558</v>
      </c>
      <c r="H478" s="263" t="s">
        <v>6521</v>
      </c>
      <c r="I478" s="264" t="s">
        <v>6381</v>
      </c>
      <c r="J478" s="265"/>
      <c r="K478" s="266" t="s">
        <v>6559</v>
      </c>
      <c r="L478" s="265"/>
      <c r="M478" s="267"/>
      <c r="N478" s="287" t="s">
        <v>6523</v>
      </c>
    </row>
    <row r="479" ht="15.75" customHeight="1">
      <c r="A479" s="269" t="s">
        <v>4187</v>
      </c>
      <c r="B479" s="270">
        <v>15835.0</v>
      </c>
      <c r="C479" s="271">
        <v>21919.0</v>
      </c>
      <c r="D479" s="272">
        <v>44606.0</v>
      </c>
      <c r="E479" s="273">
        <v>0.5833333333333334</v>
      </c>
      <c r="F479" s="274" t="s">
        <v>6767</v>
      </c>
      <c r="G479" s="274" t="s">
        <v>6561</v>
      </c>
      <c r="H479" s="274" t="s">
        <v>6529</v>
      </c>
      <c r="I479" s="274" t="s">
        <v>6479</v>
      </c>
      <c r="J479" s="265"/>
      <c r="K479" s="266" t="s">
        <v>6559</v>
      </c>
      <c r="L479" s="261" t="s">
        <v>6559</v>
      </c>
      <c r="M479" s="275"/>
      <c r="N479" s="276" t="s">
        <v>7048</v>
      </c>
    </row>
    <row r="480" ht="15.75" customHeight="1">
      <c r="A480" s="269" t="s">
        <v>6118</v>
      </c>
      <c r="B480" s="270">
        <v>17746.0</v>
      </c>
      <c r="C480" s="271">
        <v>23814.0</v>
      </c>
      <c r="D480" s="272">
        <v>44606.0</v>
      </c>
      <c r="E480" s="273">
        <v>0.59375</v>
      </c>
      <c r="F480" s="274" t="s">
        <v>6767</v>
      </c>
      <c r="G480" s="274" t="s">
        <v>6562</v>
      </c>
      <c r="H480" s="274" t="s">
        <v>6527</v>
      </c>
      <c r="I480" s="274" t="s">
        <v>6482</v>
      </c>
      <c r="J480" s="279" t="s">
        <v>6559</v>
      </c>
      <c r="K480" s="265"/>
      <c r="L480" s="265"/>
      <c r="M480" s="275"/>
      <c r="N480" s="280" t="s">
        <v>7047</v>
      </c>
    </row>
    <row r="481" ht="15.75" customHeight="1">
      <c r="A481" s="281" t="s">
        <v>6330</v>
      </c>
      <c r="B481" s="282">
        <v>18097.0</v>
      </c>
      <c r="C481" s="283">
        <v>28980.0</v>
      </c>
      <c r="D481" s="284">
        <v>44606.0</v>
      </c>
      <c r="E481" s="285">
        <v>0.59375</v>
      </c>
      <c r="F481" s="279" t="s">
        <v>6767</v>
      </c>
      <c r="G481" s="279" t="s">
        <v>6561</v>
      </c>
      <c r="H481" s="279" t="s">
        <v>6527</v>
      </c>
      <c r="I481" s="279" t="s">
        <v>6379</v>
      </c>
      <c r="J481" s="279" t="s">
        <v>6559</v>
      </c>
      <c r="K481" s="265"/>
      <c r="L481" s="265"/>
      <c r="M481" s="286"/>
      <c r="N481" s="291" t="s">
        <v>6525</v>
      </c>
    </row>
    <row r="482" ht="15.75" customHeight="1">
      <c r="A482" s="256" t="s">
        <v>5283</v>
      </c>
      <c r="B482" s="257">
        <v>17200.0</v>
      </c>
      <c r="C482" s="258">
        <v>27599.0</v>
      </c>
      <c r="D482" s="259">
        <v>44606.0</v>
      </c>
      <c r="E482" s="260">
        <v>0.5625</v>
      </c>
      <c r="F482" s="261" t="s">
        <v>6766</v>
      </c>
      <c r="G482" s="262" t="s">
        <v>6561</v>
      </c>
      <c r="H482" s="263" t="s">
        <v>6527</v>
      </c>
      <c r="I482" s="264" t="s">
        <v>6377</v>
      </c>
      <c r="J482" s="279" t="s">
        <v>6559</v>
      </c>
      <c r="K482" s="265"/>
      <c r="L482" s="265"/>
      <c r="M482" s="267"/>
      <c r="N482" s="291" t="s">
        <v>6525</v>
      </c>
    </row>
    <row r="483" ht="15.75" customHeight="1">
      <c r="A483" s="308" t="s">
        <v>870</v>
      </c>
      <c r="B483" s="309">
        <v>11234.0</v>
      </c>
      <c r="C483" s="310">
        <v>26498.0</v>
      </c>
      <c r="D483" s="311">
        <v>44606.0</v>
      </c>
      <c r="E483" s="312">
        <v>0.59375</v>
      </c>
      <c r="F483" s="313" t="s">
        <v>6767</v>
      </c>
      <c r="G483" s="313" t="s">
        <v>6562</v>
      </c>
      <c r="H483" s="313" t="s">
        <v>6527</v>
      </c>
      <c r="I483" s="313" t="s">
        <v>6427</v>
      </c>
      <c r="J483" s="265"/>
      <c r="K483" s="266" t="s">
        <v>6559</v>
      </c>
      <c r="L483" s="265"/>
      <c r="M483" s="315" t="s">
        <v>7060</v>
      </c>
      <c r="N483" s="288" t="s">
        <v>7050</v>
      </c>
    </row>
    <row r="484" ht="15.75" customHeight="1">
      <c r="A484" s="317" t="s">
        <v>6024</v>
      </c>
      <c r="B484" s="318">
        <v>9778.0</v>
      </c>
      <c r="C484" s="319">
        <v>32095.0</v>
      </c>
      <c r="D484" s="259">
        <v>44606.0</v>
      </c>
      <c r="E484" s="320">
        <v>0.6145833333333334</v>
      </c>
      <c r="F484" s="321" t="s">
        <v>6767</v>
      </c>
      <c r="G484" s="321" t="s">
        <v>6562</v>
      </c>
      <c r="H484" s="321" t="s">
        <v>6527</v>
      </c>
      <c r="I484" s="321" t="s">
        <v>6424</v>
      </c>
      <c r="J484" s="279" t="s">
        <v>6559</v>
      </c>
      <c r="K484" s="265"/>
      <c r="L484" s="265"/>
      <c r="M484" s="322" t="s">
        <v>7061</v>
      </c>
      <c r="N484" s="280" t="e">
        <v>#N/A</v>
      </c>
    </row>
    <row r="485" ht="15.75" customHeight="1">
      <c r="A485" s="269" t="s">
        <v>4551</v>
      </c>
      <c r="B485" s="270">
        <v>16255.0</v>
      </c>
      <c r="C485" s="271">
        <v>18350.0</v>
      </c>
      <c r="D485" s="272">
        <v>44606.0</v>
      </c>
      <c r="E485" s="273">
        <v>0.625</v>
      </c>
      <c r="F485" s="274" t="s">
        <v>6767</v>
      </c>
      <c r="G485" s="274" t="s">
        <v>6558</v>
      </c>
      <c r="H485" s="274" t="s">
        <v>6521</v>
      </c>
      <c r="I485" s="274" t="s">
        <v>6479</v>
      </c>
      <c r="J485" s="265"/>
      <c r="K485" s="266" t="s">
        <v>6559</v>
      </c>
      <c r="L485" s="265"/>
      <c r="M485" s="275"/>
      <c r="N485" s="288" t="s">
        <v>7049</v>
      </c>
    </row>
    <row r="486" ht="15.75" customHeight="1">
      <c r="A486" s="256" t="s">
        <v>410</v>
      </c>
      <c r="B486" s="257">
        <v>10100.0</v>
      </c>
      <c r="C486" s="258">
        <v>21315.0</v>
      </c>
      <c r="D486" s="259">
        <v>44606.0</v>
      </c>
      <c r="E486" s="260">
        <v>0.6354166666666666</v>
      </c>
      <c r="F486" s="261" t="s">
        <v>6767</v>
      </c>
      <c r="G486" s="262" t="s">
        <v>6560</v>
      </c>
      <c r="H486" s="263" t="s">
        <v>6524</v>
      </c>
      <c r="I486" s="264" t="s">
        <v>6448</v>
      </c>
      <c r="J486" s="265"/>
      <c r="K486" s="266" t="s">
        <v>6559</v>
      </c>
      <c r="L486" s="261" t="s">
        <v>6559</v>
      </c>
      <c r="M486" s="267"/>
      <c r="N486" s="268" t="s">
        <v>6519</v>
      </c>
    </row>
    <row r="487" ht="15.75" customHeight="1">
      <c r="A487" s="256" t="s">
        <v>2342</v>
      </c>
      <c r="B487" s="257">
        <v>13579.0</v>
      </c>
      <c r="C487" s="258">
        <v>23956.0</v>
      </c>
      <c r="D487" s="259">
        <v>44606.0</v>
      </c>
      <c r="E487" s="260">
        <v>0.6041666666666666</v>
      </c>
      <c r="F487" s="261" t="s">
        <v>6767</v>
      </c>
      <c r="G487" s="262" t="s">
        <v>6558</v>
      </c>
      <c r="H487" s="263" t="s">
        <v>6521</v>
      </c>
      <c r="I487" s="264" t="s">
        <v>6381</v>
      </c>
      <c r="J487" s="265"/>
      <c r="K487" s="266" t="s">
        <v>6559</v>
      </c>
      <c r="L487" s="261" t="s">
        <v>6559</v>
      </c>
      <c r="M487" s="267"/>
      <c r="N487" s="268" t="s">
        <v>6519</v>
      </c>
    </row>
    <row r="488" ht="15.75" customHeight="1">
      <c r="A488" s="256" t="s">
        <v>1863</v>
      </c>
      <c r="B488" s="257">
        <v>12975.0</v>
      </c>
      <c r="C488" s="258">
        <v>14177.0</v>
      </c>
      <c r="D488" s="259">
        <v>44606.0</v>
      </c>
      <c r="E488" s="260">
        <v>0.6354166666666666</v>
      </c>
      <c r="F488" s="261" t="s">
        <v>6766</v>
      </c>
      <c r="G488" s="262" t="s">
        <v>6558</v>
      </c>
      <c r="H488" s="263" t="s">
        <v>6521</v>
      </c>
      <c r="I488" s="264" t="s">
        <v>6384</v>
      </c>
      <c r="J488" s="265"/>
      <c r="K488" s="266" t="s">
        <v>6559</v>
      </c>
      <c r="L488" s="261" t="s">
        <v>6559</v>
      </c>
      <c r="M488" s="267"/>
      <c r="N488" s="268" t="s">
        <v>6519</v>
      </c>
    </row>
    <row r="489" ht="15.75" customHeight="1">
      <c r="A489" s="256" t="s">
        <v>136</v>
      </c>
      <c r="B489" s="257">
        <v>9309.0</v>
      </c>
      <c r="C489" s="258">
        <v>16967.0</v>
      </c>
      <c r="D489" s="259">
        <v>44606.0</v>
      </c>
      <c r="E489" s="260">
        <v>0.6458333333333334</v>
      </c>
      <c r="F489" s="261" t="s">
        <v>6766</v>
      </c>
      <c r="G489" s="262" t="s">
        <v>6562</v>
      </c>
      <c r="H489" s="263" t="s">
        <v>6527</v>
      </c>
      <c r="I489" s="264" t="s">
        <v>6489</v>
      </c>
      <c r="J489" s="265"/>
      <c r="K489" s="266" t="s">
        <v>6559</v>
      </c>
      <c r="L489" s="261" t="s">
        <v>6559</v>
      </c>
      <c r="M489" s="267"/>
      <c r="N489" s="268" t="s">
        <v>6519</v>
      </c>
    </row>
    <row r="490" ht="15.75" customHeight="1">
      <c r="A490" s="256" t="s">
        <v>1653</v>
      </c>
      <c r="B490" s="257">
        <v>12721.0</v>
      </c>
      <c r="C490" s="258">
        <v>29014.0</v>
      </c>
      <c r="D490" s="259">
        <v>44606.0</v>
      </c>
      <c r="E490" s="260">
        <v>0.6458333333333334</v>
      </c>
      <c r="F490" s="261" t="s">
        <v>6766</v>
      </c>
      <c r="G490" s="262" t="s">
        <v>6558</v>
      </c>
      <c r="H490" s="263" t="s">
        <v>6521</v>
      </c>
      <c r="I490" s="264" t="s">
        <v>6489</v>
      </c>
      <c r="J490" s="265"/>
      <c r="K490" s="266" t="s">
        <v>6559</v>
      </c>
      <c r="L490" s="265"/>
      <c r="M490" s="267"/>
      <c r="N490" s="287" t="s">
        <v>6523</v>
      </c>
    </row>
    <row r="491" ht="15.75" customHeight="1">
      <c r="A491" s="256" t="s">
        <v>3002</v>
      </c>
      <c r="B491" s="257">
        <v>14434.0</v>
      </c>
      <c r="C491" s="258">
        <v>22526.0</v>
      </c>
      <c r="D491" s="259">
        <v>44606.0</v>
      </c>
      <c r="E491" s="260">
        <v>0.6041666666666666</v>
      </c>
      <c r="F491" s="261" t="s">
        <v>6767</v>
      </c>
      <c r="G491" s="262" t="s">
        <v>6558</v>
      </c>
      <c r="H491" s="263" t="s">
        <v>6521</v>
      </c>
      <c r="I491" s="264" t="s">
        <v>6420</v>
      </c>
      <c r="J491" s="265"/>
      <c r="K491" s="266" t="s">
        <v>6559</v>
      </c>
      <c r="L491" s="261" t="s">
        <v>6559</v>
      </c>
      <c r="M491" s="267"/>
      <c r="N491" s="268" t="s">
        <v>6519</v>
      </c>
    </row>
    <row r="492" ht="15.75" customHeight="1">
      <c r="A492" s="269" t="s">
        <v>2647</v>
      </c>
      <c r="B492" s="270">
        <v>13972.0</v>
      </c>
      <c r="C492" s="271">
        <v>17231.0</v>
      </c>
      <c r="D492" s="272">
        <v>44606.0</v>
      </c>
      <c r="E492" s="273">
        <v>0.625</v>
      </c>
      <c r="F492" s="274" t="s">
        <v>6767</v>
      </c>
      <c r="G492" s="274" t="s">
        <v>6558</v>
      </c>
      <c r="H492" s="274" t="s">
        <v>6521</v>
      </c>
      <c r="I492" s="274" t="s">
        <v>6485</v>
      </c>
      <c r="J492" s="265"/>
      <c r="K492" s="266" t="s">
        <v>6559</v>
      </c>
      <c r="L492" s="261" t="s">
        <v>6559</v>
      </c>
      <c r="M492" s="275"/>
      <c r="N492" s="276" t="s">
        <v>7048</v>
      </c>
    </row>
    <row r="493" ht="15.75" customHeight="1">
      <c r="A493" s="281" t="s">
        <v>2148</v>
      </c>
      <c r="B493" s="282">
        <v>13329.0</v>
      </c>
      <c r="C493" s="283">
        <v>26626.0</v>
      </c>
      <c r="D493" s="284">
        <v>44606.0</v>
      </c>
      <c r="E493" s="285">
        <v>0.6458333333333334</v>
      </c>
      <c r="F493" s="279" t="s">
        <v>6766</v>
      </c>
      <c r="G493" s="279" t="s">
        <v>6560</v>
      </c>
      <c r="H493" s="279" t="s">
        <v>6524</v>
      </c>
      <c r="I493" s="279" t="s">
        <v>6379</v>
      </c>
      <c r="J493" s="265"/>
      <c r="K493" s="266" t="s">
        <v>6559</v>
      </c>
      <c r="L493" s="265"/>
      <c r="M493" s="286"/>
      <c r="N493" s="287" t="s">
        <v>6523</v>
      </c>
    </row>
    <row r="494" ht="15.75" customHeight="1">
      <c r="A494" s="269" t="s">
        <v>3906</v>
      </c>
      <c r="B494" s="270">
        <v>15524.0</v>
      </c>
      <c r="C494" s="271">
        <v>19310.0</v>
      </c>
      <c r="D494" s="272">
        <v>44607.0</v>
      </c>
      <c r="E494" s="273">
        <v>0.3958333333333333</v>
      </c>
      <c r="F494" s="274" t="s">
        <v>6766</v>
      </c>
      <c r="G494" s="274" t="s">
        <v>6560</v>
      </c>
      <c r="H494" s="274" t="s">
        <v>6524</v>
      </c>
      <c r="I494" s="274" t="s">
        <v>6486</v>
      </c>
      <c r="J494" s="265"/>
      <c r="K494" s="266" t="s">
        <v>6559</v>
      </c>
      <c r="L494" s="261" t="s">
        <v>6559</v>
      </c>
      <c r="M494" s="275"/>
      <c r="N494" s="276" t="s">
        <v>7048</v>
      </c>
    </row>
    <row r="495" ht="15.75" customHeight="1">
      <c r="A495" s="256" t="s">
        <v>601</v>
      </c>
      <c r="B495" s="257">
        <v>10604.0</v>
      </c>
      <c r="C495" s="258">
        <v>30878.0</v>
      </c>
      <c r="D495" s="259">
        <v>44607.0</v>
      </c>
      <c r="E495" s="260">
        <v>0.34375</v>
      </c>
      <c r="F495" s="261" t="s">
        <v>6766</v>
      </c>
      <c r="G495" s="262" t="s">
        <v>6560</v>
      </c>
      <c r="H495" s="263" t="s">
        <v>6524</v>
      </c>
      <c r="I495" s="264" t="s">
        <v>6489</v>
      </c>
      <c r="J495" s="265"/>
      <c r="K495" s="266" t="s">
        <v>6559</v>
      </c>
      <c r="L495" s="265"/>
      <c r="M495" s="267"/>
      <c r="N495" s="287" t="s">
        <v>6523</v>
      </c>
    </row>
    <row r="496" ht="15.75" customHeight="1">
      <c r="A496" s="292" t="s">
        <v>5463</v>
      </c>
      <c r="B496" s="293">
        <v>17431.0</v>
      </c>
      <c r="C496" s="294">
        <v>30474.0</v>
      </c>
      <c r="D496" s="295">
        <v>44607.0</v>
      </c>
      <c r="E496" s="296">
        <v>0.3541666666666667</v>
      </c>
      <c r="F496" s="297" t="s">
        <v>6766</v>
      </c>
      <c r="G496" s="297" t="s">
        <v>6560</v>
      </c>
      <c r="H496" s="297" t="s">
        <v>6524</v>
      </c>
      <c r="I496" s="297" t="s">
        <v>6429</v>
      </c>
      <c r="J496" s="306"/>
      <c r="K496" s="297" t="s">
        <v>6559</v>
      </c>
      <c r="L496" s="297" t="s">
        <v>6559</v>
      </c>
      <c r="M496" s="298"/>
      <c r="N496" s="276" t="s">
        <v>7048</v>
      </c>
    </row>
    <row r="497" ht="15.75" customHeight="1">
      <c r="A497" s="256" t="s">
        <v>2699</v>
      </c>
      <c r="B497" s="257">
        <v>14050.0</v>
      </c>
      <c r="C497" s="258">
        <v>20523.0</v>
      </c>
      <c r="D497" s="259">
        <v>44607.0</v>
      </c>
      <c r="E497" s="260">
        <v>0.375</v>
      </c>
      <c r="F497" s="261" t="s">
        <v>6766</v>
      </c>
      <c r="G497" s="262" t="s">
        <v>6560</v>
      </c>
      <c r="H497" s="263" t="s">
        <v>6524</v>
      </c>
      <c r="I497" s="264" t="s">
        <v>6489</v>
      </c>
      <c r="J497" s="265"/>
      <c r="K497" s="266" t="s">
        <v>6559</v>
      </c>
      <c r="L497" s="265"/>
      <c r="M497" s="267"/>
      <c r="N497" s="287" t="s">
        <v>6523</v>
      </c>
    </row>
    <row r="498" ht="15.75" customHeight="1">
      <c r="A498" s="269" t="s">
        <v>441</v>
      </c>
      <c r="B498" s="270">
        <v>10174.0</v>
      </c>
      <c r="C498" s="271">
        <v>13226.0</v>
      </c>
      <c r="D498" s="272">
        <v>44607.0</v>
      </c>
      <c r="E498" s="273">
        <v>0.3958333333333333</v>
      </c>
      <c r="F498" s="274" t="s">
        <v>6767</v>
      </c>
      <c r="G498" s="274" t="s">
        <v>6562</v>
      </c>
      <c r="H498" s="274" t="s">
        <v>6529</v>
      </c>
      <c r="I498" s="274" t="s">
        <v>6486</v>
      </c>
      <c r="J498" s="265"/>
      <c r="K498" s="266" t="s">
        <v>6559</v>
      </c>
      <c r="L498" s="265"/>
      <c r="M498" s="275"/>
      <c r="N498" s="288" t="s">
        <v>7049</v>
      </c>
    </row>
    <row r="499" ht="15.75" customHeight="1">
      <c r="A499" s="256" t="s">
        <v>6153</v>
      </c>
      <c r="B499" s="257">
        <v>17980.0</v>
      </c>
      <c r="C499" s="258">
        <v>23385.0</v>
      </c>
      <c r="D499" s="259">
        <v>44607.0</v>
      </c>
      <c r="E499" s="260">
        <v>0.34375</v>
      </c>
      <c r="F499" s="261" t="s">
        <v>6767</v>
      </c>
      <c r="G499" s="262" t="s">
        <v>6561</v>
      </c>
      <c r="H499" s="263" t="s">
        <v>6527</v>
      </c>
      <c r="I499" s="264" t="s">
        <v>6407</v>
      </c>
      <c r="J499" s="279" t="s">
        <v>6559</v>
      </c>
      <c r="K499" s="265"/>
      <c r="L499" s="265"/>
      <c r="M499" s="267"/>
      <c r="N499" s="291" t="s">
        <v>6525</v>
      </c>
    </row>
    <row r="500" ht="15.75" customHeight="1">
      <c r="A500" s="269" t="s">
        <v>2315</v>
      </c>
      <c r="B500" s="270">
        <v>13546.0</v>
      </c>
      <c r="C500" s="271">
        <v>17856.0</v>
      </c>
      <c r="D500" s="272">
        <v>44607.0</v>
      </c>
      <c r="E500" s="273">
        <v>0.3958333333333333</v>
      </c>
      <c r="F500" s="274" t="s">
        <v>6767</v>
      </c>
      <c r="G500" s="274" t="s">
        <v>6558</v>
      </c>
      <c r="H500" s="274" t="s">
        <v>6521</v>
      </c>
      <c r="I500" s="274" t="s">
        <v>6486</v>
      </c>
      <c r="J500" s="265"/>
      <c r="K500" s="266" t="s">
        <v>6559</v>
      </c>
      <c r="L500" s="265"/>
      <c r="M500" s="275"/>
      <c r="N500" s="288" t="s">
        <v>7049</v>
      </c>
    </row>
    <row r="501" ht="15.75" customHeight="1">
      <c r="A501" s="269" t="s">
        <v>392</v>
      </c>
      <c r="B501" s="270">
        <v>10058.0</v>
      </c>
      <c r="C501" s="271">
        <v>23141.0</v>
      </c>
      <c r="D501" s="272">
        <v>44607.0</v>
      </c>
      <c r="E501" s="273">
        <v>0.3333333333333333</v>
      </c>
      <c r="F501" s="274" t="s">
        <v>6767</v>
      </c>
      <c r="G501" s="274" t="s">
        <v>6558</v>
      </c>
      <c r="H501" s="274" t="s">
        <v>6521</v>
      </c>
      <c r="I501" s="274" t="s">
        <v>6479</v>
      </c>
      <c r="J501" s="265"/>
      <c r="K501" s="266" t="s">
        <v>6559</v>
      </c>
      <c r="L501" s="265"/>
      <c r="M501" s="275"/>
      <c r="N501" s="288" t="s">
        <v>7049</v>
      </c>
    </row>
    <row r="502" ht="15.75" customHeight="1">
      <c r="A502" s="256" t="s">
        <v>266</v>
      </c>
      <c r="B502" s="257">
        <v>9717.0</v>
      </c>
      <c r="C502" s="258">
        <v>21889.0</v>
      </c>
      <c r="D502" s="259">
        <v>44607.0</v>
      </c>
      <c r="E502" s="260">
        <v>0.3541666666666667</v>
      </c>
      <c r="F502" s="261" t="s">
        <v>6766</v>
      </c>
      <c r="G502" s="262" t="s">
        <v>6558</v>
      </c>
      <c r="H502" s="263" t="s">
        <v>6521</v>
      </c>
      <c r="I502" s="264" t="s">
        <v>6427</v>
      </c>
      <c r="J502" s="265"/>
      <c r="K502" s="266" t="s">
        <v>6559</v>
      </c>
      <c r="L502" s="265"/>
      <c r="M502" s="267"/>
      <c r="N502" s="287" t="s">
        <v>6523</v>
      </c>
    </row>
    <row r="503" ht="15.75" customHeight="1">
      <c r="A503" s="269" t="s">
        <v>1085</v>
      </c>
      <c r="B503" s="270">
        <v>11742.0</v>
      </c>
      <c r="C503" s="271">
        <v>18849.0</v>
      </c>
      <c r="D503" s="272">
        <v>44607.0</v>
      </c>
      <c r="E503" s="273">
        <v>0.3125</v>
      </c>
      <c r="F503" s="274" t="s">
        <v>6766</v>
      </c>
      <c r="G503" s="274" t="s">
        <v>6558</v>
      </c>
      <c r="H503" s="274" t="s">
        <v>6527</v>
      </c>
      <c r="I503" s="274" t="s">
        <v>6484</v>
      </c>
      <c r="J503" s="265"/>
      <c r="K503" s="266" t="s">
        <v>6559</v>
      </c>
      <c r="L503" s="265"/>
      <c r="M503" s="275"/>
      <c r="N503" s="288" t="s">
        <v>7049</v>
      </c>
    </row>
    <row r="504" ht="15.75" customHeight="1">
      <c r="A504" s="256" t="s">
        <v>5260</v>
      </c>
      <c r="B504" s="257">
        <v>17173.0</v>
      </c>
      <c r="C504" s="258">
        <v>29239.0</v>
      </c>
      <c r="D504" s="259">
        <v>44607.0</v>
      </c>
      <c r="E504" s="260">
        <v>0.34375</v>
      </c>
      <c r="F504" s="261" t="s">
        <v>6766</v>
      </c>
      <c r="G504" s="262" t="s">
        <v>6562</v>
      </c>
      <c r="H504" s="263" t="s">
        <v>6527</v>
      </c>
      <c r="I504" s="264" t="s">
        <v>6381</v>
      </c>
      <c r="J504" s="279" t="s">
        <v>6559</v>
      </c>
      <c r="K504" s="265"/>
      <c r="L504" s="265"/>
      <c r="M504" s="267"/>
      <c r="N504" s="291" t="s">
        <v>6525</v>
      </c>
    </row>
    <row r="505" ht="15.75" customHeight="1">
      <c r="A505" s="292" t="s">
        <v>7062</v>
      </c>
      <c r="B505" s="293">
        <v>18075.0</v>
      </c>
      <c r="C505" s="294">
        <v>22229.0</v>
      </c>
      <c r="D505" s="295">
        <v>44607.0</v>
      </c>
      <c r="E505" s="296">
        <v>0.3958333333333333</v>
      </c>
      <c r="F505" s="297" t="s">
        <v>6766</v>
      </c>
      <c r="G505" s="297" t="s">
        <v>6561</v>
      </c>
      <c r="H505" s="297" t="s">
        <v>6527</v>
      </c>
      <c r="I505" s="297" t="s">
        <v>6432</v>
      </c>
      <c r="J505" s="279" t="s">
        <v>6559</v>
      </c>
      <c r="K505" s="265"/>
      <c r="L505" s="265"/>
      <c r="M505" s="298"/>
      <c r="N505" s="280" t="s">
        <v>7047</v>
      </c>
    </row>
    <row r="506" ht="15.75" customHeight="1">
      <c r="A506" s="256" t="s">
        <v>3329</v>
      </c>
      <c r="B506" s="257">
        <v>14828.0</v>
      </c>
      <c r="C506" s="258">
        <v>25524.0</v>
      </c>
      <c r="D506" s="259">
        <v>44607.0</v>
      </c>
      <c r="E506" s="260">
        <v>0.4166666666666667</v>
      </c>
      <c r="F506" s="261" t="s">
        <v>6766</v>
      </c>
      <c r="G506" s="262" t="s">
        <v>6562</v>
      </c>
      <c r="H506" s="263" t="s">
        <v>6527</v>
      </c>
      <c r="I506" s="264" t="s">
        <v>6464</v>
      </c>
      <c r="J506" s="265"/>
      <c r="K506" s="266" t="s">
        <v>6559</v>
      </c>
      <c r="L506" s="265"/>
      <c r="M506" s="267"/>
      <c r="N506" s="287" t="s">
        <v>6523</v>
      </c>
    </row>
    <row r="507" ht="15.75" customHeight="1">
      <c r="A507" s="269" t="s">
        <v>3599</v>
      </c>
      <c r="B507" s="270">
        <v>15154.0</v>
      </c>
      <c r="C507" s="271">
        <v>19976.0</v>
      </c>
      <c r="D507" s="272">
        <v>44607.0</v>
      </c>
      <c r="E507" s="273">
        <v>0.40625</v>
      </c>
      <c r="F507" s="274" t="s">
        <v>6767</v>
      </c>
      <c r="G507" s="274" t="s">
        <v>6560</v>
      </c>
      <c r="H507" s="274" t="s">
        <v>6524</v>
      </c>
      <c r="I507" s="274" t="s">
        <v>6479</v>
      </c>
      <c r="J507" s="265"/>
      <c r="K507" s="266" t="s">
        <v>6559</v>
      </c>
      <c r="L507" s="265"/>
      <c r="M507" s="275"/>
      <c r="N507" s="288" t="s">
        <v>7049</v>
      </c>
    </row>
    <row r="508" ht="15.75" customHeight="1">
      <c r="A508" s="256" t="s">
        <v>4469</v>
      </c>
      <c r="B508" s="257">
        <v>16156.0</v>
      </c>
      <c r="C508" s="258">
        <v>29705.0</v>
      </c>
      <c r="D508" s="259">
        <v>44607.0</v>
      </c>
      <c r="E508" s="260">
        <v>0.40625</v>
      </c>
      <c r="F508" s="261" t="s">
        <v>6767</v>
      </c>
      <c r="G508" s="262" t="s">
        <v>6560</v>
      </c>
      <c r="H508" s="263" t="s">
        <v>6524</v>
      </c>
      <c r="I508" s="264" t="s">
        <v>6381</v>
      </c>
      <c r="J508" s="265"/>
      <c r="K508" s="266" t="s">
        <v>6559</v>
      </c>
      <c r="L508" s="261" t="s">
        <v>6559</v>
      </c>
      <c r="M508" s="267"/>
      <c r="N508" s="268" t="s">
        <v>6519</v>
      </c>
    </row>
    <row r="509" ht="15.75" customHeight="1">
      <c r="A509" s="256" t="s">
        <v>6219</v>
      </c>
      <c r="B509" s="257">
        <v>18070.0</v>
      </c>
      <c r="C509" s="258">
        <v>29140.0</v>
      </c>
      <c r="D509" s="259">
        <v>44607.0</v>
      </c>
      <c r="E509" s="260">
        <v>0.4479166666666667</v>
      </c>
      <c r="F509" s="261" t="s">
        <v>6766</v>
      </c>
      <c r="G509" s="262" t="s">
        <v>6562</v>
      </c>
      <c r="H509" s="263" t="s">
        <v>6527</v>
      </c>
      <c r="I509" s="264" t="s">
        <v>6488</v>
      </c>
      <c r="J509" s="279" t="s">
        <v>6559</v>
      </c>
      <c r="K509" s="265"/>
      <c r="L509" s="265"/>
      <c r="M509" s="267"/>
      <c r="N509" s="280" t="e">
        <v>#N/A</v>
      </c>
    </row>
    <row r="510" ht="15.75" customHeight="1">
      <c r="A510" s="269" t="s">
        <v>6332</v>
      </c>
      <c r="B510" s="270">
        <v>18095.0</v>
      </c>
      <c r="C510" s="271">
        <v>15672.0</v>
      </c>
      <c r="D510" s="272">
        <v>44607.0</v>
      </c>
      <c r="E510" s="273">
        <v>0.4479166666666667</v>
      </c>
      <c r="F510" s="274" t="s">
        <v>6767</v>
      </c>
      <c r="G510" s="274" t="s">
        <v>6562</v>
      </c>
      <c r="H510" s="274" t="s">
        <v>6527</v>
      </c>
      <c r="I510" s="274" t="s">
        <v>6486</v>
      </c>
      <c r="J510" s="279" t="s">
        <v>6559</v>
      </c>
      <c r="K510" s="265"/>
      <c r="L510" s="265"/>
      <c r="M510" s="275"/>
      <c r="N510" s="280" t="s">
        <v>7047</v>
      </c>
    </row>
    <row r="511" ht="15.75" customHeight="1">
      <c r="A511" s="256" t="s">
        <v>2163</v>
      </c>
      <c r="B511" s="257">
        <v>13355.0</v>
      </c>
      <c r="C511" s="258">
        <v>27322.0</v>
      </c>
      <c r="D511" s="259">
        <v>44607.0</v>
      </c>
      <c r="E511" s="260">
        <v>0.4375</v>
      </c>
      <c r="F511" s="261" t="s">
        <v>6767</v>
      </c>
      <c r="G511" s="262" t="s">
        <v>6560</v>
      </c>
      <c r="H511" s="263" t="s">
        <v>6524</v>
      </c>
      <c r="I511" s="264" t="s">
        <v>6492</v>
      </c>
      <c r="J511" s="265"/>
      <c r="K511" s="266" t="s">
        <v>6559</v>
      </c>
      <c r="L511" s="261" t="s">
        <v>6559</v>
      </c>
      <c r="M511" s="267"/>
      <c r="N511" s="268" t="s">
        <v>6519</v>
      </c>
    </row>
    <row r="512" ht="15.75" customHeight="1">
      <c r="A512" s="256" t="s">
        <v>4224</v>
      </c>
      <c r="B512" s="257">
        <v>15873.0</v>
      </c>
      <c r="C512" s="258">
        <v>17286.0</v>
      </c>
      <c r="D512" s="259">
        <v>44607.0</v>
      </c>
      <c r="E512" s="260">
        <v>0.4479166666666667</v>
      </c>
      <c r="F512" s="261" t="s">
        <v>6766</v>
      </c>
      <c r="G512" s="262" t="s">
        <v>6562</v>
      </c>
      <c r="H512" s="263" t="s">
        <v>6527</v>
      </c>
      <c r="I512" s="264" t="s">
        <v>6464</v>
      </c>
      <c r="J512" s="265"/>
      <c r="K512" s="266" t="s">
        <v>6559</v>
      </c>
      <c r="L512" s="265"/>
      <c r="M512" s="267"/>
      <c r="N512" s="287" t="s">
        <v>6523</v>
      </c>
    </row>
    <row r="513" ht="15.75" customHeight="1">
      <c r="A513" s="269" t="s">
        <v>3982</v>
      </c>
      <c r="B513" s="270">
        <v>15608.0</v>
      </c>
      <c r="C513" s="271">
        <v>20238.0</v>
      </c>
      <c r="D513" s="272">
        <v>44607.0</v>
      </c>
      <c r="E513" s="273">
        <v>0.4166666666666667</v>
      </c>
      <c r="F513" s="274" t="s">
        <v>6767</v>
      </c>
      <c r="G513" s="274" t="s">
        <v>6560</v>
      </c>
      <c r="H513" s="274" t="s">
        <v>6524</v>
      </c>
      <c r="I513" s="274" t="s">
        <v>6479</v>
      </c>
      <c r="J513" s="265"/>
      <c r="K513" s="266" t="s">
        <v>6559</v>
      </c>
      <c r="L513" s="265"/>
      <c r="M513" s="275"/>
      <c r="N513" s="288" t="s">
        <v>7049</v>
      </c>
    </row>
    <row r="514" ht="15.75" customHeight="1">
      <c r="A514" s="256" t="s">
        <v>1826</v>
      </c>
      <c r="B514" s="257">
        <v>12930.0</v>
      </c>
      <c r="C514" s="258">
        <v>21097.0</v>
      </c>
      <c r="D514" s="259">
        <v>44607.0</v>
      </c>
      <c r="E514" s="260">
        <v>0.4479166666666667</v>
      </c>
      <c r="F514" s="261" t="s">
        <v>6766</v>
      </c>
      <c r="G514" s="262" t="s">
        <v>6560</v>
      </c>
      <c r="H514" s="263" t="s">
        <v>6524</v>
      </c>
      <c r="I514" s="264" t="s">
        <v>6489</v>
      </c>
      <c r="J514" s="265"/>
      <c r="K514" s="266" t="s">
        <v>6559</v>
      </c>
      <c r="L514" s="265"/>
      <c r="M514" s="267"/>
      <c r="N514" s="287" t="s">
        <v>6523</v>
      </c>
    </row>
    <row r="515" ht="15.75" customHeight="1">
      <c r="A515" s="256" t="s">
        <v>2628</v>
      </c>
      <c r="B515" s="257">
        <v>13946.0</v>
      </c>
      <c r="C515" s="258">
        <v>26251.0</v>
      </c>
      <c r="D515" s="259">
        <v>44607.0</v>
      </c>
      <c r="E515" s="260">
        <v>0.4375</v>
      </c>
      <c r="F515" s="261" t="s">
        <v>6766</v>
      </c>
      <c r="G515" s="262" t="s">
        <v>6558</v>
      </c>
      <c r="H515" s="263" t="s">
        <v>6521</v>
      </c>
      <c r="I515" s="264" t="s">
        <v>6489</v>
      </c>
      <c r="J515" s="265"/>
      <c r="K515" s="266" t="s">
        <v>6559</v>
      </c>
      <c r="L515" s="265"/>
      <c r="M515" s="267"/>
      <c r="N515" s="287" t="s">
        <v>6523</v>
      </c>
    </row>
    <row r="516" ht="15.75" customHeight="1">
      <c r="A516" s="292" t="s">
        <v>7063</v>
      </c>
      <c r="B516" s="293">
        <v>18106.0</v>
      </c>
      <c r="C516" s="294">
        <v>20979.0</v>
      </c>
      <c r="D516" s="295">
        <v>44607.0</v>
      </c>
      <c r="E516" s="296">
        <v>0.4479166666666667</v>
      </c>
      <c r="F516" s="297" t="s">
        <v>6766</v>
      </c>
      <c r="G516" s="297" t="s">
        <v>6561</v>
      </c>
      <c r="H516" s="297" t="s">
        <v>6527</v>
      </c>
      <c r="I516" s="297" t="s">
        <v>6432</v>
      </c>
      <c r="J516" s="279" t="s">
        <v>6559</v>
      </c>
      <c r="K516" s="265"/>
      <c r="L516" s="265"/>
      <c r="M516" s="307"/>
      <c r="N516" s="280" t="s">
        <v>7047</v>
      </c>
    </row>
    <row r="517" ht="15.75" customHeight="1">
      <c r="A517" s="256" t="s">
        <v>5495</v>
      </c>
      <c r="B517" s="257">
        <v>17470.0</v>
      </c>
      <c r="C517" s="258">
        <v>34674.0</v>
      </c>
      <c r="D517" s="259">
        <v>44607.0</v>
      </c>
      <c r="E517" s="260">
        <v>0.4479166666666667</v>
      </c>
      <c r="F517" s="261" t="s">
        <v>6766</v>
      </c>
      <c r="G517" s="262" t="s">
        <v>6558</v>
      </c>
      <c r="H517" s="263" t="s">
        <v>6521</v>
      </c>
      <c r="I517" s="264" t="s">
        <v>6416</v>
      </c>
      <c r="J517" s="265"/>
      <c r="K517" s="266" t="s">
        <v>6559</v>
      </c>
      <c r="L517" s="265"/>
      <c r="M517" s="267"/>
      <c r="N517" s="287" t="s">
        <v>6523</v>
      </c>
    </row>
    <row r="518" ht="15.75" customHeight="1">
      <c r="A518" s="256" t="s">
        <v>6334</v>
      </c>
      <c r="B518" s="257">
        <v>18087.0</v>
      </c>
      <c r="C518" s="258">
        <v>23194.0</v>
      </c>
      <c r="D518" s="259">
        <v>44607.0</v>
      </c>
      <c r="E518" s="260">
        <v>0.4479166666666667</v>
      </c>
      <c r="F518" s="261" t="s">
        <v>6767</v>
      </c>
      <c r="G518" s="262" t="s">
        <v>6561</v>
      </c>
      <c r="H518" s="263" t="s">
        <v>6527</v>
      </c>
      <c r="I518" s="264" t="s">
        <v>6407</v>
      </c>
      <c r="J518" s="279" t="s">
        <v>6559</v>
      </c>
      <c r="K518" s="265"/>
      <c r="L518" s="265"/>
      <c r="M518" s="267"/>
      <c r="N518" s="291" t="s">
        <v>6525</v>
      </c>
    </row>
    <row r="519" ht="15.75" customHeight="1">
      <c r="A519" s="256" t="s">
        <v>6017</v>
      </c>
      <c r="B519" s="257">
        <v>9945.0</v>
      </c>
      <c r="C519" s="258">
        <v>21443.0</v>
      </c>
      <c r="D519" s="259">
        <v>44607.0</v>
      </c>
      <c r="E519" s="260">
        <v>0.4583333333333333</v>
      </c>
      <c r="F519" s="261" t="s">
        <v>6766</v>
      </c>
      <c r="G519" s="262" t="s">
        <v>6560</v>
      </c>
      <c r="H519" s="263" t="s">
        <v>6524</v>
      </c>
      <c r="I519" s="264" t="s">
        <v>6489</v>
      </c>
      <c r="J519" s="265"/>
      <c r="K519" s="266" t="s">
        <v>6559</v>
      </c>
      <c r="L519" s="261" t="s">
        <v>6559</v>
      </c>
      <c r="M519" s="267"/>
      <c r="N519" s="268" t="s">
        <v>6519</v>
      </c>
    </row>
    <row r="520" ht="15.75" customHeight="1">
      <c r="A520" s="256" t="s">
        <v>7064</v>
      </c>
      <c r="B520" s="257">
        <v>18072.0</v>
      </c>
      <c r="C520" s="258">
        <v>21909.0</v>
      </c>
      <c r="D520" s="259">
        <v>44607.0</v>
      </c>
      <c r="E520" s="260">
        <v>0.46875</v>
      </c>
      <c r="F520" s="261" t="s">
        <v>6767</v>
      </c>
      <c r="G520" s="262" t="s">
        <v>6562</v>
      </c>
      <c r="H520" s="263" t="s">
        <v>6527</v>
      </c>
      <c r="I520" s="264" t="s">
        <v>6444</v>
      </c>
      <c r="J520" s="279" t="s">
        <v>6559</v>
      </c>
      <c r="K520" s="265"/>
      <c r="L520" s="265"/>
      <c r="M520" s="267"/>
      <c r="N520" s="291" t="s">
        <v>6525</v>
      </c>
    </row>
    <row r="521" ht="15.75" customHeight="1">
      <c r="A521" s="256" t="s">
        <v>5248</v>
      </c>
      <c r="B521" s="257">
        <v>17157.0</v>
      </c>
      <c r="C521" s="258">
        <v>21795.0</v>
      </c>
      <c r="D521" s="259">
        <v>44607.0</v>
      </c>
      <c r="E521" s="260">
        <v>0.4895833333333333</v>
      </c>
      <c r="F521" s="261" t="s">
        <v>6767</v>
      </c>
      <c r="G521" s="262" t="s">
        <v>6558</v>
      </c>
      <c r="H521" s="263" t="s">
        <v>6521</v>
      </c>
      <c r="I521" s="264" t="s">
        <v>6391</v>
      </c>
      <c r="J521" s="265"/>
      <c r="K521" s="266" t="s">
        <v>6559</v>
      </c>
      <c r="L521" s="265"/>
      <c r="M521" s="267"/>
      <c r="N521" s="280" t="e">
        <v>#N/A</v>
      </c>
    </row>
    <row r="522" ht="15.75" customHeight="1">
      <c r="A522" s="308" t="s">
        <v>5103</v>
      </c>
      <c r="B522" s="309">
        <v>16975.0</v>
      </c>
      <c r="C522" s="310">
        <v>27957.0</v>
      </c>
      <c r="D522" s="311">
        <v>44607.0</v>
      </c>
      <c r="E522" s="312">
        <v>0.46875</v>
      </c>
      <c r="F522" s="313" t="s">
        <v>6766</v>
      </c>
      <c r="G522" s="313" t="s">
        <v>6561</v>
      </c>
      <c r="H522" s="313" t="s">
        <v>6527</v>
      </c>
      <c r="I522" s="313" t="s">
        <v>6373</v>
      </c>
      <c r="J522" s="279" t="s">
        <v>6559</v>
      </c>
      <c r="K522" s="265"/>
      <c r="L522" s="265"/>
      <c r="M522" s="315" t="s">
        <v>6792</v>
      </c>
      <c r="N522" s="288" t="s">
        <v>7050</v>
      </c>
    </row>
    <row r="523" ht="15.75" customHeight="1">
      <c r="A523" s="256" t="s">
        <v>3622</v>
      </c>
      <c r="B523" s="257">
        <v>15181.0</v>
      </c>
      <c r="C523" s="258">
        <v>25311.0</v>
      </c>
      <c r="D523" s="259">
        <v>44607.0</v>
      </c>
      <c r="E523" s="260">
        <v>0.4895833333333333</v>
      </c>
      <c r="F523" s="261" t="s">
        <v>6767</v>
      </c>
      <c r="G523" s="262" t="s">
        <v>6562</v>
      </c>
      <c r="H523" s="263" t="s">
        <v>6529</v>
      </c>
      <c r="I523" s="264" t="s">
        <v>6427</v>
      </c>
      <c r="J523" s="265"/>
      <c r="K523" s="266" t="s">
        <v>6559</v>
      </c>
      <c r="L523" s="261" t="s">
        <v>6559</v>
      </c>
      <c r="M523" s="267"/>
      <c r="N523" s="268" t="s">
        <v>6519</v>
      </c>
    </row>
    <row r="524" ht="15.75" customHeight="1">
      <c r="A524" s="292" t="s">
        <v>4221</v>
      </c>
      <c r="B524" s="293">
        <v>15870.0</v>
      </c>
      <c r="C524" s="294">
        <v>23931.0</v>
      </c>
      <c r="D524" s="295">
        <v>44607.0</v>
      </c>
      <c r="E524" s="296">
        <v>0.5416666666666666</v>
      </c>
      <c r="F524" s="297" t="s">
        <v>6767</v>
      </c>
      <c r="G524" s="297" t="s">
        <v>6558</v>
      </c>
      <c r="H524" s="297" t="s">
        <v>6521</v>
      </c>
      <c r="I524" s="297" t="s">
        <v>6432</v>
      </c>
      <c r="J524" s="265"/>
      <c r="K524" s="266" t="s">
        <v>6559</v>
      </c>
      <c r="L524" s="261" t="s">
        <v>6559</v>
      </c>
      <c r="M524" s="298"/>
      <c r="N524" s="276" t="s">
        <v>7048</v>
      </c>
    </row>
    <row r="525" ht="15.75" customHeight="1">
      <c r="A525" s="269" t="s">
        <v>152</v>
      </c>
      <c r="B525" s="270">
        <v>9405.0</v>
      </c>
      <c r="C525" s="271">
        <v>23240.0</v>
      </c>
      <c r="D525" s="272">
        <v>44607.0</v>
      </c>
      <c r="E525" s="273">
        <v>0.5416666666666666</v>
      </c>
      <c r="F525" s="274" t="s">
        <v>6767</v>
      </c>
      <c r="G525" s="274" t="s">
        <v>6560</v>
      </c>
      <c r="H525" s="274" t="s">
        <v>6524</v>
      </c>
      <c r="I525" s="274" t="s">
        <v>6486</v>
      </c>
      <c r="J525" s="265"/>
      <c r="K525" s="266" t="s">
        <v>6559</v>
      </c>
      <c r="L525" s="261" t="s">
        <v>6559</v>
      </c>
      <c r="M525" s="275"/>
      <c r="N525" s="276" t="s">
        <v>7048</v>
      </c>
    </row>
    <row r="526" ht="15.75" customHeight="1">
      <c r="A526" s="256" t="s">
        <v>7065</v>
      </c>
      <c r="B526" s="257">
        <v>18059.0</v>
      </c>
      <c r="C526" s="258">
        <v>27676.0</v>
      </c>
      <c r="D526" s="259">
        <v>44607.0</v>
      </c>
      <c r="E526" s="260">
        <v>0.5416666666666666</v>
      </c>
      <c r="F526" s="261" t="s">
        <v>6766</v>
      </c>
      <c r="G526" s="262" t="s">
        <v>6562</v>
      </c>
      <c r="H526" s="263" t="s">
        <v>6527</v>
      </c>
      <c r="I526" s="264" t="s">
        <v>6417</v>
      </c>
      <c r="J526" s="279" t="s">
        <v>6559</v>
      </c>
      <c r="K526" s="265"/>
      <c r="L526" s="265"/>
      <c r="M526" s="267"/>
      <c r="N526" s="291" t="s">
        <v>6525</v>
      </c>
    </row>
    <row r="527" ht="15.75" customHeight="1">
      <c r="A527" s="256" t="s">
        <v>4338</v>
      </c>
      <c r="B527" s="257">
        <v>16002.0</v>
      </c>
      <c r="C527" s="258">
        <v>33968.0</v>
      </c>
      <c r="D527" s="259">
        <v>44607.0</v>
      </c>
      <c r="E527" s="260">
        <v>0.5625</v>
      </c>
      <c r="F527" s="261" t="s">
        <v>6767</v>
      </c>
      <c r="G527" s="262" t="s">
        <v>6560</v>
      </c>
      <c r="H527" s="263" t="s">
        <v>6524</v>
      </c>
      <c r="I527" s="264" t="s">
        <v>6372</v>
      </c>
      <c r="J527" s="265"/>
      <c r="K527" s="266" t="s">
        <v>6559</v>
      </c>
      <c r="L527" s="265"/>
      <c r="M527" s="267"/>
      <c r="N527" s="287" t="s">
        <v>6523</v>
      </c>
    </row>
    <row r="528" ht="15.75" customHeight="1">
      <c r="A528" s="269" t="s">
        <v>6337</v>
      </c>
      <c r="B528" s="270">
        <v>18082.0</v>
      </c>
      <c r="C528" s="271">
        <v>17686.0</v>
      </c>
      <c r="D528" s="272">
        <v>44607.0</v>
      </c>
      <c r="E528" s="273">
        <v>0.5625</v>
      </c>
      <c r="F528" s="274" t="s">
        <v>6767</v>
      </c>
      <c r="G528" s="274" t="s">
        <v>6561</v>
      </c>
      <c r="H528" s="274" t="s">
        <v>6527</v>
      </c>
      <c r="I528" s="274" t="s">
        <v>6482</v>
      </c>
      <c r="J528" s="279" t="s">
        <v>6559</v>
      </c>
      <c r="K528" s="265"/>
      <c r="L528" s="265"/>
      <c r="M528" s="275"/>
      <c r="N528" s="280" t="s">
        <v>7047</v>
      </c>
    </row>
    <row r="529" ht="15.75" customHeight="1">
      <c r="A529" s="269" t="s">
        <v>3383</v>
      </c>
      <c r="B529" s="270">
        <v>14889.0</v>
      </c>
      <c r="C529" s="271">
        <v>20777.0</v>
      </c>
      <c r="D529" s="272">
        <v>44607.0</v>
      </c>
      <c r="E529" s="273">
        <v>0.5729166666666666</v>
      </c>
      <c r="F529" s="274" t="s">
        <v>6766</v>
      </c>
      <c r="G529" s="274" t="s">
        <v>6560</v>
      </c>
      <c r="H529" s="274" t="s">
        <v>6524</v>
      </c>
      <c r="I529" s="274" t="s">
        <v>6484</v>
      </c>
      <c r="J529" s="265"/>
      <c r="K529" s="266" t="s">
        <v>6559</v>
      </c>
      <c r="L529" s="261" t="s">
        <v>6559</v>
      </c>
      <c r="M529" s="275"/>
      <c r="N529" s="276" t="s">
        <v>7048</v>
      </c>
    </row>
    <row r="530" ht="15.75" customHeight="1">
      <c r="A530" s="269" t="s">
        <v>811</v>
      </c>
      <c r="B530" s="270">
        <v>11110.0</v>
      </c>
      <c r="C530" s="271">
        <v>13190.0</v>
      </c>
      <c r="D530" s="272">
        <v>44607.0</v>
      </c>
      <c r="E530" s="273">
        <v>0.5625</v>
      </c>
      <c r="F530" s="274" t="s">
        <v>6767</v>
      </c>
      <c r="G530" s="274" t="s">
        <v>6562</v>
      </c>
      <c r="H530" s="274" t="s">
        <v>6529</v>
      </c>
      <c r="I530" s="274" t="s">
        <v>6486</v>
      </c>
      <c r="J530" s="265"/>
      <c r="K530" s="266" t="s">
        <v>6559</v>
      </c>
      <c r="L530" s="265"/>
      <c r="M530" s="275"/>
      <c r="N530" s="288" t="s">
        <v>7049</v>
      </c>
    </row>
    <row r="531" ht="15.75" customHeight="1">
      <c r="A531" s="308" t="s">
        <v>50</v>
      </c>
      <c r="B531" s="309">
        <v>9169.0</v>
      </c>
      <c r="C531" s="310">
        <v>16745.0</v>
      </c>
      <c r="D531" s="311">
        <v>44607.0</v>
      </c>
      <c r="E531" s="312">
        <v>0.5833333333333334</v>
      </c>
      <c r="F531" s="313" t="s">
        <v>6767</v>
      </c>
      <c r="G531" s="313" t="s">
        <v>6560</v>
      </c>
      <c r="H531" s="313" t="s">
        <v>6524</v>
      </c>
      <c r="I531" s="313" t="s">
        <v>6427</v>
      </c>
      <c r="J531" s="265"/>
      <c r="K531" s="266" t="s">
        <v>6559</v>
      </c>
      <c r="L531" s="265"/>
      <c r="M531" s="315" t="s">
        <v>7060</v>
      </c>
      <c r="N531" s="288" t="s">
        <v>7050</v>
      </c>
    </row>
    <row r="532" ht="15.75" customHeight="1">
      <c r="A532" s="256" t="s">
        <v>3127</v>
      </c>
      <c r="B532" s="257">
        <v>14587.0</v>
      </c>
      <c r="C532" s="258">
        <v>22546.0</v>
      </c>
      <c r="D532" s="259">
        <v>44607.0</v>
      </c>
      <c r="E532" s="260">
        <v>0.5520833333333334</v>
      </c>
      <c r="F532" s="261" t="s">
        <v>6766</v>
      </c>
      <c r="G532" s="262" t="s">
        <v>6560</v>
      </c>
      <c r="H532" s="263" t="s">
        <v>6524</v>
      </c>
      <c r="I532" s="264" t="s">
        <v>6393</v>
      </c>
      <c r="J532" s="265"/>
      <c r="K532" s="266" t="s">
        <v>6559</v>
      </c>
      <c r="L532" s="265"/>
      <c r="M532" s="267"/>
      <c r="N532" s="287" t="s">
        <v>6523</v>
      </c>
    </row>
    <row r="533" ht="15.75" customHeight="1">
      <c r="A533" s="256" t="s">
        <v>607</v>
      </c>
      <c r="B533" s="257">
        <v>10614.0</v>
      </c>
      <c r="C533" s="258">
        <v>19605.0</v>
      </c>
      <c r="D533" s="259">
        <v>44607.0</v>
      </c>
      <c r="E533" s="260">
        <v>0.59375</v>
      </c>
      <c r="F533" s="261" t="s">
        <v>6767</v>
      </c>
      <c r="G533" s="262" t="s">
        <v>6560</v>
      </c>
      <c r="H533" s="263" t="s">
        <v>6524</v>
      </c>
      <c r="I533" s="264" t="s">
        <v>6372</v>
      </c>
      <c r="J533" s="265"/>
      <c r="K533" s="266" t="s">
        <v>6559</v>
      </c>
      <c r="L533" s="261" t="s">
        <v>6559</v>
      </c>
      <c r="M533" s="267"/>
      <c r="N533" s="268" t="s">
        <v>6519</v>
      </c>
    </row>
    <row r="534" ht="15.75" customHeight="1">
      <c r="A534" s="269" t="s">
        <v>7066</v>
      </c>
      <c r="B534" s="270">
        <v>18108.0</v>
      </c>
      <c r="C534" s="271">
        <v>13026.0</v>
      </c>
      <c r="D534" s="272">
        <v>44607.0</v>
      </c>
      <c r="E534" s="273">
        <v>0.5416666666666666</v>
      </c>
      <c r="F534" s="274" t="s">
        <v>6767</v>
      </c>
      <c r="G534" s="274" t="s">
        <v>6562</v>
      </c>
      <c r="H534" s="274" t="s">
        <v>6527</v>
      </c>
      <c r="I534" s="274" t="s">
        <v>6486</v>
      </c>
      <c r="J534" s="279" t="s">
        <v>6559</v>
      </c>
      <c r="K534" s="265"/>
      <c r="L534" s="265"/>
      <c r="M534" s="275"/>
      <c r="N534" s="280" t="s">
        <v>7047</v>
      </c>
    </row>
    <row r="535" ht="15.75" customHeight="1">
      <c r="A535" s="256" t="s">
        <v>6339</v>
      </c>
      <c r="B535" s="257">
        <v>18098.0</v>
      </c>
      <c r="C535" s="258">
        <v>18133.0</v>
      </c>
      <c r="D535" s="259">
        <v>44607.0</v>
      </c>
      <c r="E535" s="260">
        <v>0.6145833333333334</v>
      </c>
      <c r="F535" s="261" t="s">
        <v>6766</v>
      </c>
      <c r="G535" s="262" t="s">
        <v>6561</v>
      </c>
      <c r="H535" s="263" t="s">
        <v>6527</v>
      </c>
      <c r="I535" s="264" t="s">
        <v>6391</v>
      </c>
      <c r="J535" s="279" t="s">
        <v>6559</v>
      </c>
      <c r="K535" s="265"/>
      <c r="L535" s="265"/>
      <c r="M535" s="267"/>
      <c r="N535" s="291" t="s">
        <v>6525</v>
      </c>
    </row>
    <row r="536" ht="15.75" customHeight="1">
      <c r="A536" s="269" t="s">
        <v>5388</v>
      </c>
      <c r="B536" s="270">
        <v>17334.0</v>
      </c>
      <c r="C536" s="271">
        <v>25243.0</v>
      </c>
      <c r="D536" s="272">
        <v>44607.0</v>
      </c>
      <c r="E536" s="273">
        <v>0.5729166666666666</v>
      </c>
      <c r="F536" s="274" t="s">
        <v>6766</v>
      </c>
      <c r="G536" s="274" t="s">
        <v>6558</v>
      </c>
      <c r="H536" s="274" t="s">
        <v>6521</v>
      </c>
      <c r="I536" s="274" t="s">
        <v>6482</v>
      </c>
      <c r="J536" s="265"/>
      <c r="K536" s="266" t="s">
        <v>6559</v>
      </c>
      <c r="L536" s="261" t="s">
        <v>6559</v>
      </c>
      <c r="M536" s="275"/>
      <c r="N536" s="276" t="s">
        <v>7048</v>
      </c>
    </row>
    <row r="537" ht="15.75" customHeight="1">
      <c r="A537" s="281" t="s">
        <v>2619</v>
      </c>
      <c r="B537" s="282">
        <v>13937.0</v>
      </c>
      <c r="C537" s="283">
        <v>33308.0</v>
      </c>
      <c r="D537" s="284">
        <v>44607.0</v>
      </c>
      <c r="E537" s="285">
        <v>0.6354166666666666</v>
      </c>
      <c r="F537" s="279" t="s">
        <v>6766</v>
      </c>
      <c r="G537" s="279" t="s">
        <v>6560</v>
      </c>
      <c r="H537" s="279" t="s">
        <v>6524</v>
      </c>
      <c r="I537" s="279" t="s">
        <v>6438</v>
      </c>
      <c r="J537" s="265"/>
      <c r="K537" s="266" t="s">
        <v>6559</v>
      </c>
      <c r="L537" s="261" t="s">
        <v>6559</v>
      </c>
      <c r="M537" s="286"/>
      <c r="N537" s="268" t="s">
        <v>6519</v>
      </c>
    </row>
    <row r="538" ht="15.75" customHeight="1">
      <c r="A538" s="256" t="s">
        <v>7067</v>
      </c>
      <c r="B538" s="257">
        <v>18139.0</v>
      </c>
      <c r="C538" s="258">
        <v>23268.0</v>
      </c>
      <c r="D538" s="259">
        <v>44607.0</v>
      </c>
      <c r="E538" s="260">
        <v>0.6354166666666666</v>
      </c>
      <c r="F538" s="261" t="s">
        <v>6766</v>
      </c>
      <c r="G538" s="262" t="s">
        <v>6562</v>
      </c>
      <c r="H538" s="263" t="s">
        <v>6527</v>
      </c>
      <c r="I538" s="264" t="s">
        <v>6407</v>
      </c>
      <c r="J538" s="279" t="s">
        <v>6559</v>
      </c>
      <c r="K538" s="265"/>
      <c r="L538" s="265"/>
      <c r="M538" s="267"/>
      <c r="N538" s="280" t="e">
        <v>#N/A</v>
      </c>
    </row>
    <row r="539" ht="15.75" customHeight="1">
      <c r="A539" s="256" t="s">
        <v>863</v>
      </c>
      <c r="B539" s="257">
        <v>11216.0</v>
      </c>
      <c r="C539" s="258">
        <v>27234.0</v>
      </c>
      <c r="D539" s="259">
        <v>44607.0</v>
      </c>
      <c r="E539" s="260">
        <v>0.6354166666666666</v>
      </c>
      <c r="F539" s="261" t="s">
        <v>6766</v>
      </c>
      <c r="G539" s="262" t="s">
        <v>6562</v>
      </c>
      <c r="H539" s="263" t="s">
        <v>6527</v>
      </c>
      <c r="I539" s="264" t="s">
        <v>6393</v>
      </c>
      <c r="J539" s="265"/>
      <c r="K539" s="266" t="s">
        <v>6559</v>
      </c>
      <c r="L539" s="265"/>
      <c r="M539" s="267"/>
      <c r="N539" s="287" t="s">
        <v>6523</v>
      </c>
    </row>
    <row r="540" ht="15.75" customHeight="1">
      <c r="A540" s="256" t="s">
        <v>4105</v>
      </c>
      <c r="B540" s="257">
        <v>15741.0</v>
      </c>
      <c r="C540" s="258">
        <v>17556.0</v>
      </c>
      <c r="D540" s="259">
        <v>44607.0</v>
      </c>
      <c r="E540" s="260">
        <v>0.6145833333333334</v>
      </c>
      <c r="F540" s="261" t="s">
        <v>6767</v>
      </c>
      <c r="G540" s="262" t="s">
        <v>6561</v>
      </c>
      <c r="H540" s="263" t="s">
        <v>6529</v>
      </c>
      <c r="I540" s="264" t="s">
        <v>6427</v>
      </c>
      <c r="J540" s="265"/>
      <c r="K540" s="266" t="s">
        <v>6559</v>
      </c>
      <c r="L540" s="261" t="s">
        <v>6559</v>
      </c>
      <c r="M540" s="267"/>
      <c r="N540" s="268" t="s">
        <v>6519</v>
      </c>
    </row>
    <row r="541" ht="15.75" customHeight="1">
      <c r="A541" s="256" t="s">
        <v>7068</v>
      </c>
      <c r="B541" s="257">
        <v>18107.0</v>
      </c>
      <c r="C541" s="258">
        <v>16069.0</v>
      </c>
      <c r="D541" s="259">
        <v>44607.0</v>
      </c>
      <c r="E541" s="260">
        <v>0.59375</v>
      </c>
      <c r="F541" s="261" t="s">
        <v>6766</v>
      </c>
      <c r="G541" s="262" t="s">
        <v>6561</v>
      </c>
      <c r="H541" s="263" t="s">
        <v>6527</v>
      </c>
      <c r="I541" s="264" t="s">
        <v>6451</v>
      </c>
      <c r="J541" s="279" t="s">
        <v>6559</v>
      </c>
      <c r="K541" s="265"/>
      <c r="L541" s="265"/>
      <c r="M541" s="267"/>
      <c r="N541" s="291" t="s">
        <v>6525</v>
      </c>
    </row>
    <row r="542" ht="15.75" customHeight="1">
      <c r="A542" s="269" t="s">
        <v>5952</v>
      </c>
      <c r="B542" s="270">
        <v>17106.0</v>
      </c>
      <c r="C542" s="271">
        <v>11696.0</v>
      </c>
      <c r="D542" s="272">
        <v>44607.0</v>
      </c>
      <c r="E542" s="273">
        <v>0.6458333333333334</v>
      </c>
      <c r="F542" s="274" t="s">
        <v>6766</v>
      </c>
      <c r="G542" s="274" t="s">
        <v>6560</v>
      </c>
      <c r="H542" s="274" t="s">
        <v>6524</v>
      </c>
      <c r="I542" s="274" t="s">
        <v>6485</v>
      </c>
      <c r="J542" s="265"/>
      <c r="K542" s="266" t="s">
        <v>6559</v>
      </c>
      <c r="L542" s="265"/>
      <c r="M542" s="275"/>
      <c r="N542" s="288" t="s">
        <v>7049</v>
      </c>
    </row>
    <row r="543" ht="15.75" customHeight="1">
      <c r="A543" s="256" t="s">
        <v>37</v>
      </c>
      <c r="B543" s="257">
        <v>9141.0</v>
      </c>
      <c r="C543" s="258">
        <v>30758.0</v>
      </c>
      <c r="D543" s="259">
        <v>44607.0</v>
      </c>
      <c r="E543" s="260">
        <v>0.625</v>
      </c>
      <c r="F543" s="261" t="s">
        <v>6767</v>
      </c>
      <c r="G543" s="262" t="s">
        <v>6560</v>
      </c>
      <c r="H543" s="263" t="s">
        <v>6524</v>
      </c>
      <c r="I543" s="264" t="s">
        <v>6416</v>
      </c>
      <c r="J543" s="265"/>
      <c r="K543" s="266" t="s">
        <v>6559</v>
      </c>
      <c r="L543" s="261" t="s">
        <v>6559</v>
      </c>
      <c r="M543" s="267"/>
      <c r="N543" s="268" t="s">
        <v>6519</v>
      </c>
    </row>
    <row r="544" ht="15.75" customHeight="1">
      <c r="A544" s="269" t="s">
        <v>405</v>
      </c>
      <c r="B544" s="270">
        <v>10090.0</v>
      </c>
      <c r="C544" s="271">
        <v>19362.0</v>
      </c>
      <c r="D544" s="272">
        <v>44607.0</v>
      </c>
      <c r="E544" s="273">
        <v>0.65625</v>
      </c>
      <c r="F544" s="274" t="s">
        <v>6767</v>
      </c>
      <c r="G544" s="274" t="s">
        <v>6561</v>
      </c>
      <c r="H544" s="274" t="s">
        <v>6529</v>
      </c>
      <c r="I544" s="274" t="s">
        <v>6479</v>
      </c>
      <c r="J544" s="265"/>
      <c r="K544" s="266" t="s">
        <v>6559</v>
      </c>
      <c r="L544" s="261" t="s">
        <v>6559</v>
      </c>
      <c r="M544" s="275"/>
      <c r="N544" s="280" t="e">
        <v>#N/A</v>
      </c>
    </row>
    <row r="545" ht="15.75" customHeight="1">
      <c r="A545" s="256" t="s">
        <v>164</v>
      </c>
      <c r="B545" s="257">
        <v>9431.0</v>
      </c>
      <c r="C545" s="258">
        <v>17511.0</v>
      </c>
      <c r="D545" s="259">
        <v>44607.0</v>
      </c>
      <c r="E545" s="260">
        <v>0.59375</v>
      </c>
      <c r="F545" s="261" t="s">
        <v>6767</v>
      </c>
      <c r="G545" s="262" t="s">
        <v>6561</v>
      </c>
      <c r="H545" s="263" t="s">
        <v>6529</v>
      </c>
      <c r="I545" s="264" t="s">
        <v>6427</v>
      </c>
      <c r="J545" s="265"/>
      <c r="K545" s="266" t="s">
        <v>6559</v>
      </c>
      <c r="L545" s="265"/>
      <c r="M545" s="267"/>
      <c r="N545" s="287" t="s">
        <v>6523</v>
      </c>
    </row>
    <row r="546" ht="15.75" customHeight="1">
      <c r="A546" s="308" t="s">
        <v>7069</v>
      </c>
      <c r="B546" s="309">
        <v>18091.0</v>
      </c>
      <c r="C546" s="310">
        <v>18093.0</v>
      </c>
      <c r="D546" s="311">
        <v>44607.0</v>
      </c>
      <c r="E546" s="312">
        <v>0.59375</v>
      </c>
      <c r="F546" s="313" t="s">
        <v>6766</v>
      </c>
      <c r="G546" s="313" t="s">
        <v>6561</v>
      </c>
      <c r="H546" s="313" t="s">
        <v>6527</v>
      </c>
      <c r="I546" s="313" t="s">
        <v>6480</v>
      </c>
      <c r="J546" s="279" t="s">
        <v>6559</v>
      </c>
      <c r="K546" s="265"/>
      <c r="L546" s="265"/>
      <c r="M546" s="315" t="s">
        <v>7060</v>
      </c>
      <c r="N546" s="288" t="s">
        <v>7050</v>
      </c>
    </row>
    <row r="547" ht="15.75" customHeight="1">
      <c r="A547" s="269" t="s">
        <v>4745</v>
      </c>
      <c r="B547" s="270">
        <v>16513.0</v>
      </c>
      <c r="C547" s="271">
        <v>17670.0</v>
      </c>
      <c r="D547" s="272">
        <v>44607.0</v>
      </c>
      <c r="E547" s="273">
        <v>0.6354166666666666</v>
      </c>
      <c r="F547" s="274" t="s">
        <v>6766</v>
      </c>
      <c r="G547" s="274" t="s">
        <v>6558</v>
      </c>
      <c r="H547" s="274" t="s">
        <v>6521</v>
      </c>
      <c r="I547" s="274" t="s">
        <v>6486</v>
      </c>
      <c r="J547" s="265"/>
      <c r="K547" s="266" t="s">
        <v>6559</v>
      </c>
      <c r="L547" s="261" t="s">
        <v>6559</v>
      </c>
      <c r="M547" s="275"/>
      <c r="N547" s="276" t="s">
        <v>7048</v>
      </c>
    </row>
    <row r="548" ht="15.75" customHeight="1">
      <c r="A548" s="269" t="s">
        <v>3456</v>
      </c>
      <c r="B548" s="270">
        <v>14982.0</v>
      </c>
      <c r="C548" s="271">
        <v>15634.0</v>
      </c>
      <c r="D548" s="272">
        <v>44607.0</v>
      </c>
      <c r="E548" s="273">
        <v>0.4895833333333333</v>
      </c>
      <c r="F548" s="274" t="s">
        <v>6767</v>
      </c>
      <c r="G548" s="274" t="s">
        <v>6558</v>
      </c>
      <c r="H548" s="274" t="s">
        <v>6521</v>
      </c>
      <c r="I548" s="274" t="s">
        <v>6479</v>
      </c>
      <c r="J548" s="265"/>
      <c r="K548" s="266" t="s">
        <v>6559</v>
      </c>
      <c r="L548" s="265"/>
      <c r="M548" s="275"/>
      <c r="N548" s="288" t="s">
        <v>7049</v>
      </c>
    </row>
    <row r="549" ht="15.75" customHeight="1">
      <c r="A549" s="269" t="s">
        <v>4245</v>
      </c>
      <c r="B549" s="270">
        <v>15894.0</v>
      </c>
      <c r="C549" s="271">
        <v>18114.0</v>
      </c>
      <c r="D549" s="272">
        <v>44607.0</v>
      </c>
      <c r="E549" s="273">
        <v>0.625</v>
      </c>
      <c r="F549" s="274" t="s">
        <v>6766</v>
      </c>
      <c r="G549" s="274" t="s">
        <v>6560</v>
      </c>
      <c r="H549" s="274" t="s">
        <v>6524</v>
      </c>
      <c r="I549" s="274" t="s">
        <v>6486</v>
      </c>
      <c r="J549" s="265"/>
      <c r="K549" s="266" t="s">
        <v>6559</v>
      </c>
      <c r="L549" s="265"/>
      <c r="M549" s="275"/>
      <c r="N549" s="280" t="e">
        <v>#N/A</v>
      </c>
    </row>
    <row r="550" ht="15.75" customHeight="1">
      <c r="A550" s="269" t="s">
        <v>3812</v>
      </c>
      <c r="B550" s="270">
        <v>15409.0</v>
      </c>
      <c r="C550" s="271">
        <v>16055.0</v>
      </c>
      <c r="D550" s="272">
        <v>44608.0</v>
      </c>
      <c r="E550" s="273">
        <v>0.3125</v>
      </c>
      <c r="F550" s="274" t="s">
        <v>6767</v>
      </c>
      <c r="G550" s="274" t="s">
        <v>6558</v>
      </c>
      <c r="H550" s="274" t="s">
        <v>6527</v>
      </c>
      <c r="I550" s="274" t="s">
        <v>6485</v>
      </c>
      <c r="J550" s="265"/>
      <c r="K550" s="266" t="s">
        <v>6559</v>
      </c>
      <c r="L550" s="265"/>
      <c r="M550" s="275"/>
      <c r="N550" s="288" t="s">
        <v>7049</v>
      </c>
    </row>
    <row r="551" ht="15.75" customHeight="1">
      <c r="A551" s="256" t="s">
        <v>2060</v>
      </c>
      <c r="B551" s="257">
        <v>13217.0</v>
      </c>
      <c r="C551" s="258">
        <v>17043.0</v>
      </c>
      <c r="D551" s="259">
        <v>44608.0</v>
      </c>
      <c r="E551" s="260">
        <v>0.3333333333333333</v>
      </c>
      <c r="F551" s="261" t="s">
        <v>6766</v>
      </c>
      <c r="G551" s="262" t="s">
        <v>6558</v>
      </c>
      <c r="H551" s="263" t="s">
        <v>6521</v>
      </c>
      <c r="I551" s="264" t="s">
        <v>6489</v>
      </c>
      <c r="J551" s="265"/>
      <c r="K551" s="266" t="s">
        <v>6559</v>
      </c>
      <c r="L551" s="265"/>
      <c r="M551" s="267"/>
      <c r="N551" s="287" t="s">
        <v>6523</v>
      </c>
    </row>
    <row r="552" ht="15.75" customHeight="1">
      <c r="A552" s="308" t="s">
        <v>666</v>
      </c>
      <c r="B552" s="309">
        <v>10753.0</v>
      </c>
      <c r="C552" s="310">
        <v>19695.0</v>
      </c>
      <c r="D552" s="311">
        <v>44608.0</v>
      </c>
      <c r="E552" s="312">
        <v>0.34375</v>
      </c>
      <c r="F552" s="313" t="s">
        <v>6767</v>
      </c>
      <c r="G552" s="313" t="s">
        <v>6560</v>
      </c>
      <c r="H552" s="313" t="s">
        <v>6524</v>
      </c>
      <c r="I552" s="313" t="s">
        <v>6479</v>
      </c>
      <c r="J552" s="265"/>
      <c r="K552" s="266" t="s">
        <v>6559</v>
      </c>
      <c r="L552" s="265"/>
      <c r="M552" s="315" t="s">
        <v>6792</v>
      </c>
      <c r="N552" s="288" t="s">
        <v>7050</v>
      </c>
    </row>
    <row r="553" ht="15.75" customHeight="1">
      <c r="A553" s="256" t="s">
        <v>1777</v>
      </c>
      <c r="B553" s="257">
        <v>12869.0</v>
      </c>
      <c r="C553" s="258">
        <v>25511.0</v>
      </c>
      <c r="D553" s="259">
        <v>44608.0</v>
      </c>
      <c r="E553" s="260">
        <v>0.34375</v>
      </c>
      <c r="F553" s="261" t="s">
        <v>6767</v>
      </c>
      <c r="G553" s="262" t="s">
        <v>6558</v>
      </c>
      <c r="H553" s="263" t="s">
        <v>6521</v>
      </c>
      <c r="I553" s="264" t="s">
        <v>6384</v>
      </c>
      <c r="J553" s="265"/>
      <c r="K553" s="266" t="s">
        <v>6559</v>
      </c>
      <c r="L553" s="261" t="s">
        <v>6559</v>
      </c>
      <c r="M553" s="267"/>
      <c r="N553" s="268" t="s">
        <v>6519</v>
      </c>
    </row>
    <row r="554" ht="15.75" customHeight="1">
      <c r="A554" s="256" t="s">
        <v>4327</v>
      </c>
      <c r="B554" s="257">
        <v>15989.0</v>
      </c>
      <c r="C554" s="258">
        <v>30622.0</v>
      </c>
      <c r="D554" s="259">
        <v>44608.0</v>
      </c>
      <c r="E554" s="260">
        <v>0.3645833333333333</v>
      </c>
      <c r="F554" s="261" t="s">
        <v>6767</v>
      </c>
      <c r="G554" s="262" t="s">
        <v>6560</v>
      </c>
      <c r="H554" s="263" t="s">
        <v>6524</v>
      </c>
      <c r="I554" s="264" t="s">
        <v>6381</v>
      </c>
      <c r="J554" s="265"/>
      <c r="K554" s="266" t="s">
        <v>6559</v>
      </c>
      <c r="L554" s="265"/>
      <c r="M554" s="267"/>
      <c r="N554" s="287" t="s">
        <v>6523</v>
      </c>
    </row>
    <row r="555" ht="15.75" customHeight="1">
      <c r="A555" s="317" t="s">
        <v>196</v>
      </c>
      <c r="B555" s="318">
        <v>9529.0</v>
      </c>
      <c r="C555" s="319">
        <v>28740.0</v>
      </c>
      <c r="D555" s="259">
        <v>44608.0</v>
      </c>
      <c r="E555" s="320">
        <v>0.3541666666666667</v>
      </c>
      <c r="F555" s="321" t="s">
        <v>6767</v>
      </c>
      <c r="G555" s="321" t="s">
        <v>6558</v>
      </c>
      <c r="H555" s="321" t="s">
        <v>6521</v>
      </c>
      <c r="I555" s="321" t="s">
        <v>6424</v>
      </c>
      <c r="J555" s="265"/>
      <c r="K555" s="266" t="s">
        <v>6559</v>
      </c>
      <c r="L555" s="261" t="s">
        <v>6559</v>
      </c>
      <c r="M555" s="323"/>
      <c r="N555" s="276" t="s">
        <v>7048</v>
      </c>
    </row>
    <row r="556" ht="15.75" customHeight="1">
      <c r="A556" s="256" t="s">
        <v>3473</v>
      </c>
      <c r="B556" s="257">
        <v>15002.0</v>
      </c>
      <c r="C556" s="258">
        <v>21001.0</v>
      </c>
      <c r="D556" s="259">
        <v>44608.0</v>
      </c>
      <c r="E556" s="260">
        <v>0.375</v>
      </c>
      <c r="F556" s="261" t="s">
        <v>6767</v>
      </c>
      <c r="G556" s="262" t="s">
        <v>6560</v>
      </c>
      <c r="H556" s="263" t="s">
        <v>6524</v>
      </c>
      <c r="I556" s="264" t="s">
        <v>6445</v>
      </c>
      <c r="J556" s="265"/>
      <c r="K556" s="266" t="s">
        <v>6559</v>
      </c>
      <c r="L556" s="261" t="s">
        <v>6559</v>
      </c>
      <c r="M556" s="267"/>
      <c r="N556" s="268" t="s">
        <v>6519</v>
      </c>
    </row>
    <row r="557" ht="15.75" customHeight="1">
      <c r="A557" s="256" t="s">
        <v>1573</v>
      </c>
      <c r="B557" s="257">
        <v>12614.0</v>
      </c>
      <c r="C557" s="258">
        <v>21378.0</v>
      </c>
      <c r="D557" s="259">
        <v>44608.0</v>
      </c>
      <c r="E557" s="260">
        <v>0.3645833333333333</v>
      </c>
      <c r="F557" s="261" t="s">
        <v>6767</v>
      </c>
      <c r="G557" s="262" t="s">
        <v>6558</v>
      </c>
      <c r="H557" s="263" t="s">
        <v>6521</v>
      </c>
      <c r="I557" s="264" t="s">
        <v>6489</v>
      </c>
      <c r="J557" s="265"/>
      <c r="K557" s="266" t="s">
        <v>6559</v>
      </c>
      <c r="L557" s="265"/>
      <c r="M557" s="267"/>
      <c r="N557" s="287" t="s">
        <v>6523</v>
      </c>
    </row>
    <row r="558" ht="15.75" customHeight="1">
      <c r="A558" s="256" t="s">
        <v>867</v>
      </c>
      <c r="B558" s="257">
        <v>11221.0</v>
      </c>
      <c r="C558" s="258">
        <v>21080.0</v>
      </c>
      <c r="D558" s="259">
        <v>44608.0</v>
      </c>
      <c r="E558" s="260">
        <v>0.4375</v>
      </c>
      <c r="F558" s="261" t="s">
        <v>6766</v>
      </c>
      <c r="G558" s="262" t="s">
        <v>6560</v>
      </c>
      <c r="H558" s="263" t="s">
        <v>6524</v>
      </c>
      <c r="I558" s="264" t="s">
        <v>6489</v>
      </c>
      <c r="J558" s="265"/>
      <c r="K558" s="266" t="s">
        <v>6559</v>
      </c>
      <c r="L558" s="265"/>
      <c r="M558" s="267"/>
      <c r="N558" s="287" t="s">
        <v>6523</v>
      </c>
    </row>
    <row r="559" ht="15.75" customHeight="1">
      <c r="A559" s="256" t="s">
        <v>2421</v>
      </c>
      <c r="B559" s="257">
        <v>13680.0</v>
      </c>
      <c r="C559" s="258">
        <v>26459.0</v>
      </c>
      <c r="D559" s="259">
        <v>44608.0</v>
      </c>
      <c r="E559" s="260">
        <v>0.40625</v>
      </c>
      <c r="F559" s="261" t="s">
        <v>6767</v>
      </c>
      <c r="G559" s="262" t="s">
        <v>6558</v>
      </c>
      <c r="H559" s="263" t="s">
        <v>6521</v>
      </c>
      <c r="I559" s="264" t="s">
        <v>6489</v>
      </c>
      <c r="J559" s="265"/>
      <c r="K559" s="266" t="s">
        <v>6559</v>
      </c>
      <c r="L559" s="261" t="s">
        <v>6559</v>
      </c>
      <c r="M559" s="267"/>
      <c r="N559" s="268" t="s">
        <v>6519</v>
      </c>
    </row>
    <row r="560" ht="15.75" customHeight="1">
      <c r="A560" s="256" t="s">
        <v>6343</v>
      </c>
      <c r="B560" s="257">
        <v>18146.0</v>
      </c>
      <c r="C560" s="258">
        <v>20786.0</v>
      </c>
      <c r="D560" s="259">
        <v>44608.0</v>
      </c>
      <c r="E560" s="260">
        <v>0.4375</v>
      </c>
      <c r="F560" s="261" t="s">
        <v>6766</v>
      </c>
      <c r="G560" s="262" t="s">
        <v>6561</v>
      </c>
      <c r="H560" s="263" t="s">
        <v>6529</v>
      </c>
      <c r="I560" s="264" t="s">
        <v>6427</v>
      </c>
      <c r="J560" s="279" t="s">
        <v>6559</v>
      </c>
      <c r="K560" s="265"/>
      <c r="L560" s="265"/>
      <c r="M560" s="267"/>
      <c r="N560" s="280" t="e">
        <v>#N/A</v>
      </c>
    </row>
    <row r="561" ht="15.75" customHeight="1">
      <c r="A561" s="256" t="s">
        <v>4899</v>
      </c>
      <c r="B561" s="257">
        <v>16721.0</v>
      </c>
      <c r="C561" s="258">
        <v>29245.0</v>
      </c>
      <c r="D561" s="259">
        <v>44608.0</v>
      </c>
      <c r="E561" s="260">
        <v>0.40625</v>
      </c>
      <c r="F561" s="261" t="s">
        <v>6767</v>
      </c>
      <c r="G561" s="262" t="s">
        <v>6558</v>
      </c>
      <c r="H561" s="263" t="s">
        <v>6521</v>
      </c>
      <c r="I561" s="264" t="s">
        <v>6489</v>
      </c>
      <c r="J561" s="265"/>
      <c r="K561" s="266" t="s">
        <v>6559</v>
      </c>
      <c r="L561" s="265"/>
      <c r="M561" s="267"/>
      <c r="N561" s="287" t="s">
        <v>6523</v>
      </c>
    </row>
    <row r="562" ht="15.75" customHeight="1">
      <c r="A562" s="269" t="s">
        <v>4503</v>
      </c>
      <c r="B562" s="270">
        <v>16196.0</v>
      </c>
      <c r="C562" s="271">
        <v>17763.0</v>
      </c>
      <c r="D562" s="272">
        <v>44608.0</v>
      </c>
      <c r="E562" s="273">
        <v>0.3958333333333333</v>
      </c>
      <c r="F562" s="274" t="s">
        <v>6766</v>
      </c>
      <c r="G562" s="274" t="s">
        <v>6561</v>
      </c>
      <c r="H562" s="274" t="s">
        <v>6529</v>
      </c>
      <c r="I562" s="274" t="s">
        <v>6480</v>
      </c>
      <c r="J562" s="265"/>
      <c r="K562" s="266" t="s">
        <v>6559</v>
      </c>
      <c r="L562" s="261" t="s">
        <v>6559</v>
      </c>
      <c r="M562" s="275"/>
      <c r="N562" s="276" t="s">
        <v>7048</v>
      </c>
    </row>
    <row r="563" ht="15.75" customHeight="1">
      <c r="A563" s="256" t="s">
        <v>5338</v>
      </c>
      <c r="B563" s="257">
        <v>17264.0</v>
      </c>
      <c r="C563" s="258">
        <v>18156.0</v>
      </c>
      <c r="D563" s="259">
        <v>44608.0</v>
      </c>
      <c r="E563" s="260">
        <v>0.4270833333333333</v>
      </c>
      <c r="F563" s="261" t="s">
        <v>6766</v>
      </c>
      <c r="G563" s="262" t="s">
        <v>6558</v>
      </c>
      <c r="H563" s="263" t="s">
        <v>6521</v>
      </c>
      <c r="I563" s="264" t="s">
        <v>6489</v>
      </c>
      <c r="J563" s="265"/>
      <c r="K563" s="266" t="s">
        <v>6559</v>
      </c>
      <c r="L563" s="265"/>
      <c r="M563" s="267"/>
      <c r="N563" s="287" t="s">
        <v>6523</v>
      </c>
    </row>
    <row r="564" ht="15.75" customHeight="1">
      <c r="A564" s="256" t="s">
        <v>4201</v>
      </c>
      <c r="B564" s="257">
        <v>15849.0</v>
      </c>
      <c r="C564" s="258">
        <v>32104.0</v>
      </c>
      <c r="D564" s="259">
        <v>44608.0</v>
      </c>
      <c r="E564" s="260">
        <v>0.375</v>
      </c>
      <c r="F564" s="261" t="s">
        <v>6767</v>
      </c>
      <c r="G564" s="262" t="s">
        <v>6562</v>
      </c>
      <c r="H564" s="263" t="s">
        <v>6527</v>
      </c>
      <c r="I564" s="264" t="s">
        <v>6539</v>
      </c>
      <c r="J564" s="265"/>
      <c r="K564" s="266" t="s">
        <v>6559</v>
      </c>
      <c r="L564" s="265"/>
      <c r="M564" s="267"/>
      <c r="N564" s="287" t="s">
        <v>6523</v>
      </c>
    </row>
    <row r="565" ht="15.75" customHeight="1">
      <c r="A565" s="256" t="s">
        <v>5507</v>
      </c>
      <c r="B565" s="257">
        <v>17485.0</v>
      </c>
      <c r="C565" s="258">
        <v>24152.0</v>
      </c>
      <c r="D565" s="259">
        <v>44608.0</v>
      </c>
      <c r="E565" s="260">
        <v>0.4375</v>
      </c>
      <c r="F565" s="261" t="s">
        <v>6767</v>
      </c>
      <c r="G565" s="262" t="s">
        <v>6561</v>
      </c>
      <c r="H565" s="263" t="s">
        <v>6527</v>
      </c>
      <c r="I565" s="264" t="s">
        <v>6476</v>
      </c>
      <c r="J565" s="265"/>
      <c r="K565" s="266" t="s">
        <v>6559</v>
      </c>
      <c r="L565" s="265"/>
      <c r="M565" s="267"/>
      <c r="N565" s="287" t="s">
        <v>6523</v>
      </c>
    </row>
    <row r="566" ht="15.75" customHeight="1">
      <c r="A566" s="269" t="s">
        <v>937</v>
      </c>
      <c r="B566" s="270">
        <v>11403.0</v>
      </c>
      <c r="C566" s="271">
        <v>26190.0</v>
      </c>
      <c r="D566" s="272">
        <v>44608.0</v>
      </c>
      <c r="E566" s="273">
        <v>0.4375</v>
      </c>
      <c r="F566" s="274" t="s">
        <v>6766</v>
      </c>
      <c r="G566" s="274" t="s">
        <v>6561</v>
      </c>
      <c r="H566" s="274" t="s">
        <v>6529</v>
      </c>
      <c r="I566" s="274" t="s">
        <v>6479</v>
      </c>
      <c r="J566" s="265"/>
      <c r="K566" s="266" t="s">
        <v>6559</v>
      </c>
      <c r="L566" s="261" t="s">
        <v>6559</v>
      </c>
      <c r="M566" s="275"/>
      <c r="N566" s="276" t="s">
        <v>7048</v>
      </c>
    </row>
    <row r="567" ht="15.75" customHeight="1">
      <c r="A567" s="256" t="s">
        <v>6344</v>
      </c>
      <c r="B567" s="257">
        <v>18102.0</v>
      </c>
      <c r="C567" s="258">
        <v>14309.0</v>
      </c>
      <c r="D567" s="259">
        <v>44608.0</v>
      </c>
      <c r="E567" s="260">
        <v>0.4479166666666667</v>
      </c>
      <c r="F567" s="261" t="s">
        <v>6767</v>
      </c>
      <c r="G567" s="262" t="s">
        <v>6561</v>
      </c>
      <c r="H567" s="263" t="s">
        <v>6529</v>
      </c>
      <c r="I567" s="264" t="s">
        <v>6427</v>
      </c>
      <c r="J567" s="279" t="s">
        <v>6559</v>
      </c>
      <c r="K567" s="265"/>
      <c r="L567" s="265"/>
      <c r="M567" s="267"/>
      <c r="N567" s="291" t="s">
        <v>6525</v>
      </c>
    </row>
    <row r="568" ht="15.75" customHeight="1">
      <c r="A568" s="269" t="s">
        <v>6240</v>
      </c>
      <c r="B568" s="270">
        <v>18110.0</v>
      </c>
      <c r="C568" s="271">
        <v>18462.0</v>
      </c>
      <c r="D568" s="272">
        <v>44608.0</v>
      </c>
      <c r="E568" s="273">
        <v>0.3958333333333333</v>
      </c>
      <c r="F568" s="274" t="s">
        <v>6767</v>
      </c>
      <c r="G568" s="274" t="s">
        <v>6562</v>
      </c>
      <c r="H568" s="274" t="s">
        <v>6529</v>
      </c>
      <c r="I568" s="274" t="s">
        <v>6479</v>
      </c>
      <c r="J568" s="279" t="s">
        <v>6559</v>
      </c>
      <c r="K568" s="265"/>
      <c r="L568" s="265"/>
      <c r="M568" s="275"/>
      <c r="N568" s="280" t="s">
        <v>7047</v>
      </c>
    </row>
    <row r="569" ht="15.75" customHeight="1">
      <c r="A569" s="269" t="s">
        <v>6217</v>
      </c>
      <c r="B569" s="270">
        <v>18101.0</v>
      </c>
      <c r="C569" s="271">
        <v>18715.0</v>
      </c>
      <c r="D569" s="272">
        <v>44608.0</v>
      </c>
      <c r="E569" s="273">
        <v>0.4479166666666667</v>
      </c>
      <c r="F569" s="274" t="s">
        <v>6767</v>
      </c>
      <c r="G569" s="274" t="s">
        <v>6561</v>
      </c>
      <c r="H569" s="274" t="s">
        <v>6529</v>
      </c>
      <c r="I569" s="274" t="s">
        <v>6486</v>
      </c>
      <c r="J569" s="279" t="s">
        <v>6559</v>
      </c>
      <c r="K569" s="265"/>
      <c r="L569" s="265"/>
      <c r="M569" s="275"/>
      <c r="N569" s="280" t="s">
        <v>7047</v>
      </c>
    </row>
    <row r="570" ht="15.75" customHeight="1">
      <c r="A570" s="256" t="s">
        <v>587</v>
      </c>
      <c r="B570" s="257">
        <v>10571.0</v>
      </c>
      <c r="C570" s="258">
        <v>21775.0</v>
      </c>
      <c r="D570" s="259">
        <v>44608.0</v>
      </c>
      <c r="E570" s="260">
        <v>0.4479166666666667</v>
      </c>
      <c r="F570" s="261" t="s">
        <v>6767</v>
      </c>
      <c r="G570" s="262" t="s">
        <v>6560</v>
      </c>
      <c r="H570" s="263" t="s">
        <v>6524</v>
      </c>
      <c r="I570" s="264" t="s">
        <v>6489</v>
      </c>
      <c r="J570" s="265"/>
      <c r="K570" s="266" t="s">
        <v>6559</v>
      </c>
      <c r="L570" s="265"/>
      <c r="M570" s="267"/>
      <c r="N570" s="287" t="s">
        <v>6523</v>
      </c>
    </row>
    <row r="571" ht="15.75" customHeight="1">
      <c r="A571" s="256" t="s">
        <v>4463</v>
      </c>
      <c r="B571" s="257">
        <v>16149.0</v>
      </c>
      <c r="C571" s="258">
        <v>14652.0</v>
      </c>
      <c r="D571" s="259">
        <v>44608.0</v>
      </c>
      <c r="E571" s="260">
        <v>0.4479166666666667</v>
      </c>
      <c r="F571" s="261" t="s">
        <v>6767</v>
      </c>
      <c r="G571" s="262" t="s">
        <v>6562</v>
      </c>
      <c r="H571" s="263" t="s">
        <v>6529</v>
      </c>
      <c r="I571" s="264" t="s">
        <v>6427</v>
      </c>
      <c r="J571" s="279" t="s">
        <v>6559</v>
      </c>
      <c r="K571" s="265"/>
      <c r="L571" s="265"/>
      <c r="M571" s="267"/>
      <c r="N571" s="291" t="s">
        <v>6525</v>
      </c>
    </row>
    <row r="572" ht="15.75" customHeight="1">
      <c r="A572" s="256" t="s">
        <v>2782</v>
      </c>
      <c r="B572" s="257">
        <v>14152.0</v>
      </c>
      <c r="C572" s="258">
        <v>25368.0</v>
      </c>
      <c r="D572" s="259">
        <v>44608.0</v>
      </c>
      <c r="E572" s="260">
        <v>0.4583333333333333</v>
      </c>
      <c r="F572" s="261" t="s">
        <v>6767</v>
      </c>
      <c r="G572" s="262" t="s">
        <v>6562</v>
      </c>
      <c r="H572" s="263" t="s">
        <v>6527</v>
      </c>
      <c r="I572" s="264" t="s">
        <v>6381</v>
      </c>
      <c r="J572" s="265"/>
      <c r="K572" s="266" t="s">
        <v>6559</v>
      </c>
      <c r="L572" s="261" t="s">
        <v>6559</v>
      </c>
      <c r="M572" s="267"/>
      <c r="N572" s="268" t="s">
        <v>6519</v>
      </c>
    </row>
    <row r="573" ht="15.75" customHeight="1">
      <c r="A573" s="269" t="s">
        <v>6345</v>
      </c>
      <c r="B573" s="270">
        <v>18152.0</v>
      </c>
      <c r="C573" s="271">
        <v>24358.0</v>
      </c>
      <c r="D573" s="272">
        <v>44608.0</v>
      </c>
      <c r="E573" s="273">
        <v>0.5</v>
      </c>
      <c r="F573" s="274" t="s">
        <v>6767</v>
      </c>
      <c r="G573" s="274" t="s">
        <v>6562</v>
      </c>
      <c r="H573" s="274" t="s">
        <v>6529</v>
      </c>
      <c r="I573" s="274" t="s">
        <v>6486</v>
      </c>
      <c r="J573" s="279" t="s">
        <v>6559</v>
      </c>
      <c r="K573" s="265"/>
      <c r="L573" s="265"/>
      <c r="M573" s="275"/>
      <c r="N573" s="280" t="e">
        <v>#N/A</v>
      </c>
    </row>
    <row r="574" ht="15.75" customHeight="1">
      <c r="A574" s="269" t="s">
        <v>2154</v>
      </c>
      <c r="B574" s="270">
        <v>13337.0</v>
      </c>
      <c r="C574" s="271">
        <v>24039.0</v>
      </c>
      <c r="D574" s="272">
        <v>44608.0</v>
      </c>
      <c r="E574" s="273">
        <v>0.46875</v>
      </c>
      <c r="F574" s="274" t="s">
        <v>6767</v>
      </c>
      <c r="G574" s="274" t="s">
        <v>6560</v>
      </c>
      <c r="H574" s="274" t="s">
        <v>6524</v>
      </c>
      <c r="I574" s="274" t="s">
        <v>6479</v>
      </c>
      <c r="J574" s="265"/>
      <c r="K574" s="266" t="s">
        <v>6559</v>
      </c>
      <c r="L574" s="265"/>
      <c r="M574" s="275"/>
      <c r="N574" s="288" t="s">
        <v>7049</v>
      </c>
    </row>
    <row r="575" ht="15.75" customHeight="1">
      <c r="A575" s="256" t="s">
        <v>563</v>
      </c>
      <c r="B575" s="257">
        <v>10481.0</v>
      </c>
      <c r="C575" s="258">
        <v>22006.0</v>
      </c>
      <c r="D575" s="259">
        <v>44608.0</v>
      </c>
      <c r="E575" s="260">
        <v>0.5729166666666666</v>
      </c>
      <c r="F575" s="261" t="s">
        <v>6767</v>
      </c>
      <c r="G575" s="262" t="s">
        <v>6562</v>
      </c>
      <c r="H575" s="263" t="s">
        <v>6529</v>
      </c>
      <c r="I575" s="264" t="s">
        <v>6427</v>
      </c>
      <c r="J575" s="265"/>
      <c r="K575" s="266" t="s">
        <v>6559</v>
      </c>
      <c r="L575" s="265"/>
      <c r="M575" s="267"/>
      <c r="N575" s="287" t="s">
        <v>6523</v>
      </c>
    </row>
    <row r="576" ht="15.75" customHeight="1">
      <c r="A576" s="269" t="s">
        <v>948</v>
      </c>
      <c r="B576" s="270">
        <v>11428.0</v>
      </c>
      <c r="C576" s="271">
        <v>16107.0</v>
      </c>
      <c r="D576" s="272">
        <v>44608.0</v>
      </c>
      <c r="E576" s="273">
        <v>0.5416666666666666</v>
      </c>
      <c r="F576" s="274" t="s">
        <v>6767</v>
      </c>
      <c r="G576" s="274" t="s">
        <v>6561</v>
      </c>
      <c r="H576" s="274" t="s">
        <v>6529</v>
      </c>
      <c r="I576" s="274" t="s">
        <v>6479</v>
      </c>
      <c r="J576" s="265"/>
      <c r="K576" s="266" t="s">
        <v>6559</v>
      </c>
      <c r="L576" s="265"/>
      <c r="M576" s="275"/>
      <c r="N576" s="288" t="s">
        <v>7049</v>
      </c>
    </row>
    <row r="577" ht="15.75" customHeight="1">
      <c r="A577" s="269" t="s">
        <v>2275</v>
      </c>
      <c r="B577" s="270">
        <v>13498.0</v>
      </c>
      <c r="C577" s="271">
        <v>20405.0</v>
      </c>
      <c r="D577" s="272">
        <v>44608.0</v>
      </c>
      <c r="E577" s="273">
        <v>0.5520833333333334</v>
      </c>
      <c r="F577" s="274" t="s">
        <v>6766</v>
      </c>
      <c r="G577" s="274" t="s">
        <v>6562</v>
      </c>
      <c r="H577" s="274" t="s">
        <v>6529</v>
      </c>
      <c r="I577" s="274" t="s">
        <v>6479</v>
      </c>
      <c r="J577" s="265"/>
      <c r="K577" s="266" t="s">
        <v>6559</v>
      </c>
      <c r="L577" s="265"/>
      <c r="M577" s="275"/>
      <c r="N577" s="288" t="s">
        <v>7049</v>
      </c>
    </row>
    <row r="578" ht="15.75" customHeight="1">
      <c r="A578" s="256" t="s">
        <v>4167</v>
      </c>
      <c r="B578" s="257">
        <v>15812.0</v>
      </c>
      <c r="C578" s="258">
        <v>31904.0</v>
      </c>
      <c r="D578" s="259">
        <v>44608.0</v>
      </c>
      <c r="E578" s="260">
        <v>0.5416666666666666</v>
      </c>
      <c r="F578" s="261" t="s">
        <v>6766</v>
      </c>
      <c r="G578" s="262" t="s">
        <v>6558</v>
      </c>
      <c r="H578" s="263" t="s">
        <v>6524</v>
      </c>
      <c r="I578" s="264" t="s">
        <v>6444</v>
      </c>
      <c r="J578" s="265"/>
      <c r="K578" s="266" t="s">
        <v>6559</v>
      </c>
      <c r="L578" s="265"/>
      <c r="M578" s="267"/>
      <c r="N578" s="287" t="s">
        <v>6523</v>
      </c>
    </row>
    <row r="579" ht="15.75" customHeight="1">
      <c r="A579" s="256" t="s">
        <v>284</v>
      </c>
      <c r="B579" s="257">
        <v>9779.0</v>
      </c>
      <c r="C579" s="258">
        <v>22449.0</v>
      </c>
      <c r="D579" s="259">
        <v>44608.0</v>
      </c>
      <c r="E579" s="260">
        <v>0.5625</v>
      </c>
      <c r="F579" s="261" t="s">
        <v>6767</v>
      </c>
      <c r="G579" s="262" t="s">
        <v>6558</v>
      </c>
      <c r="H579" s="263" t="s">
        <v>6524</v>
      </c>
      <c r="I579" s="264" t="s">
        <v>6373</v>
      </c>
      <c r="J579" s="265"/>
      <c r="K579" s="266" t="s">
        <v>6559</v>
      </c>
      <c r="L579" s="261" t="s">
        <v>6559</v>
      </c>
      <c r="M579" s="267"/>
      <c r="N579" s="268" t="s">
        <v>6519</v>
      </c>
    </row>
    <row r="580" ht="15.75" customHeight="1">
      <c r="A580" s="256" t="s">
        <v>6346</v>
      </c>
      <c r="B580" s="257">
        <v>18047.0</v>
      </c>
      <c r="C580" s="258">
        <v>20905.0</v>
      </c>
      <c r="D580" s="259">
        <v>44608.0</v>
      </c>
      <c r="E580" s="260">
        <v>0.5520833333333334</v>
      </c>
      <c r="F580" s="261" t="s">
        <v>6766</v>
      </c>
      <c r="G580" s="262" t="s">
        <v>6561</v>
      </c>
      <c r="H580" s="263" t="s">
        <v>6527</v>
      </c>
      <c r="I580" s="264" t="s">
        <v>6372</v>
      </c>
      <c r="J580" s="279" t="s">
        <v>6559</v>
      </c>
      <c r="K580" s="265"/>
      <c r="L580" s="265"/>
      <c r="M580" s="267"/>
      <c r="N580" s="291" t="s">
        <v>6525</v>
      </c>
    </row>
    <row r="581" ht="15.75" customHeight="1">
      <c r="A581" s="269" t="s">
        <v>6347</v>
      </c>
      <c r="B581" s="270">
        <v>18141.0</v>
      </c>
      <c r="C581" s="271">
        <v>13336.0</v>
      </c>
      <c r="D581" s="272">
        <v>44608.0</v>
      </c>
      <c r="E581" s="273">
        <v>0.5625</v>
      </c>
      <c r="F581" s="274" t="s">
        <v>6767</v>
      </c>
      <c r="G581" s="274" t="s">
        <v>6562</v>
      </c>
      <c r="H581" s="274" t="s">
        <v>6529</v>
      </c>
      <c r="I581" s="274" t="s">
        <v>6485</v>
      </c>
      <c r="J581" s="279" t="s">
        <v>6559</v>
      </c>
      <c r="K581" s="265"/>
      <c r="L581" s="265"/>
      <c r="M581" s="275"/>
      <c r="N581" s="280" t="e">
        <v>#N/A</v>
      </c>
    </row>
    <row r="582" ht="15.75" customHeight="1">
      <c r="A582" s="256" t="s">
        <v>5064</v>
      </c>
      <c r="B582" s="257">
        <v>16927.0</v>
      </c>
      <c r="C582" s="258">
        <v>19924.0</v>
      </c>
      <c r="D582" s="259">
        <v>44608.0</v>
      </c>
      <c r="E582" s="260">
        <v>0.5416666666666666</v>
      </c>
      <c r="F582" s="261" t="s">
        <v>6767</v>
      </c>
      <c r="G582" s="262" t="s">
        <v>6558</v>
      </c>
      <c r="H582" s="263" t="s">
        <v>6521</v>
      </c>
      <c r="I582" s="264" t="s">
        <v>6476</v>
      </c>
      <c r="J582" s="265"/>
      <c r="K582" s="266" t="s">
        <v>6559</v>
      </c>
      <c r="L582" s="265"/>
      <c r="M582" s="267"/>
      <c r="N582" s="287" t="s">
        <v>6523</v>
      </c>
    </row>
    <row r="583" ht="15.75" customHeight="1">
      <c r="A583" s="269" t="s">
        <v>5047</v>
      </c>
      <c r="B583" s="270">
        <v>16905.0</v>
      </c>
      <c r="C583" s="271">
        <v>19927.0</v>
      </c>
      <c r="D583" s="272">
        <v>44608.0</v>
      </c>
      <c r="E583" s="273">
        <v>0.5625</v>
      </c>
      <c r="F583" s="274" t="s">
        <v>6767</v>
      </c>
      <c r="G583" s="274" t="s">
        <v>6558</v>
      </c>
      <c r="H583" s="274" t="s">
        <v>6524</v>
      </c>
      <c r="I583" s="274" t="s">
        <v>6479</v>
      </c>
      <c r="J583" s="265"/>
      <c r="K583" s="266" t="s">
        <v>6559</v>
      </c>
      <c r="L583" s="265"/>
      <c r="M583" s="275"/>
      <c r="N583" s="288" t="s">
        <v>7049</v>
      </c>
    </row>
    <row r="584" ht="15.75" customHeight="1">
      <c r="A584" s="269" t="s">
        <v>1321</v>
      </c>
      <c r="B584" s="270">
        <v>12208.0</v>
      </c>
      <c r="C584" s="271">
        <v>15804.0</v>
      </c>
      <c r="D584" s="272">
        <v>44608.0</v>
      </c>
      <c r="E584" s="273">
        <v>0.5625</v>
      </c>
      <c r="F584" s="274" t="s">
        <v>6767</v>
      </c>
      <c r="G584" s="274" t="s">
        <v>6558</v>
      </c>
      <c r="H584" s="274" t="s">
        <v>6521</v>
      </c>
      <c r="I584" s="274" t="s">
        <v>6483</v>
      </c>
      <c r="J584" s="265"/>
      <c r="K584" s="266" t="s">
        <v>6559</v>
      </c>
      <c r="L584" s="265"/>
      <c r="M584" s="275"/>
      <c r="N584" s="288" t="s">
        <v>7049</v>
      </c>
    </row>
    <row r="585" ht="15.75" customHeight="1">
      <c r="A585" s="269" t="s">
        <v>6348</v>
      </c>
      <c r="B585" s="270">
        <v>18119.0</v>
      </c>
      <c r="C585" s="271">
        <v>14367.0</v>
      </c>
      <c r="D585" s="272">
        <v>44608.0</v>
      </c>
      <c r="E585" s="273">
        <v>0.5416666666666666</v>
      </c>
      <c r="F585" s="274" t="s">
        <v>6767</v>
      </c>
      <c r="G585" s="274" t="s">
        <v>6561</v>
      </c>
      <c r="H585" s="274" t="s">
        <v>6529</v>
      </c>
      <c r="I585" s="274" t="s">
        <v>6483</v>
      </c>
      <c r="J585" s="279" t="s">
        <v>6559</v>
      </c>
      <c r="K585" s="265"/>
      <c r="L585" s="265"/>
      <c r="M585" s="275"/>
      <c r="N585" s="280" t="s">
        <v>7047</v>
      </c>
    </row>
    <row r="586" ht="15.75" customHeight="1">
      <c r="A586" s="256" t="s">
        <v>6349</v>
      </c>
      <c r="B586" s="257">
        <v>18086.0</v>
      </c>
      <c r="C586" s="258">
        <v>26511.0</v>
      </c>
      <c r="D586" s="259">
        <v>44608.0</v>
      </c>
      <c r="E586" s="260">
        <v>0.5520833333333334</v>
      </c>
      <c r="F586" s="261" t="s">
        <v>6767</v>
      </c>
      <c r="G586" s="262" t="s">
        <v>6562</v>
      </c>
      <c r="H586" s="263" t="s">
        <v>6527</v>
      </c>
      <c r="I586" s="264" t="s">
        <v>6372</v>
      </c>
      <c r="J586" s="279" t="s">
        <v>6559</v>
      </c>
      <c r="K586" s="265"/>
      <c r="L586" s="265"/>
      <c r="M586" s="267"/>
      <c r="N586" s="291" t="s">
        <v>6525</v>
      </c>
    </row>
    <row r="587" ht="15.75" customHeight="1">
      <c r="A587" s="256" t="s">
        <v>6350</v>
      </c>
      <c r="B587" s="257">
        <v>18131.0</v>
      </c>
      <c r="C587" s="258">
        <v>35173.0</v>
      </c>
      <c r="D587" s="259">
        <v>44608.0</v>
      </c>
      <c r="E587" s="260">
        <v>0.59375</v>
      </c>
      <c r="F587" s="261" t="s">
        <v>6767</v>
      </c>
      <c r="G587" s="262" t="s">
        <v>6561</v>
      </c>
      <c r="H587" s="263" t="s">
        <v>6527</v>
      </c>
      <c r="I587" s="264" t="s">
        <v>6414</v>
      </c>
      <c r="J587" s="279" t="s">
        <v>6559</v>
      </c>
      <c r="K587" s="265"/>
      <c r="L587" s="265"/>
      <c r="M587" s="267"/>
      <c r="N587" s="280" t="e">
        <v>#N/A</v>
      </c>
    </row>
    <row r="588" ht="15.75" customHeight="1">
      <c r="A588" s="256" t="s">
        <v>472</v>
      </c>
      <c r="B588" s="257">
        <v>10273.0</v>
      </c>
      <c r="C588" s="258">
        <v>15730.0</v>
      </c>
      <c r="D588" s="259">
        <v>44608.0</v>
      </c>
      <c r="E588" s="260">
        <v>0.6354166666666666</v>
      </c>
      <c r="F588" s="261" t="s">
        <v>6767</v>
      </c>
      <c r="G588" s="262" t="s">
        <v>6562</v>
      </c>
      <c r="H588" s="263" t="s">
        <v>6527</v>
      </c>
      <c r="I588" s="264" t="s">
        <v>6476</v>
      </c>
      <c r="J588" s="265"/>
      <c r="K588" s="266" t="s">
        <v>6559</v>
      </c>
      <c r="L588" s="261" t="s">
        <v>6559</v>
      </c>
      <c r="M588" s="267"/>
      <c r="N588" s="268" t="s">
        <v>6519</v>
      </c>
    </row>
    <row r="589" ht="15.75" customHeight="1">
      <c r="A589" s="256" t="s">
        <v>6351</v>
      </c>
      <c r="B589" s="257">
        <v>10967.0</v>
      </c>
      <c r="C589" s="258">
        <v>18921.0</v>
      </c>
      <c r="D589" s="259">
        <v>44608.0</v>
      </c>
      <c r="E589" s="260">
        <v>0.6145833333333334</v>
      </c>
      <c r="F589" s="261" t="s">
        <v>6767</v>
      </c>
      <c r="G589" s="262" t="s">
        <v>6558</v>
      </c>
      <c r="H589" s="263" t="s">
        <v>6521</v>
      </c>
      <c r="I589" s="264" t="s">
        <v>6384</v>
      </c>
      <c r="J589" s="265"/>
      <c r="K589" s="266" t="s">
        <v>6559</v>
      </c>
      <c r="L589" s="265"/>
      <c r="M589" s="267"/>
      <c r="N589" s="287" t="s">
        <v>6523</v>
      </c>
    </row>
    <row r="590" ht="15.75" customHeight="1">
      <c r="A590" s="256" t="s">
        <v>4035</v>
      </c>
      <c r="B590" s="257">
        <v>15667.0</v>
      </c>
      <c r="C590" s="258">
        <v>28612.0</v>
      </c>
      <c r="D590" s="259">
        <v>44608.0</v>
      </c>
      <c r="E590" s="260">
        <v>0.6145833333333334</v>
      </c>
      <c r="F590" s="261" t="s">
        <v>6767</v>
      </c>
      <c r="G590" s="262" t="s">
        <v>6560</v>
      </c>
      <c r="H590" s="263" t="s">
        <v>6524</v>
      </c>
      <c r="I590" s="264" t="s">
        <v>6416</v>
      </c>
      <c r="J590" s="265"/>
      <c r="K590" s="266" t="s">
        <v>6559</v>
      </c>
      <c r="L590" s="261" t="s">
        <v>6559</v>
      </c>
      <c r="M590" s="267"/>
      <c r="N590" s="268" t="s">
        <v>6519</v>
      </c>
    </row>
    <row r="591" ht="15.75" customHeight="1">
      <c r="A591" s="281" t="s">
        <v>5806</v>
      </c>
      <c r="B591" s="282">
        <v>17640.0</v>
      </c>
      <c r="C591" s="283">
        <v>22120.0</v>
      </c>
      <c r="D591" s="284">
        <v>44608.0</v>
      </c>
      <c r="E591" s="285">
        <v>0.6041666666666666</v>
      </c>
      <c r="F591" s="279" t="s">
        <v>6767</v>
      </c>
      <c r="G591" s="279" t="s">
        <v>6561</v>
      </c>
      <c r="H591" s="279" t="s">
        <v>6527</v>
      </c>
      <c r="I591" s="279" t="s">
        <v>6379</v>
      </c>
      <c r="J591" s="279" t="s">
        <v>6559</v>
      </c>
      <c r="K591" s="265"/>
      <c r="L591" s="265"/>
      <c r="M591" s="286"/>
      <c r="N591" s="291" t="s">
        <v>6525</v>
      </c>
    </row>
    <row r="592" ht="15.75" customHeight="1">
      <c r="A592" s="256" t="s">
        <v>250</v>
      </c>
      <c r="B592" s="257">
        <v>9672.0</v>
      </c>
      <c r="C592" s="258">
        <v>27199.0</v>
      </c>
      <c r="D592" s="259">
        <v>44608.0</v>
      </c>
      <c r="E592" s="260">
        <v>0.6041666666666666</v>
      </c>
      <c r="F592" s="261" t="s">
        <v>6766</v>
      </c>
      <c r="G592" s="262" t="s">
        <v>6560</v>
      </c>
      <c r="H592" s="263" t="s">
        <v>6524</v>
      </c>
      <c r="I592" s="264" t="s">
        <v>6489</v>
      </c>
      <c r="J592" s="265"/>
      <c r="K592" s="266" t="s">
        <v>6559</v>
      </c>
      <c r="L592" s="265"/>
      <c r="M592" s="267"/>
      <c r="N592" s="287" t="s">
        <v>6523</v>
      </c>
    </row>
    <row r="593" ht="15.75" customHeight="1">
      <c r="A593" s="256" t="s">
        <v>1286</v>
      </c>
      <c r="B593" s="257">
        <v>12131.0</v>
      </c>
      <c r="C593" s="258">
        <v>22551.0</v>
      </c>
      <c r="D593" s="259">
        <v>44608.0</v>
      </c>
      <c r="E593" s="260">
        <v>0.625</v>
      </c>
      <c r="F593" s="261" t="s">
        <v>6766</v>
      </c>
      <c r="G593" s="262" t="s">
        <v>6558</v>
      </c>
      <c r="H593" s="263" t="s">
        <v>6521</v>
      </c>
      <c r="I593" s="264" t="s">
        <v>6381</v>
      </c>
      <c r="J593" s="265"/>
      <c r="K593" s="266" t="s">
        <v>6559</v>
      </c>
      <c r="L593" s="261" t="s">
        <v>6559</v>
      </c>
      <c r="M593" s="267"/>
      <c r="N593" s="268" t="s">
        <v>6519</v>
      </c>
    </row>
    <row r="594" ht="15.75" customHeight="1">
      <c r="A594" s="269" t="s">
        <v>6137</v>
      </c>
      <c r="B594" s="270">
        <v>17963.0</v>
      </c>
      <c r="C594" s="271">
        <v>19664.0</v>
      </c>
      <c r="D594" s="272">
        <v>44608.0</v>
      </c>
      <c r="E594" s="273">
        <v>0.59375</v>
      </c>
      <c r="F594" s="274" t="s">
        <v>6767</v>
      </c>
      <c r="G594" s="274" t="s">
        <v>6561</v>
      </c>
      <c r="H594" s="274" t="s">
        <v>6529</v>
      </c>
      <c r="I594" s="274" t="s">
        <v>6486</v>
      </c>
      <c r="J594" s="279" t="s">
        <v>6559</v>
      </c>
      <c r="K594" s="265"/>
      <c r="L594" s="265"/>
      <c r="M594" s="275"/>
      <c r="N594" s="280" t="s">
        <v>7047</v>
      </c>
    </row>
    <row r="595" ht="15.75" customHeight="1">
      <c r="A595" s="256" t="s">
        <v>5807</v>
      </c>
      <c r="B595" s="257">
        <v>9200.0</v>
      </c>
      <c r="C595" s="258">
        <v>22540.0</v>
      </c>
      <c r="D595" s="259">
        <v>44608.0</v>
      </c>
      <c r="E595" s="260">
        <v>0.375</v>
      </c>
      <c r="F595" s="261" t="s">
        <v>6767</v>
      </c>
      <c r="G595" s="262" t="s">
        <v>6558</v>
      </c>
      <c r="H595" s="263" t="s">
        <v>6527</v>
      </c>
      <c r="I595" s="264" t="s">
        <v>6407</v>
      </c>
      <c r="J595" s="265"/>
      <c r="K595" s="266" t="s">
        <v>6559</v>
      </c>
      <c r="L595" s="261" t="s">
        <v>6559</v>
      </c>
      <c r="M595" s="267"/>
      <c r="N595" s="268" t="s">
        <v>6519</v>
      </c>
    </row>
    <row r="596" ht="15.75" customHeight="1">
      <c r="A596" s="256" t="s">
        <v>6198</v>
      </c>
      <c r="B596" s="257">
        <v>18157.0</v>
      </c>
      <c r="C596" s="258">
        <v>20071.0</v>
      </c>
      <c r="D596" s="259">
        <v>44608.0</v>
      </c>
      <c r="E596" s="260">
        <v>0.6354166666666666</v>
      </c>
      <c r="F596" s="261" t="s">
        <v>6767</v>
      </c>
      <c r="G596" s="262" t="s">
        <v>6562</v>
      </c>
      <c r="H596" s="263" t="s">
        <v>6529</v>
      </c>
      <c r="I596" s="264" t="s">
        <v>6427</v>
      </c>
      <c r="J596" s="279" t="s">
        <v>6559</v>
      </c>
      <c r="K596" s="265"/>
      <c r="L596" s="265"/>
      <c r="M596" s="267"/>
      <c r="N596" s="280" t="e">
        <v>#N/A</v>
      </c>
    </row>
    <row r="597" ht="15.75" customHeight="1">
      <c r="A597" s="256" t="s">
        <v>5878</v>
      </c>
      <c r="B597" s="257">
        <v>17727.0</v>
      </c>
      <c r="C597" s="258">
        <v>28711.0</v>
      </c>
      <c r="D597" s="259">
        <v>44608.0</v>
      </c>
      <c r="E597" s="260">
        <v>0.625</v>
      </c>
      <c r="F597" s="261" t="s">
        <v>6766</v>
      </c>
      <c r="G597" s="262" t="s">
        <v>6558</v>
      </c>
      <c r="H597" s="263" t="s">
        <v>6521</v>
      </c>
      <c r="I597" s="264" t="s">
        <v>6391</v>
      </c>
      <c r="J597" s="265"/>
      <c r="K597" s="266" t="s">
        <v>6559</v>
      </c>
      <c r="L597" s="265"/>
      <c r="M597" s="267"/>
      <c r="N597" s="287" t="s">
        <v>6523</v>
      </c>
    </row>
    <row r="598" ht="15.75" customHeight="1">
      <c r="A598" s="256" t="s">
        <v>6352</v>
      </c>
      <c r="B598" s="257">
        <v>18100.0</v>
      </c>
      <c r="C598" s="258">
        <v>14158.0</v>
      </c>
      <c r="D598" s="259">
        <v>44608.0</v>
      </c>
      <c r="E598" s="260">
        <v>0.6041666666666666</v>
      </c>
      <c r="F598" s="261" t="s">
        <v>6767</v>
      </c>
      <c r="G598" s="262" t="s">
        <v>6562</v>
      </c>
      <c r="H598" s="263" t="s">
        <v>6527</v>
      </c>
      <c r="I598" s="264" t="s">
        <v>6391</v>
      </c>
      <c r="J598" s="279" t="s">
        <v>6559</v>
      </c>
      <c r="K598" s="265"/>
      <c r="L598" s="265"/>
      <c r="M598" s="267"/>
      <c r="N598" s="291" t="s">
        <v>6525</v>
      </c>
    </row>
    <row r="599" ht="15.75" customHeight="1">
      <c r="A599" s="256" t="s">
        <v>6353</v>
      </c>
      <c r="B599" s="257">
        <v>18042.0</v>
      </c>
      <c r="C599" s="258">
        <v>12490.0</v>
      </c>
      <c r="D599" s="259">
        <v>44608.0</v>
      </c>
      <c r="E599" s="260">
        <v>0.6145833333333334</v>
      </c>
      <c r="F599" s="261" t="s">
        <v>6766</v>
      </c>
      <c r="G599" s="262" t="s">
        <v>6562</v>
      </c>
      <c r="H599" s="263" t="s">
        <v>6529</v>
      </c>
      <c r="I599" s="264" t="s">
        <v>6427</v>
      </c>
      <c r="J599" s="279" t="s">
        <v>6559</v>
      </c>
      <c r="K599" s="265"/>
      <c r="L599" s="265"/>
      <c r="M599" s="267"/>
      <c r="N599" s="291" t="s">
        <v>6525</v>
      </c>
    </row>
    <row r="600" ht="15.75" customHeight="1">
      <c r="A600" s="269" t="s">
        <v>4069</v>
      </c>
      <c r="B600" s="270">
        <v>15704.0</v>
      </c>
      <c r="C600" s="271">
        <v>23553.0</v>
      </c>
      <c r="D600" s="272">
        <v>44609.0</v>
      </c>
      <c r="E600" s="273">
        <v>0.375</v>
      </c>
      <c r="F600" s="274" t="s">
        <v>6767</v>
      </c>
      <c r="G600" s="274" t="s">
        <v>6561</v>
      </c>
      <c r="H600" s="274" t="s">
        <v>6529</v>
      </c>
      <c r="I600" s="274" t="s">
        <v>6485</v>
      </c>
      <c r="J600" s="265"/>
      <c r="K600" s="266" t="s">
        <v>6559</v>
      </c>
      <c r="L600" s="265"/>
      <c r="M600" s="275"/>
      <c r="N600" s="288" t="s">
        <v>7049</v>
      </c>
    </row>
    <row r="601" ht="15.75" customHeight="1">
      <c r="A601" s="308" t="s">
        <v>3365</v>
      </c>
      <c r="B601" s="309">
        <v>14869.0</v>
      </c>
      <c r="C601" s="310">
        <v>26458.0</v>
      </c>
      <c r="D601" s="311">
        <v>44609.0</v>
      </c>
      <c r="E601" s="312">
        <v>0.375</v>
      </c>
      <c r="F601" s="313" t="s">
        <v>6767</v>
      </c>
      <c r="G601" s="313" t="s">
        <v>6562</v>
      </c>
      <c r="H601" s="313" t="s">
        <v>6529</v>
      </c>
      <c r="I601" s="313" t="s">
        <v>6427</v>
      </c>
      <c r="J601" s="265"/>
      <c r="K601" s="266" t="s">
        <v>6559</v>
      </c>
      <c r="L601" s="265"/>
      <c r="M601" s="315" t="s">
        <v>6792</v>
      </c>
      <c r="N601" s="288" t="s">
        <v>7050</v>
      </c>
    </row>
    <row r="602" ht="15.75" customHeight="1">
      <c r="A602" s="256" t="s">
        <v>3993</v>
      </c>
      <c r="B602" s="257">
        <v>15620.0</v>
      </c>
      <c r="C602" s="258">
        <v>19311.0</v>
      </c>
      <c r="D602" s="259">
        <v>44609.0</v>
      </c>
      <c r="E602" s="260">
        <v>0.375</v>
      </c>
      <c r="F602" s="261" t="s">
        <v>6766</v>
      </c>
      <c r="G602" s="262" t="s">
        <v>6560</v>
      </c>
      <c r="H602" s="263" t="s">
        <v>6524</v>
      </c>
      <c r="I602" s="264" t="s">
        <v>6427</v>
      </c>
      <c r="J602" s="265"/>
      <c r="K602" s="266" t="s">
        <v>6559</v>
      </c>
      <c r="L602" s="261" t="s">
        <v>6559</v>
      </c>
      <c r="M602" s="267"/>
      <c r="N602" s="268" t="s">
        <v>6519</v>
      </c>
    </row>
    <row r="603" ht="15.75" customHeight="1">
      <c r="A603" s="256" t="s">
        <v>1702</v>
      </c>
      <c r="B603" s="257">
        <v>12781.0</v>
      </c>
      <c r="C603" s="258">
        <v>19260.0</v>
      </c>
      <c r="D603" s="259">
        <v>44609.0</v>
      </c>
      <c r="E603" s="260">
        <v>0.3333333333333333</v>
      </c>
      <c r="F603" s="261" t="s">
        <v>6767</v>
      </c>
      <c r="G603" s="262" t="s">
        <v>6560</v>
      </c>
      <c r="H603" s="263" t="s">
        <v>6524</v>
      </c>
      <c r="I603" s="264" t="s">
        <v>6427</v>
      </c>
      <c r="J603" s="265"/>
      <c r="K603" s="266" t="s">
        <v>6559</v>
      </c>
      <c r="L603" s="265"/>
      <c r="M603" s="267"/>
      <c r="N603" s="287" t="s">
        <v>6523</v>
      </c>
    </row>
    <row r="604" ht="15.75" customHeight="1">
      <c r="A604" s="281" t="s">
        <v>3042</v>
      </c>
      <c r="B604" s="282">
        <v>14489.0</v>
      </c>
      <c r="C604" s="283">
        <v>26451.0</v>
      </c>
      <c r="D604" s="284">
        <v>44609.0</v>
      </c>
      <c r="E604" s="285">
        <v>0.3854166666666667</v>
      </c>
      <c r="F604" s="279" t="s">
        <v>6767</v>
      </c>
      <c r="G604" s="279" t="s">
        <v>6562</v>
      </c>
      <c r="H604" s="279" t="s">
        <v>6527</v>
      </c>
      <c r="I604" s="279" t="s">
        <v>6379</v>
      </c>
      <c r="J604" s="265"/>
      <c r="K604" s="266" t="s">
        <v>6559</v>
      </c>
      <c r="L604" s="265"/>
      <c r="M604" s="286"/>
      <c r="N604" s="287" t="s">
        <v>6523</v>
      </c>
    </row>
    <row r="605" ht="15.75" customHeight="1">
      <c r="A605" s="256" t="s">
        <v>2726</v>
      </c>
      <c r="B605" s="257">
        <v>14084.0</v>
      </c>
      <c r="C605" s="258">
        <v>29711.0</v>
      </c>
      <c r="D605" s="259">
        <v>44609.0</v>
      </c>
      <c r="E605" s="260">
        <v>0.3854166666666667</v>
      </c>
      <c r="F605" s="261" t="s">
        <v>6766</v>
      </c>
      <c r="G605" s="262" t="s">
        <v>6561</v>
      </c>
      <c r="H605" s="263" t="s">
        <v>6527</v>
      </c>
      <c r="I605" s="264" t="s">
        <v>6489</v>
      </c>
      <c r="J605" s="265"/>
      <c r="K605" s="266" t="s">
        <v>6559</v>
      </c>
      <c r="L605" s="265"/>
      <c r="M605" s="267"/>
      <c r="N605" s="287" t="s">
        <v>6523</v>
      </c>
    </row>
    <row r="606" ht="15.75" customHeight="1">
      <c r="A606" s="256" t="s">
        <v>5858</v>
      </c>
      <c r="B606" s="257">
        <v>17508.0</v>
      </c>
      <c r="C606" s="258">
        <v>26371.0</v>
      </c>
      <c r="D606" s="259">
        <v>44609.0</v>
      </c>
      <c r="E606" s="260">
        <v>0.3958333333333333</v>
      </c>
      <c r="F606" s="261" t="s">
        <v>6767</v>
      </c>
      <c r="G606" s="262" t="s">
        <v>6561</v>
      </c>
      <c r="H606" s="263" t="s">
        <v>6527</v>
      </c>
      <c r="I606" s="264" t="s">
        <v>6389</v>
      </c>
      <c r="J606" s="265"/>
      <c r="K606" s="266" t="s">
        <v>6559</v>
      </c>
      <c r="L606" s="261" t="s">
        <v>6559</v>
      </c>
      <c r="M606" s="267"/>
      <c r="N606" s="268" t="s">
        <v>6519</v>
      </c>
    </row>
    <row r="607" ht="15.75" customHeight="1">
      <c r="A607" s="256" t="s">
        <v>1348</v>
      </c>
      <c r="B607" s="257">
        <v>12267.0</v>
      </c>
      <c r="C607" s="258">
        <v>23969.0</v>
      </c>
      <c r="D607" s="259">
        <v>44609.0</v>
      </c>
      <c r="E607" s="260">
        <v>0.3958333333333333</v>
      </c>
      <c r="F607" s="261" t="s">
        <v>6767</v>
      </c>
      <c r="G607" s="262" t="s">
        <v>6561</v>
      </c>
      <c r="H607" s="263" t="s">
        <v>6527</v>
      </c>
      <c r="I607" s="264" t="s">
        <v>6381</v>
      </c>
      <c r="J607" s="265"/>
      <c r="K607" s="266" t="s">
        <v>6559</v>
      </c>
      <c r="L607" s="265"/>
      <c r="M607" s="267"/>
      <c r="N607" s="287" t="s">
        <v>6523</v>
      </c>
    </row>
    <row r="608" ht="15.75" customHeight="1">
      <c r="A608" s="256" t="s">
        <v>4288</v>
      </c>
      <c r="B608" s="257">
        <v>15942.0</v>
      </c>
      <c r="C608" s="258">
        <v>20598.0</v>
      </c>
      <c r="D608" s="259">
        <v>44609.0</v>
      </c>
      <c r="E608" s="260">
        <v>0.3125</v>
      </c>
      <c r="F608" s="261" t="s">
        <v>6766</v>
      </c>
      <c r="G608" s="262" t="s">
        <v>6558</v>
      </c>
      <c r="H608" s="263" t="s">
        <v>6527</v>
      </c>
      <c r="I608" s="264" t="s">
        <v>6477</v>
      </c>
      <c r="J608" s="265"/>
      <c r="K608" s="266" t="s">
        <v>6559</v>
      </c>
      <c r="L608" s="261" t="s">
        <v>6559</v>
      </c>
      <c r="M608" s="267"/>
      <c r="N608" s="268" t="s">
        <v>6519</v>
      </c>
    </row>
    <row r="609" ht="15.75" customHeight="1">
      <c r="A609" s="269" t="s">
        <v>66</v>
      </c>
      <c r="B609" s="270">
        <v>9194.0</v>
      </c>
      <c r="C609" s="271">
        <v>21494.0</v>
      </c>
      <c r="D609" s="272">
        <v>44609.0</v>
      </c>
      <c r="E609" s="273">
        <v>0.3229166666666667</v>
      </c>
      <c r="F609" s="274" t="s">
        <v>6766</v>
      </c>
      <c r="G609" s="274" t="s">
        <v>6558</v>
      </c>
      <c r="H609" s="274" t="s">
        <v>6529</v>
      </c>
      <c r="I609" s="274" t="s">
        <v>6482</v>
      </c>
      <c r="J609" s="265"/>
      <c r="K609" s="266" t="s">
        <v>6559</v>
      </c>
      <c r="L609" s="265"/>
      <c r="M609" s="275"/>
      <c r="N609" s="288" t="s">
        <v>7049</v>
      </c>
    </row>
    <row r="610" ht="15.75" customHeight="1">
      <c r="A610" s="256" t="s">
        <v>1485</v>
      </c>
      <c r="B610" s="257">
        <v>12477.0</v>
      </c>
      <c r="C610" s="258">
        <v>24073.0</v>
      </c>
      <c r="D610" s="259">
        <v>44609.0</v>
      </c>
      <c r="E610" s="260">
        <v>0.375</v>
      </c>
      <c r="F610" s="261" t="s">
        <v>6767</v>
      </c>
      <c r="G610" s="262" t="s">
        <v>6558</v>
      </c>
      <c r="H610" s="263" t="s">
        <v>6521</v>
      </c>
      <c r="I610" s="304" t="s">
        <v>6437</v>
      </c>
      <c r="J610" s="265"/>
      <c r="K610" s="266" t="s">
        <v>6559</v>
      </c>
      <c r="L610" s="261" t="s">
        <v>6559</v>
      </c>
      <c r="M610" s="267"/>
      <c r="N610" s="276" t="s">
        <v>7048</v>
      </c>
    </row>
    <row r="611" ht="15.75" customHeight="1">
      <c r="A611" s="256" t="s">
        <v>3548</v>
      </c>
      <c r="B611" s="257">
        <v>15093.0</v>
      </c>
      <c r="C611" s="258">
        <v>22471.0</v>
      </c>
      <c r="D611" s="259">
        <v>44609.0</v>
      </c>
      <c r="E611" s="260">
        <v>0.3958333333333333</v>
      </c>
      <c r="F611" s="261" t="s">
        <v>6767</v>
      </c>
      <c r="G611" s="262" t="s">
        <v>6558</v>
      </c>
      <c r="H611" s="263" t="s">
        <v>6521</v>
      </c>
      <c r="I611" s="264" t="s">
        <v>6444</v>
      </c>
      <c r="J611" s="265"/>
      <c r="K611" s="266" t="s">
        <v>6559</v>
      </c>
      <c r="L611" s="265"/>
      <c r="M611" s="267"/>
      <c r="N611" s="287" t="s">
        <v>6523</v>
      </c>
    </row>
    <row r="612" ht="15.75" customHeight="1">
      <c r="A612" s="256" t="s">
        <v>4621</v>
      </c>
      <c r="B612" s="257">
        <v>16349.0</v>
      </c>
      <c r="C612" s="258">
        <v>13922.0</v>
      </c>
      <c r="D612" s="259">
        <v>44609.0</v>
      </c>
      <c r="E612" s="260">
        <v>0.40625</v>
      </c>
      <c r="F612" s="261" t="s">
        <v>6767</v>
      </c>
      <c r="G612" s="262" t="s">
        <v>6561</v>
      </c>
      <c r="H612" s="263" t="s">
        <v>6527</v>
      </c>
      <c r="I612" s="264" t="s">
        <v>6384</v>
      </c>
      <c r="J612" s="265"/>
      <c r="K612" s="266" t="s">
        <v>6559</v>
      </c>
      <c r="L612" s="265"/>
      <c r="M612" s="267"/>
      <c r="N612" s="287" t="s">
        <v>6523</v>
      </c>
    </row>
    <row r="613" ht="15.75" customHeight="1">
      <c r="A613" s="256" t="s">
        <v>2973</v>
      </c>
      <c r="B613" s="257">
        <v>14392.0</v>
      </c>
      <c r="C613" s="258">
        <v>21549.0</v>
      </c>
      <c r="D613" s="259">
        <v>44609.0</v>
      </c>
      <c r="E613" s="260">
        <v>0.3854166666666667</v>
      </c>
      <c r="F613" s="261" t="s">
        <v>6767</v>
      </c>
      <c r="G613" s="262" t="s">
        <v>6558</v>
      </c>
      <c r="H613" s="263" t="s">
        <v>6521</v>
      </c>
      <c r="I613" s="264" t="s">
        <v>6373</v>
      </c>
      <c r="J613" s="265"/>
      <c r="K613" s="266" t="s">
        <v>6559</v>
      </c>
      <c r="L613" s="261" t="s">
        <v>6559</v>
      </c>
      <c r="M613" s="267"/>
      <c r="N613" s="268" t="s">
        <v>6519</v>
      </c>
    </row>
    <row r="614" ht="15.75" customHeight="1">
      <c r="A614" s="256" t="s">
        <v>4048</v>
      </c>
      <c r="B614" s="257">
        <v>15680.0</v>
      </c>
      <c r="C614" s="258">
        <v>26249.0</v>
      </c>
      <c r="D614" s="259">
        <v>44609.0</v>
      </c>
      <c r="E614" s="260">
        <v>0.3958333333333333</v>
      </c>
      <c r="F614" s="261" t="s">
        <v>6767</v>
      </c>
      <c r="G614" s="262" t="s">
        <v>6560</v>
      </c>
      <c r="H614" s="263" t="s">
        <v>6524</v>
      </c>
      <c r="I614" s="264" t="s">
        <v>6444</v>
      </c>
      <c r="J614" s="265"/>
      <c r="K614" s="266" t="s">
        <v>6559</v>
      </c>
      <c r="L614" s="261" t="s">
        <v>6559</v>
      </c>
      <c r="M614" s="267"/>
      <c r="N614" s="268" t="s">
        <v>6519</v>
      </c>
    </row>
    <row r="615" ht="15.75" customHeight="1">
      <c r="A615" s="292" t="s">
        <v>815</v>
      </c>
      <c r="B615" s="293">
        <v>15948.0</v>
      </c>
      <c r="C615" s="294">
        <v>20139.0</v>
      </c>
      <c r="D615" s="295">
        <v>44609.0</v>
      </c>
      <c r="E615" s="296">
        <v>0.4166666666666667</v>
      </c>
      <c r="F615" s="297" t="s">
        <v>6766</v>
      </c>
      <c r="G615" s="297" t="s">
        <v>6561</v>
      </c>
      <c r="H615" s="297" t="s">
        <v>6527</v>
      </c>
      <c r="I615" s="297" t="s">
        <v>6390</v>
      </c>
      <c r="J615" s="306"/>
      <c r="K615" s="306" t="s">
        <v>6559</v>
      </c>
      <c r="L615" s="306" t="s">
        <v>6559</v>
      </c>
      <c r="M615" s="298"/>
      <c r="N615" s="276" t="s">
        <v>7048</v>
      </c>
    </row>
    <row r="616" ht="15.75" customHeight="1">
      <c r="A616" s="256" t="s">
        <v>907</v>
      </c>
      <c r="B616" s="257">
        <v>11340.0</v>
      </c>
      <c r="C616" s="258">
        <v>19369.0</v>
      </c>
      <c r="D616" s="259">
        <v>44609.0</v>
      </c>
      <c r="E616" s="260">
        <v>0.4166666666666667</v>
      </c>
      <c r="F616" s="261" t="s">
        <v>6767</v>
      </c>
      <c r="G616" s="262" t="s">
        <v>6562</v>
      </c>
      <c r="H616" s="263" t="s">
        <v>6529</v>
      </c>
      <c r="I616" s="264" t="s">
        <v>6427</v>
      </c>
      <c r="J616" s="265"/>
      <c r="K616" s="266" t="s">
        <v>6559</v>
      </c>
      <c r="L616" s="265"/>
      <c r="M616" s="267"/>
      <c r="N616" s="287" t="s">
        <v>6523</v>
      </c>
    </row>
    <row r="617" ht="15.75" customHeight="1">
      <c r="A617" s="292" t="s">
        <v>765</v>
      </c>
      <c r="B617" s="293">
        <v>11016.0</v>
      </c>
      <c r="C617" s="294">
        <v>23703.0</v>
      </c>
      <c r="D617" s="295">
        <v>44609.0</v>
      </c>
      <c r="E617" s="296">
        <v>0.40625</v>
      </c>
      <c r="F617" s="297" t="s">
        <v>6766</v>
      </c>
      <c r="G617" s="297" t="s">
        <v>6560</v>
      </c>
      <c r="H617" s="297" t="s">
        <v>6524</v>
      </c>
      <c r="I617" s="297" t="s">
        <v>6390</v>
      </c>
      <c r="J617" s="306"/>
      <c r="K617" s="306" t="s">
        <v>6559</v>
      </c>
      <c r="L617" s="306" t="s">
        <v>6559</v>
      </c>
      <c r="M617" s="298"/>
      <c r="N617" s="276" t="s">
        <v>7048</v>
      </c>
    </row>
    <row r="618" ht="15.75" customHeight="1">
      <c r="A618" s="269" t="s">
        <v>6216</v>
      </c>
      <c r="B618" s="270">
        <v>18158.0</v>
      </c>
      <c r="C618" s="271">
        <v>20169.0</v>
      </c>
      <c r="D618" s="272">
        <v>44609.0</v>
      </c>
      <c r="E618" s="273">
        <v>0.3958333333333333</v>
      </c>
      <c r="F618" s="274" t="s">
        <v>6767</v>
      </c>
      <c r="G618" s="274" t="s">
        <v>6562</v>
      </c>
      <c r="H618" s="274" t="s">
        <v>6529</v>
      </c>
      <c r="I618" s="274" t="s">
        <v>6479</v>
      </c>
      <c r="J618" s="279" t="s">
        <v>6559</v>
      </c>
      <c r="K618" s="265"/>
      <c r="L618" s="265"/>
      <c r="M618" s="275"/>
      <c r="N618" s="280" t="s">
        <v>7047</v>
      </c>
    </row>
    <row r="619" ht="15.75" customHeight="1">
      <c r="A619" s="269" t="s">
        <v>4189</v>
      </c>
      <c r="B619" s="270">
        <v>15837.0</v>
      </c>
      <c r="C619" s="271">
        <v>26371.0</v>
      </c>
      <c r="D619" s="272">
        <v>44609.0</v>
      </c>
      <c r="E619" s="273">
        <v>0.4166666666666667</v>
      </c>
      <c r="F619" s="274" t="s">
        <v>6766</v>
      </c>
      <c r="G619" s="274" t="s">
        <v>6560</v>
      </c>
      <c r="H619" s="274" t="s">
        <v>6524</v>
      </c>
      <c r="I619" s="274" t="s">
        <v>6486</v>
      </c>
      <c r="J619" s="265"/>
      <c r="K619" s="266" t="s">
        <v>6559</v>
      </c>
      <c r="L619" s="265"/>
      <c r="M619" s="275"/>
      <c r="N619" s="288" t="s">
        <v>7049</v>
      </c>
    </row>
    <row r="620" ht="15.75" customHeight="1">
      <c r="A620" s="256" t="s">
        <v>743</v>
      </c>
      <c r="B620" s="257">
        <v>10959.0</v>
      </c>
      <c r="C620" s="258">
        <v>20829.0</v>
      </c>
      <c r="D620" s="259">
        <v>44609.0</v>
      </c>
      <c r="E620" s="260">
        <v>0.4270833333333333</v>
      </c>
      <c r="F620" s="261" t="s">
        <v>6766</v>
      </c>
      <c r="G620" s="262" t="s">
        <v>6558</v>
      </c>
      <c r="H620" s="263" t="s">
        <v>6521</v>
      </c>
      <c r="I620" s="264" t="s">
        <v>6375</v>
      </c>
      <c r="J620" s="265"/>
      <c r="K620" s="266" t="s">
        <v>6559</v>
      </c>
      <c r="L620" s="265"/>
      <c r="M620" s="267"/>
      <c r="N620" s="287" t="s">
        <v>6523</v>
      </c>
    </row>
    <row r="621" ht="15.75" customHeight="1">
      <c r="A621" s="256" t="s">
        <v>1473</v>
      </c>
      <c r="B621" s="257">
        <v>12463.0</v>
      </c>
      <c r="C621" s="258">
        <v>26067.0</v>
      </c>
      <c r="D621" s="259">
        <v>44609.0</v>
      </c>
      <c r="E621" s="260">
        <v>0.4166666666666667</v>
      </c>
      <c r="F621" s="261" t="s">
        <v>6766</v>
      </c>
      <c r="G621" s="262" t="s">
        <v>6558</v>
      </c>
      <c r="H621" s="263" t="s">
        <v>6521</v>
      </c>
      <c r="I621" s="264" t="s">
        <v>6489</v>
      </c>
      <c r="J621" s="265"/>
      <c r="K621" s="266" t="s">
        <v>6559</v>
      </c>
      <c r="L621" s="265"/>
      <c r="M621" s="267"/>
      <c r="N621" s="287" t="s">
        <v>6523</v>
      </c>
    </row>
    <row r="622" ht="15.75" customHeight="1">
      <c r="A622" s="269" t="s">
        <v>4562</v>
      </c>
      <c r="B622" s="270">
        <v>16271.0</v>
      </c>
      <c r="C622" s="271">
        <v>19087.0</v>
      </c>
      <c r="D622" s="272">
        <v>44609.0</v>
      </c>
      <c r="E622" s="273">
        <v>0.46875</v>
      </c>
      <c r="F622" s="274" t="s">
        <v>6767</v>
      </c>
      <c r="G622" s="274" t="s">
        <v>6562</v>
      </c>
      <c r="H622" s="274" t="s">
        <v>6529</v>
      </c>
      <c r="I622" s="274" t="s">
        <v>6486</v>
      </c>
      <c r="J622" s="279" t="s">
        <v>6559</v>
      </c>
      <c r="K622" s="265"/>
      <c r="L622" s="265"/>
      <c r="M622" s="275"/>
      <c r="N622" s="280" t="s">
        <v>7047</v>
      </c>
    </row>
    <row r="623" ht="15.75" customHeight="1">
      <c r="A623" s="256" t="s">
        <v>2954</v>
      </c>
      <c r="B623" s="257">
        <v>14367.0</v>
      </c>
      <c r="C623" s="258">
        <v>30917.0</v>
      </c>
      <c r="D623" s="259">
        <v>44609.0</v>
      </c>
      <c r="E623" s="260">
        <v>0.4583333333333333</v>
      </c>
      <c r="F623" s="261" t="s">
        <v>6767</v>
      </c>
      <c r="G623" s="262" t="s">
        <v>6562</v>
      </c>
      <c r="H623" s="263" t="s">
        <v>6527</v>
      </c>
      <c r="I623" s="264" t="s">
        <v>6444</v>
      </c>
      <c r="J623" s="265"/>
      <c r="K623" s="266" t="s">
        <v>6559</v>
      </c>
      <c r="L623" s="265"/>
      <c r="M623" s="267"/>
      <c r="N623" s="287" t="s">
        <v>6523</v>
      </c>
    </row>
    <row r="624" ht="15.75" customHeight="1">
      <c r="A624" s="308" t="s">
        <v>931</v>
      </c>
      <c r="B624" s="309">
        <v>11387.0</v>
      </c>
      <c r="C624" s="310">
        <v>21062.0</v>
      </c>
      <c r="D624" s="311">
        <v>44609.0</v>
      </c>
      <c r="E624" s="312">
        <v>0.4375</v>
      </c>
      <c r="F624" s="313" t="s">
        <v>6766</v>
      </c>
      <c r="G624" s="313" t="s">
        <v>6558</v>
      </c>
      <c r="H624" s="313" t="s">
        <v>6521</v>
      </c>
      <c r="I624" s="313" t="s">
        <v>6373</v>
      </c>
      <c r="J624" s="265"/>
      <c r="K624" s="266" t="s">
        <v>6559</v>
      </c>
      <c r="L624" s="265"/>
      <c r="M624" s="315" t="s">
        <v>7070</v>
      </c>
      <c r="N624" s="288" t="s">
        <v>7050</v>
      </c>
    </row>
    <row r="625" ht="15.75" customHeight="1">
      <c r="A625" s="256" t="s">
        <v>1726</v>
      </c>
      <c r="B625" s="257">
        <v>12811.0</v>
      </c>
      <c r="C625" s="258">
        <v>14050.0</v>
      </c>
      <c r="D625" s="259">
        <v>44609.0</v>
      </c>
      <c r="E625" s="260">
        <v>0.4583333333333333</v>
      </c>
      <c r="F625" s="261" t="s">
        <v>6766</v>
      </c>
      <c r="G625" s="262" t="s">
        <v>6558</v>
      </c>
      <c r="H625" s="263" t="s">
        <v>6521</v>
      </c>
      <c r="I625" s="264" t="s">
        <v>6384</v>
      </c>
      <c r="J625" s="265"/>
      <c r="K625" s="266" t="s">
        <v>6559</v>
      </c>
      <c r="L625" s="265"/>
      <c r="M625" s="267"/>
      <c r="N625" s="280" t="e">
        <v>#N/A</v>
      </c>
    </row>
    <row r="626" ht="15.75" customHeight="1">
      <c r="A626" s="269" t="s">
        <v>553</v>
      </c>
      <c r="B626" s="270">
        <v>13472.0</v>
      </c>
      <c r="C626" s="271">
        <v>21682.0</v>
      </c>
      <c r="D626" s="272">
        <v>44609.0</v>
      </c>
      <c r="E626" s="273">
        <v>0.4583333333333333</v>
      </c>
      <c r="F626" s="274" t="s">
        <v>6766</v>
      </c>
      <c r="G626" s="274" t="s">
        <v>6558</v>
      </c>
      <c r="H626" s="274" t="s">
        <v>6521</v>
      </c>
      <c r="I626" s="274" t="s">
        <v>6479</v>
      </c>
      <c r="J626" s="265"/>
      <c r="K626" s="266" t="s">
        <v>6559</v>
      </c>
      <c r="L626" s="265"/>
      <c r="M626" s="275"/>
      <c r="N626" s="288" t="s">
        <v>7049</v>
      </c>
    </row>
    <row r="627" ht="15.75" customHeight="1">
      <c r="A627" s="256" t="s">
        <v>5744</v>
      </c>
      <c r="B627" s="257">
        <v>17575.0</v>
      </c>
      <c r="C627" s="258">
        <v>30266.0</v>
      </c>
      <c r="D627" s="259">
        <v>44609.0</v>
      </c>
      <c r="E627" s="260">
        <v>0.4479166666666667</v>
      </c>
      <c r="F627" s="261" t="s">
        <v>6767</v>
      </c>
      <c r="G627" s="262" t="s">
        <v>6558</v>
      </c>
      <c r="H627" s="263" t="s">
        <v>6521</v>
      </c>
      <c r="I627" s="264" t="s">
        <v>6444</v>
      </c>
      <c r="J627" s="265"/>
      <c r="K627" s="266" t="s">
        <v>6559</v>
      </c>
      <c r="L627" s="261" t="s">
        <v>6559</v>
      </c>
      <c r="M627" s="267"/>
      <c r="N627" s="268" t="s">
        <v>6519</v>
      </c>
    </row>
    <row r="628" ht="15.75" customHeight="1">
      <c r="A628" s="256" t="s">
        <v>5986</v>
      </c>
      <c r="B628" s="257">
        <v>17562.0</v>
      </c>
      <c r="C628" s="258">
        <v>14131.0</v>
      </c>
      <c r="D628" s="259">
        <v>44609.0</v>
      </c>
      <c r="E628" s="300" t="e">
        <v>#N/A</v>
      </c>
      <c r="F628" s="261" t="s">
        <v>6767</v>
      </c>
      <c r="G628" s="262" t="s">
        <v>6560</v>
      </c>
      <c r="H628" s="316" t="e">
        <v>#N/A</v>
      </c>
      <c r="I628" s="301" t="e">
        <v>#N/A</v>
      </c>
      <c r="J628" s="265"/>
      <c r="K628" s="266" t="s">
        <v>6559</v>
      </c>
      <c r="L628" s="265"/>
      <c r="M628" s="267"/>
      <c r="N628" s="280" t="e">
        <v>#N/A</v>
      </c>
    </row>
    <row r="629" ht="15.75" customHeight="1">
      <c r="A629" s="308" t="s">
        <v>4247</v>
      </c>
      <c r="B629" s="309">
        <v>15896.0</v>
      </c>
      <c r="C629" s="310">
        <v>18717.0</v>
      </c>
      <c r="D629" s="311">
        <v>44609.0</v>
      </c>
      <c r="E629" s="312">
        <v>0.46875</v>
      </c>
      <c r="F629" s="313" t="s">
        <v>6766</v>
      </c>
      <c r="G629" s="313" t="s">
        <v>6562</v>
      </c>
      <c r="H629" s="313" t="s">
        <v>6529</v>
      </c>
      <c r="I629" s="313" t="s">
        <v>6373</v>
      </c>
      <c r="J629" s="279" t="s">
        <v>6559</v>
      </c>
      <c r="K629" s="265"/>
      <c r="L629" s="265"/>
      <c r="M629" s="315" t="s">
        <v>7060</v>
      </c>
      <c r="N629" s="288" t="s">
        <v>7050</v>
      </c>
    </row>
    <row r="630" ht="15.75" customHeight="1">
      <c r="A630" s="269" t="s">
        <v>1050</v>
      </c>
      <c r="B630" s="270">
        <v>11675.0</v>
      </c>
      <c r="C630" s="271">
        <v>19439.0</v>
      </c>
      <c r="D630" s="272">
        <v>44609.0</v>
      </c>
      <c r="E630" s="273">
        <v>0.5416666666666666</v>
      </c>
      <c r="F630" s="274" t="s">
        <v>6767</v>
      </c>
      <c r="G630" s="274" t="s">
        <v>6558</v>
      </c>
      <c r="H630" s="274" t="s">
        <v>6521</v>
      </c>
      <c r="I630" s="274" t="s">
        <v>6486</v>
      </c>
      <c r="J630" s="265"/>
      <c r="K630" s="266" t="s">
        <v>6559</v>
      </c>
      <c r="L630" s="265"/>
      <c r="M630" s="275"/>
      <c r="N630" s="288" t="s">
        <v>7049</v>
      </c>
    </row>
    <row r="631" ht="15.75" customHeight="1">
      <c r="A631" s="256" t="s">
        <v>100</v>
      </c>
      <c r="B631" s="257">
        <v>9244.0</v>
      </c>
      <c r="C631" s="258">
        <v>30083.0</v>
      </c>
      <c r="D631" s="259">
        <v>44609.0</v>
      </c>
      <c r="E631" s="260">
        <v>0.5416666666666666</v>
      </c>
      <c r="F631" s="261" t="s">
        <v>6767</v>
      </c>
      <c r="G631" s="262" t="s">
        <v>6560</v>
      </c>
      <c r="H631" s="263" t="s">
        <v>6524</v>
      </c>
      <c r="I631" s="264" t="s">
        <v>6416</v>
      </c>
      <c r="J631" s="265"/>
      <c r="K631" s="266" t="s">
        <v>6559</v>
      </c>
      <c r="L631" s="261" t="s">
        <v>6559</v>
      </c>
      <c r="M631" s="267"/>
      <c r="N631" s="268" t="s">
        <v>6519</v>
      </c>
    </row>
    <row r="632" ht="15.75" customHeight="1">
      <c r="A632" s="256" t="s">
        <v>5446</v>
      </c>
      <c r="B632" s="257">
        <v>17125.0</v>
      </c>
      <c r="C632" s="258">
        <v>17554.0</v>
      </c>
      <c r="D632" s="259">
        <v>44609.0</v>
      </c>
      <c r="E632" s="260">
        <v>0.5520833333333334</v>
      </c>
      <c r="F632" s="261" t="s">
        <v>6766</v>
      </c>
      <c r="G632" s="262" t="s">
        <v>6560</v>
      </c>
      <c r="H632" s="263" t="s">
        <v>6524</v>
      </c>
      <c r="I632" s="264" t="s">
        <v>6476</v>
      </c>
      <c r="J632" s="265"/>
      <c r="K632" s="266" t="s">
        <v>6559</v>
      </c>
      <c r="L632" s="261" t="s">
        <v>6559</v>
      </c>
      <c r="M632" s="267"/>
      <c r="N632" s="268" t="s">
        <v>6519</v>
      </c>
    </row>
    <row r="633" ht="15.75" customHeight="1">
      <c r="A633" s="256" t="s">
        <v>76</v>
      </c>
      <c r="B633" s="257">
        <v>9210.0</v>
      </c>
      <c r="C633" s="258">
        <v>9983.0</v>
      </c>
      <c r="D633" s="259">
        <v>44609.0</v>
      </c>
      <c r="E633" s="260">
        <v>0.5625</v>
      </c>
      <c r="F633" s="261" t="s">
        <v>6767</v>
      </c>
      <c r="G633" s="262" t="s">
        <v>6562</v>
      </c>
      <c r="H633" s="263" t="s">
        <v>6529</v>
      </c>
      <c r="I633" s="264" t="s">
        <v>6427</v>
      </c>
      <c r="J633" s="265"/>
      <c r="K633" s="266" t="s">
        <v>6559</v>
      </c>
      <c r="L633" s="265"/>
      <c r="M633" s="267"/>
      <c r="N633" s="287" t="s">
        <v>6523</v>
      </c>
    </row>
    <row r="634" ht="15.75" customHeight="1">
      <c r="A634" s="269" t="s">
        <v>4027</v>
      </c>
      <c r="B634" s="270">
        <v>15658.0</v>
      </c>
      <c r="C634" s="271">
        <v>20620.0</v>
      </c>
      <c r="D634" s="272">
        <v>44609.0</v>
      </c>
      <c r="E634" s="273">
        <v>0.5625</v>
      </c>
      <c r="F634" s="274" t="s">
        <v>6767</v>
      </c>
      <c r="G634" s="274" t="s">
        <v>6562</v>
      </c>
      <c r="H634" s="274" t="s">
        <v>6527</v>
      </c>
      <c r="I634" s="274" t="s">
        <v>6486</v>
      </c>
      <c r="J634" s="265"/>
      <c r="K634" s="266" t="s">
        <v>6559</v>
      </c>
      <c r="L634" s="265"/>
      <c r="M634" s="275"/>
      <c r="N634" s="288" t="s">
        <v>7049</v>
      </c>
    </row>
    <row r="635" ht="15.75" customHeight="1">
      <c r="A635" s="281" t="s">
        <v>2593</v>
      </c>
      <c r="B635" s="282">
        <v>13903.0</v>
      </c>
      <c r="C635" s="283">
        <v>22038.0</v>
      </c>
      <c r="D635" s="284">
        <v>44609.0</v>
      </c>
      <c r="E635" s="285">
        <v>0.5625</v>
      </c>
      <c r="F635" s="279" t="s">
        <v>6767</v>
      </c>
      <c r="G635" s="279" t="s">
        <v>6560</v>
      </c>
      <c r="H635" s="279" t="s">
        <v>6524</v>
      </c>
      <c r="I635" s="279" t="s">
        <v>6379</v>
      </c>
      <c r="J635" s="265"/>
      <c r="K635" s="266" t="s">
        <v>6559</v>
      </c>
      <c r="L635" s="265"/>
      <c r="M635" s="286"/>
      <c r="N635" s="287" t="s">
        <v>6523</v>
      </c>
    </row>
    <row r="636" ht="15.75" customHeight="1">
      <c r="A636" s="256" t="s">
        <v>1494</v>
      </c>
      <c r="B636" s="257">
        <v>12492.0</v>
      </c>
      <c r="C636" s="258">
        <v>20836.0</v>
      </c>
      <c r="D636" s="259">
        <v>44609.0</v>
      </c>
      <c r="E636" s="260">
        <v>0.5729166666666666</v>
      </c>
      <c r="F636" s="261" t="s">
        <v>6767</v>
      </c>
      <c r="G636" s="262" t="s">
        <v>6560</v>
      </c>
      <c r="H636" s="263" t="s">
        <v>6524</v>
      </c>
      <c r="I636" s="264" t="s">
        <v>6374</v>
      </c>
      <c r="J636" s="265"/>
      <c r="K636" s="266" t="s">
        <v>6559</v>
      </c>
      <c r="L636" s="261" t="s">
        <v>6559</v>
      </c>
      <c r="M636" s="267"/>
      <c r="N636" s="268" t="s">
        <v>6519</v>
      </c>
    </row>
    <row r="637" ht="15.75" customHeight="1">
      <c r="A637" s="256" t="s">
        <v>2715</v>
      </c>
      <c r="B637" s="257">
        <v>14071.0</v>
      </c>
      <c r="C637" s="258">
        <v>25236.0</v>
      </c>
      <c r="D637" s="259">
        <v>44609.0</v>
      </c>
      <c r="E637" s="260">
        <v>0.5625</v>
      </c>
      <c r="F637" s="261" t="s">
        <v>6767</v>
      </c>
      <c r="G637" s="262" t="s">
        <v>6558</v>
      </c>
      <c r="H637" s="263" t="s">
        <v>6521</v>
      </c>
      <c r="I637" s="264" t="s">
        <v>6393</v>
      </c>
      <c r="J637" s="265"/>
      <c r="K637" s="266" t="s">
        <v>6559</v>
      </c>
      <c r="L637" s="265"/>
      <c r="M637" s="267"/>
      <c r="N637" s="287" t="s">
        <v>6523</v>
      </c>
    </row>
    <row r="638" ht="15.75" customHeight="1">
      <c r="A638" s="256" t="s">
        <v>3452</v>
      </c>
      <c r="B638" s="257">
        <v>14978.0</v>
      </c>
      <c r="C638" s="258">
        <v>22798.0</v>
      </c>
      <c r="D638" s="259">
        <v>44609.0</v>
      </c>
      <c r="E638" s="260">
        <v>0.5833333333333334</v>
      </c>
      <c r="F638" s="261" t="s">
        <v>6767</v>
      </c>
      <c r="G638" s="262" t="s">
        <v>6561</v>
      </c>
      <c r="H638" s="263" t="s">
        <v>6527</v>
      </c>
      <c r="I638" s="264" t="s">
        <v>6381</v>
      </c>
      <c r="J638" s="265"/>
      <c r="K638" s="266" t="s">
        <v>6559</v>
      </c>
      <c r="L638" s="265"/>
      <c r="M638" s="267"/>
      <c r="N638" s="287" t="s">
        <v>6523</v>
      </c>
    </row>
    <row r="639" ht="15.75" customHeight="1">
      <c r="A639" s="256" t="s">
        <v>2703</v>
      </c>
      <c r="B639" s="257">
        <v>14054.0</v>
      </c>
      <c r="C639" s="258">
        <v>19098.0</v>
      </c>
      <c r="D639" s="259">
        <v>44609.0</v>
      </c>
      <c r="E639" s="260">
        <v>0.5833333333333334</v>
      </c>
      <c r="F639" s="261" t="s">
        <v>6766</v>
      </c>
      <c r="G639" s="262" t="s">
        <v>6560</v>
      </c>
      <c r="H639" s="263" t="s">
        <v>6524</v>
      </c>
      <c r="I639" s="264" t="s">
        <v>6448</v>
      </c>
      <c r="J639" s="265"/>
      <c r="K639" s="266" t="s">
        <v>6559</v>
      </c>
      <c r="L639" s="265"/>
      <c r="M639" s="267"/>
      <c r="N639" s="287" t="s">
        <v>6523</v>
      </c>
    </row>
    <row r="640" ht="15.75" customHeight="1">
      <c r="A640" s="269" t="s">
        <v>763</v>
      </c>
      <c r="B640" s="270">
        <v>11011.0</v>
      </c>
      <c r="C640" s="271">
        <v>15419.0</v>
      </c>
      <c r="D640" s="272">
        <v>44609.0</v>
      </c>
      <c r="E640" s="273">
        <v>0.5833333333333334</v>
      </c>
      <c r="F640" s="274" t="s">
        <v>6767</v>
      </c>
      <c r="G640" s="274" t="s">
        <v>6561</v>
      </c>
      <c r="H640" s="274" t="s">
        <v>6527</v>
      </c>
      <c r="I640" s="274" t="s">
        <v>6486</v>
      </c>
      <c r="J640" s="265"/>
      <c r="K640" s="266" t="s">
        <v>6559</v>
      </c>
      <c r="L640" s="265"/>
      <c r="M640" s="275"/>
      <c r="N640" s="288" t="s">
        <v>7049</v>
      </c>
    </row>
    <row r="641" ht="15.75" customHeight="1">
      <c r="A641" s="308" t="s">
        <v>873</v>
      </c>
      <c r="B641" s="309">
        <v>11242.0</v>
      </c>
      <c r="C641" s="310">
        <v>24788.0</v>
      </c>
      <c r="D641" s="311">
        <v>44609.0</v>
      </c>
      <c r="E641" s="312">
        <v>0.5833333333333334</v>
      </c>
      <c r="F641" s="313" t="s">
        <v>6767</v>
      </c>
      <c r="G641" s="313" t="s">
        <v>6560</v>
      </c>
      <c r="H641" s="313" t="s">
        <v>6524</v>
      </c>
      <c r="I641" s="313" t="s">
        <v>6427</v>
      </c>
      <c r="J641" s="265"/>
      <c r="K641" s="266" t="s">
        <v>6559</v>
      </c>
      <c r="L641" s="265"/>
      <c r="M641" s="315" t="s">
        <v>6792</v>
      </c>
      <c r="N641" s="288" t="s">
        <v>7050</v>
      </c>
    </row>
    <row r="642" ht="15.75" customHeight="1">
      <c r="A642" s="256" t="s">
        <v>444</v>
      </c>
      <c r="B642" s="257">
        <v>10181.0</v>
      </c>
      <c r="C642" s="258">
        <v>13596.0</v>
      </c>
      <c r="D642" s="259">
        <v>44609.0</v>
      </c>
      <c r="E642" s="260">
        <v>0.59375</v>
      </c>
      <c r="F642" s="261" t="s">
        <v>6767</v>
      </c>
      <c r="G642" s="262" t="s">
        <v>6560</v>
      </c>
      <c r="H642" s="263" t="s">
        <v>6524</v>
      </c>
      <c r="I642" s="264" t="s">
        <v>7071</v>
      </c>
      <c r="J642" s="265"/>
      <c r="K642" s="266" t="s">
        <v>6559</v>
      </c>
      <c r="L642" s="265"/>
      <c r="M642" s="267"/>
      <c r="N642" s="287" t="s">
        <v>6523</v>
      </c>
    </row>
    <row r="643" ht="15.75" customHeight="1">
      <c r="A643" s="308" t="s">
        <v>1047</v>
      </c>
      <c r="B643" s="309">
        <v>11669.0</v>
      </c>
      <c r="C643" s="310">
        <v>21906.0</v>
      </c>
      <c r="D643" s="311">
        <v>44609.0</v>
      </c>
      <c r="E643" s="312">
        <v>0.6145833333333334</v>
      </c>
      <c r="F643" s="313" t="s">
        <v>6767</v>
      </c>
      <c r="G643" s="313" t="s">
        <v>6558</v>
      </c>
      <c r="H643" s="313" t="s">
        <v>6521</v>
      </c>
      <c r="I643" s="297" t="s">
        <v>6432</v>
      </c>
      <c r="J643" s="265"/>
      <c r="K643" s="266" t="s">
        <v>6559</v>
      </c>
      <c r="L643" s="265"/>
      <c r="M643" s="315" t="s">
        <v>7070</v>
      </c>
      <c r="N643" s="288" t="s">
        <v>7050</v>
      </c>
    </row>
    <row r="644" ht="15.75" customHeight="1">
      <c r="A644" s="256" t="s">
        <v>4877</v>
      </c>
      <c r="B644" s="257">
        <v>16687.0</v>
      </c>
      <c r="C644" s="258">
        <v>17055.0</v>
      </c>
      <c r="D644" s="259">
        <v>44609.0</v>
      </c>
      <c r="E644" s="260">
        <v>0.59375</v>
      </c>
      <c r="F644" s="261" t="s">
        <v>6766</v>
      </c>
      <c r="G644" s="262" t="s">
        <v>6558</v>
      </c>
      <c r="H644" s="263" t="s">
        <v>6521</v>
      </c>
      <c r="I644" s="264" t="s">
        <v>6489</v>
      </c>
      <c r="J644" s="265"/>
      <c r="K644" s="266" t="s">
        <v>6559</v>
      </c>
      <c r="L644" s="265"/>
      <c r="M644" s="267"/>
      <c r="N644" s="287" t="s">
        <v>6523</v>
      </c>
    </row>
    <row r="645" ht="15.75" customHeight="1">
      <c r="A645" s="256" t="s">
        <v>1689</v>
      </c>
      <c r="B645" s="257">
        <v>12767.0</v>
      </c>
      <c r="C645" s="258">
        <v>29651.0</v>
      </c>
      <c r="D645" s="259">
        <v>44609.0</v>
      </c>
      <c r="E645" s="260">
        <v>0.6354166666666666</v>
      </c>
      <c r="F645" s="261" t="s">
        <v>6767</v>
      </c>
      <c r="G645" s="262" t="s">
        <v>6558</v>
      </c>
      <c r="H645" s="263" t="s">
        <v>6521</v>
      </c>
      <c r="I645" s="264" t="s">
        <v>6407</v>
      </c>
      <c r="J645" s="265"/>
      <c r="K645" s="266" t="s">
        <v>6559</v>
      </c>
      <c r="L645" s="265"/>
      <c r="M645" s="267"/>
      <c r="N645" s="280" t="s">
        <v>7072</v>
      </c>
    </row>
    <row r="646" ht="15.75" customHeight="1">
      <c r="A646" s="256" t="s">
        <v>7073</v>
      </c>
      <c r="B646" s="257">
        <v>14176.0</v>
      </c>
      <c r="C646" s="258">
        <v>25015.0</v>
      </c>
      <c r="D646" s="259">
        <v>44609.0</v>
      </c>
      <c r="E646" s="260">
        <v>0.625</v>
      </c>
      <c r="F646" s="261" t="s">
        <v>6766</v>
      </c>
      <c r="G646" s="262" t="s">
        <v>6560</v>
      </c>
      <c r="H646" s="263" t="s">
        <v>6524</v>
      </c>
      <c r="I646" s="264" t="s">
        <v>6407</v>
      </c>
      <c r="J646" s="265"/>
      <c r="K646" s="266" t="s">
        <v>6559</v>
      </c>
      <c r="L646" s="265"/>
      <c r="M646" s="267"/>
      <c r="N646" s="287" t="s">
        <v>6523</v>
      </c>
    </row>
    <row r="647" ht="15.75" customHeight="1">
      <c r="A647" s="256" t="s">
        <v>7074</v>
      </c>
      <c r="B647" s="257">
        <v>12363.0</v>
      </c>
      <c r="C647" s="258">
        <v>23307.0</v>
      </c>
      <c r="D647" s="259">
        <v>44609.0</v>
      </c>
      <c r="E647" s="260">
        <v>0.6354166666666666</v>
      </c>
      <c r="F647" s="261" t="s">
        <v>6766</v>
      </c>
      <c r="G647" s="262" t="s">
        <v>6560</v>
      </c>
      <c r="H647" s="263" t="s">
        <v>6524</v>
      </c>
      <c r="I647" s="264" t="s">
        <v>6427</v>
      </c>
      <c r="J647" s="265"/>
      <c r="K647" s="324" t="e">
        <v>#NAME?</v>
      </c>
      <c r="L647" s="265"/>
      <c r="M647" s="325"/>
      <c r="N647" s="287" t="s">
        <v>6523</v>
      </c>
    </row>
    <row r="648" ht="15.75" customHeight="1">
      <c r="A648" s="256" t="s">
        <v>3506</v>
      </c>
      <c r="B648" s="257">
        <v>15046.0</v>
      </c>
      <c r="C648" s="258">
        <v>35872.0</v>
      </c>
      <c r="D648" s="259">
        <v>44609.0</v>
      </c>
      <c r="E648" s="260">
        <v>0.6041666666666666</v>
      </c>
      <c r="F648" s="261" t="s">
        <v>6767</v>
      </c>
      <c r="G648" s="262" t="s">
        <v>6561</v>
      </c>
      <c r="H648" s="263" t="s">
        <v>6527</v>
      </c>
      <c r="I648" s="264" t="s">
        <v>6444</v>
      </c>
      <c r="J648" s="265"/>
      <c r="K648" s="266" t="s">
        <v>6559</v>
      </c>
      <c r="L648" s="261" t="s">
        <v>6559</v>
      </c>
      <c r="M648" s="267"/>
      <c r="N648" s="268" t="s">
        <v>6519</v>
      </c>
    </row>
    <row r="649" ht="15.75" customHeight="1">
      <c r="A649" s="269" t="s">
        <v>6354</v>
      </c>
      <c r="B649" s="270">
        <v>18163.0</v>
      </c>
      <c r="C649" s="271">
        <v>15402.0</v>
      </c>
      <c r="D649" s="272">
        <v>44609.0</v>
      </c>
      <c r="E649" s="273">
        <v>0.65625</v>
      </c>
      <c r="F649" s="274" t="s">
        <v>6766</v>
      </c>
      <c r="G649" s="274" t="s">
        <v>6562</v>
      </c>
      <c r="H649" s="274" t="s">
        <v>6529</v>
      </c>
      <c r="I649" s="274" t="s">
        <v>6480</v>
      </c>
      <c r="J649" s="279" t="s">
        <v>6559</v>
      </c>
      <c r="K649" s="265"/>
      <c r="L649" s="265"/>
      <c r="M649" s="275"/>
      <c r="N649" s="280" t="e">
        <v>#N/A</v>
      </c>
    </row>
    <row r="650" ht="15.75" customHeight="1">
      <c r="A650" s="269" t="s">
        <v>7075</v>
      </c>
      <c r="B650" s="270">
        <v>17123.0</v>
      </c>
      <c r="C650" s="271">
        <v>20047.0</v>
      </c>
      <c r="D650" s="272">
        <v>44609.0</v>
      </c>
      <c r="E650" s="273">
        <v>0.6458333333333334</v>
      </c>
      <c r="F650" s="274" t="s">
        <v>6767</v>
      </c>
      <c r="G650" s="274" t="s">
        <v>6560</v>
      </c>
      <c r="H650" s="274" t="s">
        <v>6524</v>
      </c>
      <c r="I650" s="274" t="s">
        <v>6479</v>
      </c>
      <c r="J650" s="265"/>
      <c r="K650" s="266" t="s">
        <v>6559</v>
      </c>
      <c r="L650" s="265"/>
      <c r="M650" s="275"/>
      <c r="N650" s="288" t="s">
        <v>7049</v>
      </c>
    </row>
    <row r="651" ht="15.75" customHeight="1">
      <c r="A651" s="256" t="s">
        <v>7076</v>
      </c>
      <c r="B651" s="257">
        <v>11571.0</v>
      </c>
      <c r="C651" s="258">
        <v>8669.0</v>
      </c>
      <c r="D651" s="259">
        <v>44609.0</v>
      </c>
      <c r="E651" s="260">
        <v>0.6041666666666666</v>
      </c>
      <c r="F651" s="261" t="s">
        <v>6767</v>
      </c>
      <c r="G651" s="262" t="s">
        <v>6560</v>
      </c>
      <c r="H651" s="263" t="s">
        <v>6524</v>
      </c>
      <c r="I651" s="264" t="s">
        <v>6427</v>
      </c>
      <c r="J651" s="265"/>
      <c r="K651" s="266" t="s">
        <v>6559</v>
      </c>
      <c r="L651" s="265"/>
      <c r="M651" s="267" t="s">
        <v>7077</v>
      </c>
      <c r="N651" s="280" t="e">
        <v>#N/A</v>
      </c>
    </row>
    <row r="652" ht="15.75" customHeight="1">
      <c r="A652" s="256" t="s">
        <v>4007</v>
      </c>
      <c r="B652" s="257">
        <v>15637.0</v>
      </c>
      <c r="C652" s="258">
        <v>25033.0</v>
      </c>
      <c r="D652" s="259">
        <v>44609.0</v>
      </c>
      <c r="E652" s="260">
        <v>0.625</v>
      </c>
      <c r="F652" s="261" t="s">
        <v>6767</v>
      </c>
      <c r="G652" s="262" t="s">
        <v>6562</v>
      </c>
      <c r="H652" s="263" t="s">
        <v>6527</v>
      </c>
      <c r="I652" s="264" t="s">
        <v>6407</v>
      </c>
      <c r="J652" s="265"/>
      <c r="K652" s="266" t="s">
        <v>6559</v>
      </c>
      <c r="L652" s="265"/>
      <c r="M652" s="267"/>
      <c r="N652" s="287" t="s">
        <v>6523</v>
      </c>
    </row>
    <row r="653" ht="15.75" customHeight="1">
      <c r="A653" s="256" t="s">
        <v>5817</v>
      </c>
      <c r="B653" s="257">
        <v>17728.0</v>
      </c>
      <c r="C653" s="258">
        <v>16889.0</v>
      </c>
      <c r="D653" s="259">
        <v>44610.0</v>
      </c>
      <c r="E653" s="260">
        <v>0.3125</v>
      </c>
      <c r="F653" s="261" t="s">
        <v>6766</v>
      </c>
      <c r="G653" s="262" t="s">
        <v>6558</v>
      </c>
      <c r="H653" s="263" t="s">
        <v>6527</v>
      </c>
      <c r="I653" s="264" t="s">
        <v>6464</v>
      </c>
      <c r="J653" s="265"/>
      <c r="K653" s="266" t="s">
        <v>6559</v>
      </c>
      <c r="L653" s="265"/>
      <c r="M653" s="267"/>
      <c r="N653" s="280" t="e">
        <v>#N/A</v>
      </c>
    </row>
    <row r="654" ht="15.75" customHeight="1">
      <c r="A654" s="256" t="s">
        <v>5275</v>
      </c>
      <c r="B654" s="257">
        <v>17190.0</v>
      </c>
      <c r="C654" s="258">
        <v>19879.0</v>
      </c>
      <c r="D654" s="259">
        <v>44610.0</v>
      </c>
      <c r="E654" s="260">
        <v>0.3229166666666667</v>
      </c>
      <c r="F654" s="261" t="s">
        <v>6767</v>
      </c>
      <c r="G654" s="262" t="s">
        <v>6558</v>
      </c>
      <c r="H654" s="263" t="s">
        <v>6529</v>
      </c>
      <c r="I654" s="264" t="s">
        <v>6427</v>
      </c>
      <c r="J654" s="265"/>
      <c r="K654" s="266" t="s">
        <v>6559</v>
      </c>
      <c r="L654" s="265"/>
      <c r="M654" s="267"/>
      <c r="N654" s="280" t="e">
        <v>#N/A</v>
      </c>
    </row>
    <row r="655" ht="15.75" customHeight="1">
      <c r="A655" s="256" t="s">
        <v>1264</v>
      </c>
      <c r="B655" s="257">
        <v>12083.0</v>
      </c>
      <c r="C655" s="258">
        <v>22041.0</v>
      </c>
      <c r="D655" s="259">
        <v>44610.0</v>
      </c>
      <c r="E655" s="260">
        <v>0.34375</v>
      </c>
      <c r="F655" s="261" t="s">
        <v>6766</v>
      </c>
      <c r="G655" s="262" t="s">
        <v>6558</v>
      </c>
      <c r="H655" s="263" t="s">
        <v>6527</v>
      </c>
      <c r="I655" s="264" t="s">
        <v>6489</v>
      </c>
      <c r="J655" s="265"/>
      <c r="K655" s="266" t="s">
        <v>6559</v>
      </c>
      <c r="L655" s="265"/>
      <c r="M655" s="267"/>
      <c r="N655" s="280" t="e">
        <v>#N/A</v>
      </c>
    </row>
    <row r="656" ht="15.75" customHeight="1">
      <c r="A656" s="256" t="s">
        <v>6010</v>
      </c>
      <c r="B656" s="257">
        <v>17280.0</v>
      </c>
      <c r="C656" s="258">
        <v>29439.0</v>
      </c>
      <c r="D656" s="259">
        <v>44610.0</v>
      </c>
      <c r="E656" s="260">
        <v>0.3333333333333333</v>
      </c>
      <c r="F656" s="261" t="s">
        <v>6767</v>
      </c>
      <c r="G656" s="262" t="s">
        <v>6558</v>
      </c>
      <c r="H656" s="263" t="s">
        <v>6521</v>
      </c>
      <c r="I656" s="264" t="s">
        <v>6407</v>
      </c>
      <c r="J656" s="265"/>
      <c r="K656" s="266" t="s">
        <v>6559</v>
      </c>
      <c r="L656" s="265"/>
      <c r="M656" s="267"/>
      <c r="N656" s="280" t="e">
        <v>#N/A</v>
      </c>
    </row>
    <row r="657" ht="15.75" customHeight="1">
      <c r="A657" s="256" t="s">
        <v>479</v>
      </c>
      <c r="B657" s="257">
        <v>10291.0</v>
      </c>
      <c r="C657" s="258">
        <v>20391.0</v>
      </c>
      <c r="D657" s="259">
        <v>44610.0</v>
      </c>
      <c r="E657" s="260">
        <v>0.375</v>
      </c>
      <c r="F657" s="261" t="s">
        <v>6767</v>
      </c>
      <c r="G657" s="262" t="s">
        <v>6562</v>
      </c>
      <c r="H657" s="263" t="s">
        <v>6529</v>
      </c>
      <c r="I657" s="264" t="s">
        <v>6427</v>
      </c>
      <c r="J657" s="265"/>
      <c r="K657" s="266" t="s">
        <v>6559</v>
      </c>
      <c r="L657" s="261" t="s">
        <v>6559</v>
      </c>
      <c r="M657" s="267"/>
      <c r="N657" s="280" t="e">
        <v>#N/A</v>
      </c>
    </row>
    <row r="658" ht="15.75" customHeight="1">
      <c r="A658" s="269" t="s">
        <v>2669</v>
      </c>
      <c r="B658" s="270">
        <v>14010.0</v>
      </c>
      <c r="C658" s="271">
        <v>21325.0</v>
      </c>
      <c r="D658" s="272">
        <v>44610.0</v>
      </c>
      <c r="E658" s="273">
        <v>0.375</v>
      </c>
      <c r="F658" s="274" t="s">
        <v>6766</v>
      </c>
      <c r="G658" s="274" t="s">
        <v>6560</v>
      </c>
      <c r="H658" s="274" t="s">
        <v>6524</v>
      </c>
      <c r="I658" s="274" t="s">
        <v>6483</v>
      </c>
      <c r="J658" s="265"/>
      <c r="K658" s="266" t="s">
        <v>6559</v>
      </c>
      <c r="L658" s="265"/>
      <c r="M658" s="275"/>
      <c r="N658" s="280" t="e">
        <v>#N/A</v>
      </c>
    </row>
    <row r="659" ht="15.75" customHeight="1">
      <c r="A659" s="256" t="s">
        <v>4376</v>
      </c>
      <c r="B659" s="257">
        <v>16048.0</v>
      </c>
      <c r="C659" s="258">
        <v>20964.0</v>
      </c>
      <c r="D659" s="259">
        <v>44610.0</v>
      </c>
      <c r="E659" s="300" t="e">
        <v>#N/A</v>
      </c>
      <c r="F659" s="261" t="s">
        <v>6766</v>
      </c>
      <c r="G659" s="262" t="s">
        <v>6560</v>
      </c>
      <c r="H659" s="316" t="e">
        <v>#N/A</v>
      </c>
      <c r="I659" s="301" t="e">
        <v>#N/A</v>
      </c>
      <c r="J659" s="265"/>
      <c r="K659" s="266" t="s">
        <v>6559</v>
      </c>
      <c r="L659" s="265"/>
      <c r="M659" s="267"/>
      <c r="N659" s="280" t="e">
        <v>#N/A</v>
      </c>
    </row>
    <row r="660" ht="15.75" customHeight="1">
      <c r="A660" s="256" t="s">
        <v>5494</v>
      </c>
      <c r="B660" s="257">
        <v>17469.0</v>
      </c>
      <c r="C660" s="258">
        <v>24017.0</v>
      </c>
      <c r="D660" s="259">
        <v>44610.0</v>
      </c>
      <c r="E660" s="260">
        <v>0.3958333333333333</v>
      </c>
      <c r="F660" s="261" t="s">
        <v>6766</v>
      </c>
      <c r="G660" s="262" t="s">
        <v>6561</v>
      </c>
      <c r="H660" s="263" t="s">
        <v>6527</v>
      </c>
      <c r="I660" s="264" t="s">
        <v>6407</v>
      </c>
      <c r="J660" s="265"/>
      <c r="K660" s="266" t="s">
        <v>6559</v>
      </c>
      <c r="L660" s="265"/>
      <c r="M660" s="267"/>
      <c r="N660" s="280" t="e">
        <v>#N/A</v>
      </c>
    </row>
    <row r="661" ht="15.75" customHeight="1">
      <c r="A661" s="269" t="s">
        <v>819</v>
      </c>
      <c r="B661" s="270">
        <v>11121.0</v>
      </c>
      <c r="C661" s="271">
        <v>24534.0</v>
      </c>
      <c r="D661" s="272">
        <v>44610.0</v>
      </c>
      <c r="E661" s="273">
        <v>0.3958333333333333</v>
      </c>
      <c r="F661" s="274" t="s">
        <v>6766</v>
      </c>
      <c r="G661" s="274" t="s">
        <v>6562</v>
      </c>
      <c r="H661" s="274" t="s">
        <v>6529</v>
      </c>
      <c r="I661" s="274" t="s">
        <v>6482</v>
      </c>
      <c r="J661" s="265"/>
      <c r="K661" s="266" t="s">
        <v>6559</v>
      </c>
      <c r="L661" s="261" t="s">
        <v>6559</v>
      </c>
      <c r="M661" s="275"/>
      <c r="N661" s="280" t="e">
        <v>#N/A</v>
      </c>
    </row>
    <row r="662" ht="15.75" customHeight="1">
      <c r="A662" s="256" t="s">
        <v>3768</v>
      </c>
      <c r="B662" s="257">
        <v>15359.0</v>
      </c>
      <c r="C662" s="258">
        <v>29328.0</v>
      </c>
      <c r="D662" s="259">
        <v>44610.0</v>
      </c>
      <c r="E662" s="260">
        <v>0.3541666666666667</v>
      </c>
      <c r="F662" s="261" t="s">
        <v>6767</v>
      </c>
      <c r="G662" s="262" t="s">
        <v>6558</v>
      </c>
      <c r="H662" s="263" t="s">
        <v>6521</v>
      </c>
      <c r="I662" s="264" t="s">
        <v>6381</v>
      </c>
      <c r="J662" s="265"/>
      <c r="K662" s="266" t="s">
        <v>6559</v>
      </c>
      <c r="L662" s="261" t="s">
        <v>6559</v>
      </c>
      <c r="M662" s="267"/>
      <c r="N662" s="280" t="e">
        <v>#N/A</v>
      </c>
    </row>
    <row r="663" ht="15.75" customHeight="1">
      <c r="A663" s="269" t="s">
        <v>267</v>
      </c>
      <c r="B663" s="270">
        <v>9718.0</v>
      </c>
      <c r="C663" s="271">
        <v>19657.0</v>
      </c>
      <c r="D663" s="272">
        <v>44610.0</v>
      </c>
      <c r="E663" s="273">
        <v>0.3958333333333333</v>
      </c>
      <c r="F663" s="274" t="s">
        <v>6767</v>
      </c>
      <c r="G663" s="274" t="s">
        <v>6562</v>
      </c>
      <c r="H663" s="274" t="s">
        <v>6529</v>
      </c>
      <c r="I663" s="274" t="s">
        <v>6486</v>
      </c>
      <c r="J663" s="265"/>
      <c r="K663" s="266" t="s">
        <v>6559</v>
      </c>
      <c r="L663" s="261" t="s">
        <v>6559</v>
      </c>
      <c r="M663" s="275"/>
      <c r="N663" s="280" t="e">
        <v>#N/A</v>
      </c>
    </row>
    <row r="664" ht="15.75" customHeight="1">
      <c r="A664" s="256" t="s">
        <v>78</v>
      </c>
      <c r="B664" s="257">
        <v>9212.0</v>
      </c>
      <c r="C664" s="258">
        <v>18834.0</v>
      </c>
      <c r="D664" s="259">
        <v>44610.0</v>
      </c>
      <c r="E664" s="260">
        <v>0.3958333333333333</v>
      </c>
      <c r="F664" s="261" t="s">
        <v>6766</v>
      </c>
      <c r="G664" s="262" t="s">
        <v>6561</v>
      </c>
      <c r="H664" s="263" t="s">
        <v>6527</v>
      </c>
      <c r="I664" s="264" t="s">
        <v>6375</v>
      </c>
      <c r="J664" s="265"/>
      <c r="K664" s="266" t="s">
        <v>6559</v>
      </c>
      <c r="L664" s="265"/>
      <c r="M664" s="267"/>
      <c r="N664" s="280" t="s">
        <v>6932</v>
      </c>
    </row>
    <row r="665" ht="15.75" customHeight="1">
      <c r="A665" s="256" t="s">
        <v>3217</v>
      </c>
      <c r="B665" s="257">
        <v>14695.0</v>
      </c>
      <c r="C665" s="258">
        <v>20258.0</v>
      </c>
      <c r="D665" s="259">
        <v>44610.0</v>
      </c>
      <c r="E665" s="300" t="e">
        <v>#N/A</v>
      </c>
      <c r="F665" s="261" t="s">
        <v>6766</v>
      </c>
      <c r="G665" s="262" t="s">
        <v>6560</v>
      </c>
      <c r="H665" s="316" t="e">
        <v>#N/A</v>
      </c>
      <c r="I665" s="301" t="e">
        <v>#N/A</v>
      </c>
      <c r="J665" s="265"/>
      <c r="K665" s="266" t="s">
        <v>6559</v>
      </c>
      <c r="L665" s="261" t="s">
        <v>6559</v>
      </c>
      <c r="M665" s="267"/>
      <c r="N665" s="280" t="e">
        <v>#N/A</v>
      </c>
    </row>
    <row r="666" ht="15.75" customHeight="1">
      <c r="A666" s="256" t="s">
        <v>2644</v>
      </c>
      <c r="B666" s="257">
        <v>13967.0</v>
      </c>
      <c r="C666" s="258">
        <v>16308.0</v>
      </c>
      <c r="D666" s="259">
        <v>44610.0</v>
      </c>
      <c r="E666" s="300" t="e">
        <v>#N/A</v>
      </c>
      <c r="F666" s="261" t="s">
        <v>6766</v>
      </c>
      <c r="G666" s="262" t="s">
        <v>6560</v>
      </c>
      <c r="H666" s="316" t="e">
        <v>#N/A</v>
      </c>
      <c r="I666" s="301" t="e">
        <v>#N/A</v>
      </c>
      <c r="J666" s="265"/>
      <c r="K666" s="266" t="s">
        <v>6559</v>
      </c>
      <c r="L666" s="265"/>
      <c r="M666" s="267"/>
      <c r="N666" s="280" t="e">
        <v>#N/A</v>
      </c>
    </row>
    <row r="667" ht="15.75" customHeight="1">
      <c r="A667" s="256" t="s">
        <v>4124</v>
      </c>
      <c r="B667" s="257">
        <v>15763.0</v>
      </c>
      <c r="C667" s="258">
        <v>23818.0</v>
      </c>
      <c r="D667" s="259">
        <v>44610.0</v>
      </c>
      <c r="E667" s="300" t="e">
        <v>#N/A</v>
      </c>
      <c r="F667" s="261" t="s">
        <v>6767</v>
      </c>
      <c r="G667" s="262" t="s">
        <v>6560</v>
      </c>
      <c r="H667" s="316" t="e">
        <v>#N/A</v>
      </c>
      <c r="I667" s="301" t="e">
        <v>#N/A</v>
      </c>
      <c r="J667" s="265"/>
      <c r="K667" s="266" t="s">
        <v>6559</v>
      </c>
      <c r="L667" s="261" t="s">
        <v>6559</v>
      </c>
      <c r="M667" s="267"/>
      <c r="N667" s="280" t="e">
        <v>#N/A</v>
      </c>
    </row>
    <row r="668" ht="15.75" customHeight="1">
      <c r="A668" s="256" t="s">
        <v>4050</v>
      </c>
      <c r="B668" s="257">
        <v>15684.0</v>
      </c>
      <c r="C668" s="258">
        <v>29785.0</v>
      </c>
      <c r="D668" s="259">
        <v>44610.0</v>
      </c>
      <c r="E668" s="300" t="e">
        <v>#N/A</v>
      </c>
      <c r="F668" s="261" t="s">
        <v>6767</v>
      </c>
      <c r="G668" s="262" t="s">
        <v>6560</v>
      </c>
      <c r="H668" s="316" t="e">
        <v>#N/A</v>
      </c>
      <c r="I668" s="301" t="e">
        <v>#N/A</v>
      </c>
      <c r="J668" s="265"/>
      <c r="K668" s="266" t="s">
        <v>6559</v>
      </c>
      <c r="L668" s="261" t="s">
        <v>6559</v>
      </c>
      <c r="M668" s="267"/>
      <c r="N668" s="280" t="e">
        <v>#N/A</v>
      </c>
    </row>
    <row r="669" ht="15.75" customHeight="1">
      <c r="A669" s="269" t="s">
        <v>718</v>
      </c>
      <c r="B669" s="270">
        <v>10906.0</v>
      </c>
      <c r="C669" s="271">
        <v>30712.0</v>
      </c>
      <c r="D669" s="272">
        <v>44610.0</v>
      </c>
      <c r="E669" s="273">
        <v>0.4270833333333333</v>
      </c>
      <c r="F669" s="274" t="s">
        <v>6767</v>
      </c>
      <c r="G669" s="274" t="s">
        <v>6558</v>
      </c>
      <c r="H669" s="274" t="s">
        <v>6521</v>
      </c>
      <c r="I669" s="274" t="s">
        <v>6486</v>
      </c>
      <c r="J669" s="265"/>
      <c r="K669" s="266" t="s">
        <v>6559</v>
      </c>
      <c r="L669" s="265"/>
      <c r="M669" s="275"/>
      <c r="N669" s="280" t="e">
        <v>#N/A</v>
      </c>
    </row>
    <row r="670" ht="15.75" customHeight="1">
      <c r="A670" s="256" t="s">
        <v>7078</v>
      </c>
      <c r="B670" s="257">
        <v>17312.0</v>
      </c>
      <c r="C670" s="258">
        <v>26135.0</v>
      </c>
      <c r="D670" s="259">
        <v>44610.0</v>
      </c>
      <c r="E670" s="260">
        <v>0.375</v>
      </c>
      <c r="F670" s="261" t="s">
        <v>6767</v>
      </c>
      <c r="G670" s="262" t="s">
        <v>6558</v>
      </c>
      <c r="H670" s="263" t="s">
        <v>6521</v>
      </c>
      <c r="I670" s="264" t="s">
        <v>6416</v>
      </c>
      <c r="J670" s="265"/>
      <c r="K670" s="266" t="s">
        <v>6559</v>
      </c>
      <c r="L670" s="265"/>
      <c r="M670" s="267"/>
      <c r="N670" s="280" t="e">
        <v>#N/A</v>
      </c>
    </row>
    <row r="671" ht="15.75" customHeight="1">
      <c r="A671" s="256" t="s">
        <v>4523</v>
      </c>
      <c r="B671" s="257">
        <v>16223.0</v>
      </c>
      <c r="C671" s="258">
        <v>20569.0</v>
      </c>
      <c r="D671" s="259">
        <v>44610.0</v>
      </c>
      <c r="E671" s="260">
        <v>0.4166666666666667</v>
      </c>
      <c r="F671" s="261" t="s">
        <v>6767</v>
      </c>
      <c r="G671" s="262" t="s">
        <v>6562</v>
      </c>
      <c r="H671" s="263" t="s">
        <v>6527</v>
      </c>
      <c r="I671" s="264" t="s">
        <v>6391</v>
      </c>
      <c r="J671" s="265"/>
      <c r="K671" s="266" t="s">
        <v>6559</v>
      </c>
      <c r="L671" s="265"/>
      <c r="M671" s="267"/>
      <c r="N671" s="280" t="e">
        <v>#N/A</v>
      </c>
    </row>
    <row r="672" ht="15.75" customHeight="1">
      <c r="A672" s="269" t="s">
        <v>2014</v>
      </c>
      <c r="B672" s="270">
        <v>13160.0</v>
      </c>
      <c r="C672" s="271">
        <v>16977.0</v>
      </c>
      <c r="D672" s="272">
        <v>44610.0</v>
      </c>
      <c r="E672" s="273">
        <v>0.4166666666666667</v>
      </c>
      <c r="F672" s="274" t="s">
        <v>6767</v>
      </c>
      <c r="G672" s="274" t="s">
        <v>6561</v>
      </c>
      <c r="H672" s="274" t="s">
        <v>6529</v>
      </c>
      <c r="I672" s="274" t="s">
        <v>6484</v>
      </c>
      <c r="J672" s="265"/>
      <c r="K672" s="266" t="s">
        <v>6559</v>
      </c>
      <c r="L672" s="261" t="s">
        <v>6559</v>
      </c>
      <c r="M672" s="275"/>
      <c r="N672" s="280" t="e">
        <v>#N/A</v>
      </c>
    </row>
    <row r="673" ht="15.75" customHeight="1">
      <c r="A673" s="256" t="s">
        <v>602</v>
      </c>
      <c r="B673" s="257">
        <v>10606.0</v>
      </c>
      <c r="C673" s="258">
        <v>22291.0</v>
      </c>
      <c r="D673" s="259">
        <v>44610.0</v>
      </c>
      <c r="E673" s="260">
        <v>0.4166666666666667</v>
      </c>
      <c r="F673" s="261" t="s">
        <v>6766</v>
      </c>
      <c r="G673" s="262" t="s">
        <v>6558</v>
      </c>
      <c r="H673" s="263" t="s">
        <v>6521</v>
      </c>
      <c r="I673" s="264" t="s">
        <v>6427</v>
      </c>
      <c r="J673" s="265"/>
      <c r="K673" s="266" t="s">
        <v>6559</v>
      </c>
      <c r="L673" s="265"/>
      <c r="M673" s="267"/>
      <c r="N673" s="280" t="e">
        <v>#N/A</v>
      </c>
    </row>
    <row r="674" ht="15.75" customHeight="1">
      <c r="A674" s="256" t="s">
        <v>1481</v>
      </c>
      <c r="B674" s="257">
        <v>12473.0</v>
      </c>
      <c r="C674" s="258">
        <v>23807.0</v>
      </c>
      <c r="D674" s="259">
        <v>44610.0</v>
      </c>
      <c r="E674" s="300" t="e">
        <v>#N/A</v>
      </c>
      <c r="F674" s="261" t="s">
        <v>6766</v>
      </c>
      <c r="G674" s="262" t="s">
        <v>6560</v>
      </c>
      <c r="H674" s="316" t="e">
        <v>#N/A</v>
      </c>
      <c r="I674" s="301" t="e">
        <v>#N/A</v>
      </c>
      <c r="J674" s="265"/>
      <c r="K674" s="266" t="s">
        <v>6559</v>
      </c>
      <c r="L674" s="265"/>
      <c r="M674" s="267"/>
      <c r="N674" s="280" t="e">
        <v>#N/A</v>
      </c>
    </row>
    <row r="675" ht="15.75" customHeight="1">
      <c r="A675" s="292" t="s">
        <v>4339</v>
      </c>
      <c r="B675" s="293">
        <v>16003.0</v>
      </c>
      <c r="C675" s="294">
        <v>25541.0</v>
      </c>
      <c r="D675" s="295">
        <v>44610.0</v>
      </c>
      <c r="E675" s="296">
        <v>0.40625</v>
      </c>
      <c r="F675" s="297" t="s">
        <v>6767</v>
      </c>
      <c r="G675" s="297" t="s">
        <v>6558</v>
      </c>
      <c r="H675" s="297" t="s">
        <v>6521</v>
      </c>
      <c r="I675" s="297" t="s">
        <v>6432</v>
      </c>
      <c r="J675" s="265"/>
      <c r="K675" s="266" t="s">
        <v>6559</v>
      </c>
      <c r="L675" s="265"/>
      <c r="M675" s="298"/>
      <c r="N675" s="280" t="e">
        <v>#N/A</v>
      </c>
    </row>
    <row r="676" ht="15.75" customHeight="1">
      <c r="A676" s="292" t="s">
        <v>3578</v>
      </c>
      <c r="B676" s="293">
        <v>15126.0</v>
      </c>
      <c r="C676" s="294">
        <v>23561.0</v>
      </c>
      <c r="D676" s="295">
        <v>44610.0</v>
      </c>
      <c r="E676" s="303" t="e">
        <v>#N/A</v>
      </c>
      <c r="F676" s="297" t="s">
        <v>6766</v>
      </c>
      <c r="G676" s="297" t="s">
        <v>6560</v>
      </c>
      <c r="H676" s="326" t="e">
        <v>#N/A</v>
      </c>
      <c r="I676" s="297" t="s">
        <v>6432</v>
      </c>
      <c r="J676" s="265"/>
      <c r="K676" s="266" t="s">
        <v>6559</v>
      </c>
      <c r="L676" s="261" t="s">
        <v>6559</v>
      </c>
      <c r="M676" s="298"/>
      <c r="N676" s="280" t="e">
        <v>#N/A</v>
      </c>
    </row>
    <row r="677" ht="15.75" customHeight="1">
      <c r="A677" s="292" t="s">
        <v>5279</v>
      </c>
      <c r="B677" s="293">
        <v>17195.0</v>
      </c>
      <c r="C677" s="294">
        <v>23337.0</v>
      </c>
      <c r="D677" s="295">
        <v>44610.0</v>
      </c>
      <c r="E677" s="296">
        <v>0.4270833333333333</v>
      </c>
      <c r="F677" s="297" t="s">
        <v>6766</v>
      </c>
      <c r="G677" s="297" t="s">
        <v>6562</v>
      </c>
      <c r="H677" s="297" t="s">
        <v>6527</v>
      </c>
      <c r="I677" s="297" t="s">
        <v>6432</v>
      </c>
      <c r="J677" s="265"/>
      <c r="K677" s="266" t="s">
        <v>6559</v>
      </c>
      <c r="L677" s="261" t="s">
        <v>6559</v>
      </c>
      <c r="M677" s="298"/>
      <c r="N677" s="280" t="e">
        <v>#N/A</v>
      </c>
    </row>
    <row r="678" ht="15.75" customHeight="1">
      <c r="A678" s="256" t="s">
        <v>4334</v>
      </c>
      <c r="B678" s="257">
        <v>15998.0</v>
      </c>
      <c r="C678" s="258">
        <v>19064.0</v>
      </c>
      <c r="D678" s="259">
        <v>44610.0</v>
      </c>
      <c r="E678" s="260">
        <v>0.4375</v>
      </c>
      <c r="F678" s="261" t="s">
        <v>6767</v>
      </c>
      <c r="G678" s="262" t="s">
        <v>6561</v>
      </c>
      <c r="H678" s="263" t="s">
        <v>6529</v>
      </c>
      <c r="I678" s="264" t="s">
        <v>6427</v>
      </c>
      <c r="J678" s="265"/>
      <c r="K678" s="266" t="s">
        <v>6559</v>
      </c>
      <c r="L678" s="261" t="s">
        <v>6559</v>
      </c>
      <c r="M678" s="267"/>
      <c r="N678" s="280" t="e">
        <v>#N/A</v>
      </c>
    </row>
    <row r="679" ht="15.75" customHeight="1">
      <c r="A679" s="269" t="s">
        <v>1410</v>
      </c>
      <c r="B679" s="270">
        <v>12360.0</v>
      </c>
      <c r="C679" s="271">
        <v>27366.0</v>
      </c>
      <c r="D679" s="272">
        <v>44610.0</v>
      </c>
      <c r="E679" s="273">
        <v>0.4583333333333333</v>
      </c>
      <c r="F679" s="274" t="s">
        <v>6767</v>
      </c>
      <c r="G679" s="274" t="s">
        <v>6558</v>
      </c>
      <c r="H679" s="274" t="s">
        <v>6521</v>
      </c>
      <c r="I679" s="274" t="s">
        <v>6482</v>
      </c>
      <c r="J679" s="265"/>
      <c r="K679" s="266" t="s">
        <v>6559</v>
      </c>
      <c r="L679" s="265"/>
      <c r="M679" s="275"/>
      <c r="N679" s="280" t="e">
        <v>#N/A</v>
      </c>
    </row>
    <row r="680" ht="15.75" customHeight="1">
      <c r="A680" s="256" t="s">
        <v>2223</v>
      </c>
      <c r="B680" s="257">
        <v>13436.0</v>
      </c>
      <c r="C680" s="258">
        <v>12775.0</v>
      </c>
      <c r="D680" s="259">
        <v>44610.0</v>
      </c>
      <c r="E680" s="260">
        <v>0.46875</v>
      </c>
      <c r="F680" s="261" t="s">
        <v>6766</v>
      </c>
      <c r="G680" s="262" t="s">
        <v>6562</v>
      </c>
      <c r="H680" s="263" t="s">
        <v>6529</v>
      </c>
      <c r="I680" s="264" t="s">
        <v>6427</v>
      </c>
      <c r="J680" s="265"/>
      <c r="K680" s="266" t="s">
        <v>6559</v>
      </c>
      <c r="L680" s="265"/>
      <c r="M680" s="267"/>
      <c r="N680" s="280" t="e">
        <v>#N/A</v>
      </c>
    </row>
    <row r="681" ht="15.75" customHeight="1">
      <c r="A681" s="256" t="s">
        <v>5240</v>
      </c>
      <c r="B681" s="257">
        <v>17146.0</v>
      </c>
      <c r="C681" s="258">
        <v>20905.0</v>
      </c>
      <c r="D681" s="259">
        <v>44610.0</v>
      </c>
      <c r="E681" s="260">
        <v>0.46875</v>
      </c>
      <c r="F681" s="261" t="s">
        <v>6766</v>
      </c>
      <c r="G681" s="262" t="s">
        <v>6562</v>
      </c>
      <c r="H681" s="263" t="s">
        <v>6527</v>
      </c>
      <c r="I681" s="264" t="s">
        <v>6460</v>
      </c>
      <c r="J681" s="265"/>
      <c r="K681" s="266" t="s">
        <v>6559</v>
      </c>
      <c r="L681" s="265"/>
      <c r="M681" s="267"/>
      <c r="N681" s="280" t="e">
        <v>#N/A</v>
      </c>
    </row>
    <row r="682" ht="15.75" customHeight="1">
      <c r="A682" s="256" t="s">
        <v>5333</v>
      </c>
      <c r="B682" s="257">
        <v>17259.0</v>
      </c>
      <c r="C682" s="258">
        <v>30466.0</v>
      </c>
      <c r="D682" s="259">
        <v>44610.0</v>
      </c>
      <c r="E682" s="260">
        <v>0.46875</v>
      </c>
      <c r="F682" s="261" t="s">
        <v>6766</v>
      </c>
      <c r="G682" s="262" t="s">
        <v>6558</v>
      </c>
      <c r="H682" s="263" t="s">
        <v>6521</v>
      </c>
      <c r="I682" s="264" t="s">
        <v>6489</v>
      </c>
      <c r="J682" s="265"/>
      <c r="K682" s="266" t="s">
        <v>6559</v>
      </c>
      <c r="L682" s="261" t="s">
        <v>6559</v>
      </c>
      <c r="M682" s="267"/>
      <c r="N682" s="280" t="e">
        <v>#N/A</v>
      </c>
    </row>
    <row r="683" ht="15.75" customHeight="1">
      <c r="A683" s="256" t="s">
        <v>4262</v>
      </c>
      <c r="B683" s="257">
        <v>15914.0</v>
      </c>
      <c r="C683" s="258">
        <v>21149.0</v>
      </c>
      <c r="D683" s="259">
        <v>44610.0</v>
      </c>
      <c r="E683" s="300" t="e">
        <v>#N/A</v>
      </c>
      <c r="F683" s="261" t="s">
        <v>6767</v>
      </c>
      <c r="G683" s="262" t="s">
        <v>6560</v>
      </c>
      <c r="H683" s="316" t="e">
        <v>#N/A</v>
      </c>
      <c r="I683" s="301" t="e">
        <v>#N/A</v>
      </c>
      <c r="J683" s="265"/>
      <c r="K683" s="266" t="s">
        <v>6559</v>
      </c>
      <c r="L683" s="261" t="s">
        <v>6559</v>
      </c>
      <c r="M683" s="267"/>
      <c r="N683" s="280" t="e">
        <v>#N/A</v>
      </c>
    </row>
    <row r="684" ht="15.75" customHeight="1">
      <c r="A684" s="269" t="s">
        <v>1118</v>
      </c>
      <c r="B684" s="270">
        <v>11798.0</v>
      </c>
      <c r="C684" s="271">
        <v>16818.0</v>
      </c>
      <c r="D684" s="272">
        <v>44610.0</v>
      </c>
      <c r="E684" s="327" t="e">
        <v>#N/A</v>
      </c>
      <c r="F684" s="274" t="s">
        <v>6766</v>
      </c>
      <c r="G684" s="274" t="s">
        <v>6560</v>
      </c>
      <c r="H684" s="328" t="e">
        <v>#N/A</v>
      </c>
      <c r="I684" s="274" t="s">
        <v>6486</v>
      </c>
      <c r="J684" s="265"/>
      <c r="K684" s="266" t="s">
        <v>6559</v>
      </c>
      <c r="L684" s="265"/>
      <c r="M684" s="275"/>
      <c r="N684" s="280" t="e">
        <v>#N/A</v>
      </c>
    </row>
    <row r="685" ht="15.75" customHeight="1">
      <c r="A685" s="256" t="s">
        <v>356</v>
      </c>
      <c r="B685" s="257">
        <v>9976.0</v>
      </c>
      <c r="C685" s="258">
        <v>19321.0</v>
      </c>
      <c r="D685" s="259">
        <v>44610.0</v>
      </c>
      <c r="E685" s="260">
        <v>0.4791666666666667</v>
      </c>
      <c r="F685" s="261" t="s">
        <v>6767</v>
      </c>
      <c r="G685" s="262" t="s">
        <v>6562</v>
      </c>
      <c r="H685" s="263" t="s">
        <v>6529</v>
      </c>
      <c r="I685" s="264" t="s">
        <v>6427</v>
      </c>
      <c r="J685" s="265"/>
      <c r="K685" s="266" t="s">
        <v>6559</v>
      </c>
      <c r="L685" s="265"/>
      <c r="M685" s="267"/>
      <c r="N685" s="280" t="e">
        <v>#N/A</v>
      </c>
    </row>
    <row r="686" ht="15.75" customHeight="1">
      <c r="A686" s="256" t="s">
        <v>5097</v>
      </c>
      <c r="B686" s="257">
        <v>16968.0</v>
      </c>
      <c r="C686" s="258">
        <v>17193.0</v>
      </c>
      <c r="D686" s="259">
        <v>44610.0</v>
      </c>
      <c r="E686" s="260">
        <v>0.4791666666666667</v>
      </c>
      <c r="F686" s="261" t="s">
        <v>6766</v>
      </c>
      <c r="G686" s="262" t="s">
        <v>6561</v>
      </c>
      <c r="H686" s="263" t="s">
        <v>6527</v>
      </c>
      <c r="I686" s="264" t="s">
        <v>6477</v>
      </c>
      <c r="J686" s="265"/>
      <c r="K686" s="266" t="s">
        <v>6559</v>
      </c>
      <c r="L686" s="265"/>
      <c r="M686" s="267"/>
      <c r="N686" s="280" t="e">
        <v>#N/A</v>
      </c>
    </row>
    <row r="687" ht="15.75" customHeight="1">
      <c r="A687" s="256" t="s">
        <v>3552</v>
      </c>
      <c r="B687" s="257">
        <v>15097.0</v>
      </c>
      <c r="C687" s="258">
        <v>35193.0</v>
      </c>
      <c r="D687" s="259">
        <v>44610.0</v>
      </c>
      <c r="E687" s="260">
        <v>0.4791666666666667</v>
      </c>
      <c r="F687" s="261" t="s">
        <v>6766</v>
      </c>
      <c r="G687" s="262" t="s">
        <v>6561</v>
      </c>
      <c r="H687" s="263" t="s">
        <v>6527</v>
      </c>
      <c r="I687" s="264" t="s">
        <v>6489</v>
      </c>
      <c r="J687" s="265"/>
      <c r="K687" s="266" t="s">
        <v>6559</v>
      </c>
      <c r="L687" s="265"/>
      <c r="M687" s="267"/>
      <c r="N687" s="280" t="e">
        <v>#N/A</v>
      </c>
    </row>
    <row r="688" ht="15.75" customHeight="1">
      <c r="A688" s="269" t="s">
        <v>1323</v>
      </c>
      <c r="B688" s="270">
        <v>12212.0</v>
      </c>
      <c r="C688" s="271">
        <v>19493.0</v>
      </c>
      <c r="D688" s="272">
        <v>44610.0</v>
      </c>
      <c r="E688" s="273">
        <v>0.4791666666666667</v>
      </c>
      <c r="F688" s="274" t="s">
        <v>6767</v>
      </c>
      <c r="G688" s="274" t="s">
        <v>6558</v>
      </c>
      <c r="H688" s="274" t="s">
        <v>6521</v>
      </c>
      <c r="I688" s="274" t="s">
        <v>6482</v>
      </c>
      <c r="J688" s="265"/>
      <c r="K688" s="266" t="s">
        <v>6559</v>
      </c>
      <c r="L688" s="265"/>
      <c r="M688" s="275"/>
      <c r="N688" s="280" t="e">
        <v>#N/A</v>
      </c>
    </row>
    <row r="689" ht="15.75" customHeight="1">
      <c r="A689" s="269" t="s">
        <v>2491</v>
      </c>
      <c r="B689" s="270">
        <v>13768.0</v>
      </c>
      <c r="C689" s="271">
        <v>14281.0</v>
      </c>
      <c r="D689" s="272">
        <v>44610.0</v>
      </c>
      <c r="E689" s="273">
        <v>0.4791666666666667</v>
      </c>
      <c r="F689" s="274" t="s">
        <v>6766</v>
      </c>
      <c r="G689" s="274" t="s">
        <v>6562</v>
      </c>
      <c r="H689" s="274" t="s">
        <v>6529</v>
      </c>
      <c r="I689" s="274" t="s">
        <v>6486</v>
      </c>
      <c r="J689" s="265"/>
      <c r="K689" s="266" t="s">
        <v>6559</v>
      </c>
      <c r="L689" s="265"/>
      <c r="M689" s="275"/>
      <c r="N689" s="280" t="e">
        <v>#N/A</v>
      </c>
    </row>
    <row r="690" ht="15.75" customHeight="1">
      <c r="A690" s="269" t="s">
        <v>1502</v>
      </c>
      <c r="B690" s="270">
        <v>12508.0</v>
      </c>
      <c r="C690" s="271">
        <v>18129.0</v>
      </c>
      <c r="D690" s="272">
        <v>44610.0</v>
      </c>
      <c r="E690" s="273">
        <v>0.4791666666666667</v>
      </c>
      <c r="F690" s="274" t="s">
        <v>6766</v>
      </c>
      <c r="G690" s="274" t="s">
        <v>6562</v>
      </c>
      <c r="H690" s="274" t="s">
        <v>6529</v>
      </c>
      <c r="I690" s="274" t="s">
        <v>6482</v>
      </c>
      <c r="J690" s="265"/>
      <c r="K690" s="266" t="s">
        <v>6559</v>
      </c>
      <c r="L690" s="265"/>
      <c r="M690" s="275"/>
      <c r="N690" s="280" t="e">
        <v>#N/A</v>
      </c>
    </row>
    <row r="691" ht="15.75" customHeight="1">
      <c r="A691" s="256" t="s">
        <v>5256</v>
      </c>
      <c r="B691" s="257">
        <v>17168.0</v>
      </c>
      <c r="C691" s="258">
        <v>27344.0</v>
      </c>
      <c r="D691" s="259">
        <v>44610.0</v>
      </c>
      <c r="E691" s="260">
        <v>0.4895833333333333</v>
      </c>
      <c r="F691" s="261" t="s">
        <v>6767</v>
      </c>
      <c r="G691" s="262" t="s">
        <v>6562</v>
      </c>
      <c r="H691" s="263" t="s">
        <v>6527</v>
      </c>
      <c r="I691" s="264" t="s">
        <v>6452</v>
      </c>
      <c r="J691" s="265"/>
      <c r="K691" s="266" t="s">
        <v>6559</v>
      </c>
      <c r="L691" s="261" t="s">
        <v>6559</v>
      </c>
      <c r="M691" s="267"/>
      <c r="N691" s="280" t="e">
        <v>#N/A</v>
      </c>
    </row>
    <row r="692" ht="15.75" customHeight="1">
      <c r="A692" s="308" t="s">
        <v>288</v>
      </c>
      <c r="B692" s="309">
        <v>9793.0</v>
      </c>
      <c r="C692" s="310">
        <v>9749.0</v>
      </c>
      <c r="D692" s="311">
        <v>44610.0</v>
      </c>
      <c r="E692" s="312">
        <v>0.4895833333333333</v>
      </c>
      <c r="F692" s="313" t="s">
        <v>6767</v>
      </c>
      <c r="G692" s="313" t="s">
        <v>6558</v>
      </c>
      <c r="H692" s="313" t="s">
        <v>6521</v>
      </c>
      <c r="I692" s="313" t="s">
        <v>6427</v>
      </c>
      <c r="J692" s="265"/>
      <c r="K692" s="266" t="s">
        <v>6559</v>
      </c>
      <c r="L692" s="265"/>
      <c r="M692" s="315" t="s">
        <v>7070</v>
      </c>
      <c r="N692" s="288" t="s">
        <v>7050</v>
      </c>
    </row>
    <row r="693" ht="15.75" customHeight="1">
      <c r="A693" s="269" t="s">
        <v>313</v>
      </c>
      <c r="B693" s="270">
        <v>9846.0</v>
      </c>
      <c r="C693" s="271">
        <v>25384.0</v>
      </c>
      <c r="D693" s="272">
        <v>44610.0</v>
      </c>
      <c r="E693" s="273">
        <v>0.53125</v>
      </c>
      <c r="F693" s="274" t="s">
        <v>6766</v>
      </c>
      <c r="G693" s="274" t="s">
        <v>6558</v>
      </c>
      <c r="H693" s="274" t="s">
        <v>6524</v>
      </c>
      <c r="I693" s="274" t="s">
        <v>6479</v>
      </c>
      <c r="J693" s="265"/>
      <c r="K693" s="266" t="s">
        <v>6559</v>
      </c>
      <c r="L693" s="261" t="s">
        <v>6559</v>
      </c>
      <c r="M693" s="275"/>
      <c r="N693" s="280" t="e">
        <v>#N/A</v>
      </c>
    </row>
    <row r="694" ht="15.75" customHeight="1">
      <c r="A694" s="269" t="s">
        <v>678</v>
      </c>
      <c r="B694" s="270">
        <v>10772.0</v>
      </c>
      <c r="C694" s="271">
        <v>20763.0</v>
      </c>
      <c r="D694" s="272">
        <v>44610.0</v>
      </c>
      <c r="E694" s="273">
        <v>0.53125</v>
      </c>
      <c r="F694" s="274" t="s">
        <v>6766</v>
      </c>
      <c r="G694" s="274" t="s">
        <v>6558</v>
      </c>
      <c r="H694" s="274" t="s">
        <v>6524</v>
      </c>
      <c r="I694" s="274" t="s">
        <v>6486</v>
      </c>
      <c r="J694" s="265"/>
      <c r="K694" s="266" t="s">
        <v>6559</v>
      </c>
      <c r="L694" s="265"/>
      <c r="M694" s="275"/>
      <c r="N694" s="280" t="e">
        <v>#N/A</v>
      </c>
    </row>
    <row r="695" ht="15.75" customHeight="1">
      <c r="A695" s="269" t="s">
        <v>4024</v>
      </c>
      <c r="B695" s="270">
        <v>15655.0</v>
      </c>
      <c r="C695" s="271">
        <v>18038.0</v>
      </c>
      <c r="D695" s="272">
        <v>44610.0</v>
      </c>
      <c r="E695" s="273">
        <v>0.5416666666666666</v>
      </c>
      <c r="F695" s="274" t="s">
        <v>6767</v>
      </c>
      <c r="G695" s="274" t="s">
        <v>6558</v>
      </c>
      <c r="H695" s="274" t="s">
        <v>6521</v>
      </c>
      <c r="I695" s="274" t="s">
        <v>6482</v>
      </c>
      <c r="J695" s="265"/>
      <c r="K695" s="266" t="s">
        <v>6559</v>
      </c>
      <c r="L695" s="261" t="s">
        <v>6559</v>
      </c>
      <c r="M695" s="275"/>
      <c r="N695" s="280" t="e">
        <v>#N/A</v>
      </c>
    </row>
    <row r="696" ht="15.75" customHeight="1">
      <c r="A696" s="256" t="s">
        <v>199</v>
      </c>
      <c r="B696" s="257">
        <v>9534.0</v>
      </c>
      <c r="C696" s="258">
        <v>29839.0</v>
      </c>
      <c r="D696" s="259">
        <v>44610.0</v>
      </c>
      <c r="E696" s="260">
        <v>0.5520833333333334</v>
      </c>
      <c r="F696" s="261" t="s">
        <v>6766</v>
      </c>
      <c r="G696" s="262" t="s">
        <v>6558</v>
      </c>
      <c r="H696" s="263" t="s">
        <v>6521</v>
      </c>
      <c r="I696" s="264" t="s">
        <v>6489</v>
      </c>
      <c r="J696" s="265"/>
      <c r="K696" s="266" t="s">
        <v>6559</v>
      </c>
      <c r="L696" s="261" t="s">
        <v>6559</v>
      </c>
      <c r="M696" s="267"/>
      <c r="N696" s="280" t="e">
        <v>#N/A</v>
      </c>
    </row>
    <row r="697" ht="15.75" customHeight="1">
      <c r="A697" s="256" t="s">
        <v>46</v>
      </c>
      <c r="B697" s="257">
        <v>9163.0</v>
      </c>
      <c r="C697" s="258">
        <v>17275.0</v>
      </c>
      <c r="D697" s="259">
        <v>44610.0</v>
      </c>
      <c r="E697" s="260">
        <v>0.5520833333333334</v>
      </c>
      <c r="F697" s="261" t="s">
        <v>6766</v>
      </c>
      <c r="G697" s="262" t="s">
        <v>6562</v>
      </c>
      <c r="H697" s="263" t="s">
        <v>6529</v>
      </c>
      <c r="I697" s="264" t="s">
        <v>6427</v>
      </c>
      <c r="J697" s="265"/>
      <c r="K697" s="266" t="s">
        <v>6559</v>
      </c>
      <c r="L697" s="265"/>
      <c r="M697" s="267"/>
      <c r="N697" s="280" t="e">
        <v>#N/A</v>
      </c>
    </row>
    <row r="698" ht="15.75" customHeight="1">
      <c r="A698" s="256" t="s">
        <v>4602</v>
      </c>
      <c r="B698" s="257">
        <v>16329.0</v>
      </c>
      <c r="C698" s="258">
        <v>23619.0</v>
      </c>
      <c r="D698" s="259">
        <v>44610.0</v>
      </c>
      <c r="E698" s="300" t="e">
        <v>#N/A</v>
      </c>
      <c r="F698" s="261" t="s">
        <v>6766</v>
      </c>
      <c r="G698" s="262" t="s">
        <v>6560</v>
      </c>
      <c r="H698" s="316" t="e">
        <v>#N/A</v>
      </c>
      <c r="I698" s="301" t="e">
        <v>#N/A</v>
      </c>
      <c r="J698" s="265"/>
      <c r="K698" s="266" t="s">
        <v>6559</v>
      </c>
      <c r="L698" s="261" t="s">
        <v>6559</v>
      </c>
      <c r="M698" s="267"/>
      <c r="N698" s="280" t="e">
        <v>#N/A</v>
      </c>
    </row>
    <row r="699" ht="15.75" customHeight="1">
      <c r="A699" s="256" t="s">
        <v>4171</v>
      </c>
      <c r="B699" s="257">
        <v>15817.0</v>
      </c>
      <c r="C699" s="258">
        <v>31161.0</v>
      </c>
      <c r="D699" s="259">
        <v>44610.0</v>
      </c>
      <c r="E699" s="300" t="e">
        <v>#N/A</v>
      </c>
      <c r="F699" s="261" t="s">
        <v>6767</v>
      </c>
      <c r="G699" s="262" t="s">
        <v>6560</v>
      </c>
      <c r="H699" s="316" t="e">
        <v>#N/A</v>
      </c>
      <c r="I699" s="301" t="e">
        <v>#N/A</v>
      </c>
      <c r="J699" s="265"/>
      <c r="K699" s="266" t="s">
        <v>6559</v>
      </c>
      <c r="L699" s="261" t="s">
        <v>6559</v>
      </c>
      <c r="M699" s="267"/>
      <c r="N699" s="280" t="e">
        <v>#N/A</v>
      </c>
    </row>
    <row r="700" ht="15.75" customHeight="1">
      <c r="A700" s="256" t="s">
        <v>6148</v>
      </c>
      <c r="B700" s="257">
        <v>17861.0</v>
      </c>
      <c r="C700" s="258">
        <v>21685.0</v>
      </c>
      <c r="D700" s="259">
        <v>44610.0</v>
      </c>
      <c r="E700" s="260">
        <v>0.5625</v>
      </c>
      <c r="F700" s="261" t="s">
        <v>6767</v>
      </c>
      <c r="G700" s="262" t="s">
        <v>6562</v>
      </c>
      <c r="H700" s="263" t="s">
        <v>6527</v>
      </c>
      <c r="I700" s="264" t="s">
        <v>6420</v>
      </c>
      <c r="J700" s="265"/>
      <c r="K700" s="266" t="s">
        <v>6559</v>
      </c>
      <c r="L700" s="261" t="s">
        <v>6559</v>
      </c>
      <c r="M700" s="267"/>
      <c r="N700" s="280" t="e">
        <v>#N/A</v>
      </c>
    </row>
    <row r="701" ht="15.75" customHeight="1">
      <c r="A701" s="256" t="s">
        <v>3717</v>
      </c>
      <c r="B701" s="257">
        <v>15298.0</v>
      </c>
      <c r="C701" s="258">
        <v>28361.0</v>
      </c>
      <c r="D701" s="259">
        <v>44610.0</v>
      </c>
      <c r="E701" s="300" t="e">
        <v>#N/A</v>
      </c>
      <c r="F701" s="261" t="s">
        <v>6767</v>
      </c>
      <c r="G701" s="262" t="s">
        <v>6560</v>
      </c>
      <c r="H701" s="316" t="e">
        <v>#N/A</v>
      </c>
      <c r="I701" s="301" t="e">
        <v>#N/A</v>
      </c>
      <c r="J701" s="265"/>
      <c r="K701" s="266" t="s">
        <v>6559</v>
      </c>
      <c r="L701" s="261" t="s">
        <v>6559</v>
      </c>
      <c r="M701" s="267"/>
      <c r="N701" s="280" t="e">
        <v>#N/A</v>
      </c>
    </row>
    <row r="702" ht="15.75" customHeight="1">
      <c r="A702" s="256" t="s">
        <v>497</v>
      </c>
      <c r="B702" s="257">
        <v>10330.0</v>
      </c>
      <c r="C702" s="258">
        <v>23562.0</v>
      </c>
      <c r="D702" s="259">
        <v>44610.0</v>
      </c>
      <c r="E702" s="260">
        <v>0.5729166666666666</v>
      </c>
      <c r="F702" s="261" t="s">
        <v>6767</v>
      </c>
      <c r="G702" s="262" t="s">
        <v>6562</v>
      </c>
      <c r="H702" s="263" t="s">
        <v>6527</v>
      </c>
      <c r="I702" s="264" t="s">
        <v>6407</v>
      </c>
      <c r="J702" s="265"/>
      <c r="K702" s="266" t="s">
        <v>6559</v>
      </c>
      <c r="L702" s="261" t="s">
        <v>6559</v>
      </c>
      <c r="M702" s="267"/>
      <c r="N702" s="280" t="e">
        <v>#N/A</v>
      </c>
    </row>
    <row r="703" ht="15.75" customHeight="1">
      <c r="A703" s="256" t="s">
        <v>1682</v>
      </c>
      <c r="B703" s="257">
        <v>12758.0</v>
      </c>
      <c r="C703" s="258">
        <v>32853.0</v>
      </c>
      <c r="D703" s="259">
        <v>44610.0</v>
      </c>
      <c r="E703" s="300" t="e">
        <v>#N/A</v>
      </c>
      <c r="F703" s="261" t="s">
        <v>6766</v>
      </c>
      <c r="G703" s="262" t="s">
        <v>6560</v>
      </c>
      <c r="H703" s="316" t="e">
        <v>#N/A</v>
      </c>
      <c r="I703" s="301" t="e">
        <v>#N/A</v>
      </c>
      <c r="J703" s="265"/>
      <c r="K703" s="266" t="s">
        <v>6559</v>
      </c>
      <c r="L703" s="265"/>
      <c r="M703" s="267"/>
      <c r="N703" s="280" t="e">
        <v>#N/A</v>
      </c>
    </row>
    <row r="704" ht="15.75" customHeight="1">
      <c r="A704" s="292" t="s">
        <v>5147</v>
      </c>
      <c r="B704" s="293">
        <v>17032.0</v>
      </c>
      <c r="C704" s="294">
        <v>26641.0</v>
      </c>
      <c r="D704" s="295">
        <v>44610.0</v>
      </c>
      <c r="E704" s="296">
        <v>0.5833333333333334</v>
      </c>
      <c r="F704" s="297" t="s">
        <v>6767</v>
      </c>
      <c r="G704" s="297" t="s">
        <v>6562</v>
      </c>
      <c r="H704" s="297" t="s">
        <v>6527</v>
      </c>
      <c r="I704" s="297" t="s">
        <v>6432</v>
      </c>
      <c r="J704" s="265"/>
      <c r="K704" s="266" t="s">
        <v>6559</v>
      </c>
      <c r="L704" s="265"/>
      <c r="M704" s="298"/>
      <c r="N704" s="280" t="e">
        <v>#N/A</v>
      </c>
    </row>
    <row r="705" ht="15.75" customHeight="1">
      <c r="A705" s="256" t="s">
        <v>2970</v>
      </c>
      <c r="B705" s="257">
        <v>14388.0</v>
      </c>
      <c r="C705" s="258">
        <v>20264.0</v>
      </c>
      <c r="D705" s="259">
        <v>44610.0</v>
      </c>
      <c r="E705" s="300" t="e">
        <v>#N/A</v>
      </c>
      <c r="F705" s="261" t="s">
        <v>6766</v>
      </c>
      <c r="G705" s="262" t="s">
        <v>6560</v>
      </c>
      <c r="H705" s="316" t="e">
        <v>#N/A</v>
      </c>
      <c r="I705" s="301" t="e">
        <v>#N/A</v>
      </c>
      <c r="J705" s="265"/>
      <c r="K705" s="266" t="s">
        <v>6559</v>
      </c>
      <c r="L705" s="265"/>
      <c r="M705" s="267"/>
      <c r="N705" s="280" t="e">
        <v>#N/A</v>
      </c>
    </row>
    <row r="706" ht="15.75" customHeight="1">
      <c r="A706" s="256" t="s">
        <v>41</v>
      </c>
      <c r="B706" s="257">
        <v>9153.0</v>
      </c>
      <c r="C706" s="258">
        <v>24623.0</v>
      </c>
      <c r="D706" s="259">
        <v>44610.0</v>
      </c>
      <c r="E706" s="300" t="e">
        <v>#N/A</v>
      </c>
      <c r="F706" s="261" t="s">
        <v>6767</v>
      </c>
      <c r="G706" s="262" t="s">
        <v>6560</v>
      </c>
      <c r="H706" s="316" t="e">
        <v>#N/A</v>
      </c>
      <c r="I706" s="301" t="e">
        <v>#N/A</v>
      </c>
      <c r="J706" s="265"/>
      <c r="K706" s="266" t="s">
        <v>6559</v>
      </c>
      <c r="L706" s="261" t="s">
        <v>6559</v>
      </c>
      <c r="M706" s="267"/>
      <c r="N706" s="280" t="e">
        <v>#N/A</v>
      </c>
    </row>
    <row r="707" ht="15.75" customHeight="1">
      <c r="A707" s="269" t="s">
        <v>2118</v>
      </c>
      <c r="B707" s="270">
        <v>16220.0</v>
      </c>
      <c r="C707" s="271">
        <v>15500.0</v>
      </c>
      <c r="D707" s="272">
        <v>44610.0</v>
      </c>
      <c r="E707" s="273">
        <v>0.59375</v>
      </c>
      <c r="F707" s="274" t="s">
        <v>6767</v>
      </c>
      <c r="G707" s="274" t="s">
        <v>6562</v>
      </c>
      <c r="H707" s="274" t="s">
        <v>6529</v>
      </c>
      <c r="I707" s="274" t="s">
        <v>6485</v>
      </c>
      <c r="J707" s="265"/>
      <c r="K707" s="266" t="s">
        <v>6559</v>
      </c>
      <c r="L707" s="265"/>
      <c r="M707" s="275"/>
      <c r="N707" s="280" t="e">
        <v>#N/A</v>
      </c>
    </row>
    <row r="708" ht="15.75" customHeight="1">
      <c r="A708" s="269" t="s">
        <v>5061</v>
      </c>
      <c r="B708" s="270">
        <v>16922.0</v>
      </c>
      <c r="C708" s="271">
        <v>25738.0</v>
      </c>
      <c r="D708" s="272">
        <v>44610.0</v>
      </c>
      <c r="E708" s="273">
        <v>0.6145833333333334</v>
      </c>
      <c r="F708" s="274" t="s">
        <v>6767</v>
      </c>
      <c r="G708" s="274" t="s">
        <v>6562</v>
      </c>
      <c r="H708" s="274" t="s">
        <v>6529</v>
      </c>
      <c r="I708" s="274" t="s">
        <v>6479</v>
      </c>
      <c r="J708" s="265"/>
      <c r="K708" s="266" t="s">
        <v>6559</v>
      </c>
      <c r="L708" s="265"/>
      <c r="M708" s="275"/>
      <c r="N708" s="274"/>
    </row>
    <row r="709" ht="15.75" customHeight="1">
      <c r="A709" s="269" t="s">
        <v>5768</v>
      </c>
      <c r="B709" s="270">
        <v>17647.0</v>
      </c>
      <c r="C709" s="271">
        <v>27610.0</v>
      </c>
      <c r="D709" s="272">
        <v>44610.0</v>
      </c>
      <c r="E709" s="273">
        <v>0.625</v>
      </c>
      <c r="F709" s="274" t="s">
        <v>6767</v>
      </c>
      <c r="G709" s="274" t="s">
        <v>6562</v>
      </c>
      <c r="H709" s="274" t="s">
        <v>6529</v>
      </c>
      <c r="I709" s="274" t="s">
        <v>6483</v>
      </c>
      <c r="J709" s="265"/>
      <c r="K709" s="266" t="s">
        <v>6559</v>
      </c>
      <c r="L709" s="261" t="s">
        <v>6559</v>
      </c>
      <c r="M709" s="275"/>
      <c r="N709" s="280" t="e">
        <v>#N/A</v>
      </c>
    </row>
    <row r="710" ht="15.75" customHeight="1">
      <c r="A710" s="269" t="s">
        <v>2165</v>
      </c>
      <c r="B710" s="270">
        <v>13357.0</v>
      </c>
      <c r="C710" s="271">
        <v>20115.0</v>
      </c>
      <c r="D710" s="272"/>
      <c r="E710" s="273">
        <v>0.6354166666666666</v>
      </c>
      <c r="F710" s="274" t="s">
        <v>6766</v>
      </c>
      <c r="G710" s="274" t="s">
        <v>6561</v>
      </c>
      <c r="H710" s="274" t="s">
        <v>6529</v>
      </c>
      <c r="I710" s="274" t="s">
        <v>6483</v>
      </c>
      <c r="J710" s="265"/>
      <c r="K710" s="266" t="s">
        <v>6559</v>
      </c>
      <c r="L710" s="261" t="s">
        <v>6559</v>
      </c>
      <c r="M710" s="275"/>
      <c r="N710" s="280" t="e">
        <v>#N/A</v>
      </c>
    </row>
    <row r="711" ht="15.75" customHeight="1">
      <c r="A711" s="256" t="s">
        <v>2965</v>
      </c>
      <c r="B711" s="257">
        <v>14383.0</v>
      </c>
      <c r="C711" s="258">
        <v>19460.0</v>
      </c>
      <c r="D711" s="259">
        <v>44610.0</v>
      </c>
      <c r="E711" s="260">
        <v>0.625</v>
      </c>
      <c r="F711" s="261" t="s">
        <v>6767</v>
      </c>
      <c r="G711" s="262" t="s">
        <v>6558</v>
      </c>
      <c r="H711" s="263" t="s">
        <v>6521</v>
      </c>
      <c r="I711" s="264" t="s">
        <v>6374</v>
      </c>
      <c r="J711" s="265"/>
      <c r="K711" s="266" t="s">
        <v>6559</v>
      </c>
      <c r="L711" s="265"/>
      <c r="M711" s="267"/>
      <c r="N711" s="280" t="e">
        <v>#N/A</v>
      </c>
    </row>
    <row r="712" ht="15.75" customHeight="1">
      <c r="A712" s="308" t="s">
        <v>3260</v>
      </c>
      <c r="B712" s="309">
        <v>14742.0</v>
      </c>
      <c r="C712" s="310">
        <v>19050.0</v>
      </c>
      <c r="D712" s="311">
        <v>44610.0</v>
      </c>
      <c r="E712" s="312">
        <v>0.6354166666666666</v>
      </c>
      <c r="F712" s="313" t="s">
        <v>6766</v>
      </c>
      <c r="G712" s="313" t="s">
        <v>6562</v>
      </c>
      <c r="H712" s="313" t="s">
        <v>6527</v>
      </c>
      <c r="I712" s="313" t="s">
        <v>7079</v>
      </c>
      <c r="J712" s="265"/>
      <c r="K712" s="266" t="s">
        <v>6559</v>
      </c>
      <c r="L712" s="265"/>
      <c r="M712" s="315" t="s">
        <v>6792</v>
      </c>
      <c r="N712" s="288" t="s">
        <v>7050</v>
      </c>
    </row>
    <row r="713" ht="15.75" customHeight="1">
      <c r="A713" s="256" t="s">
        <v>5225</v>
      </c>
      <c r="B713" s="257">
        <v>17127.0</v>
      </c>
      <c r="C713" s="258">
        <v>20178.0</v>
      </c>
      <c r="D713" s="259">
        <v>44610.0</v>
      </c>
      <c r="E713" s="300" t="e">
        <v>#N/A</v>
      </c>
      <c r="F713" s="261" t="s">
        <v>6766</v>
      </c>
      <c r="G713" s="262" t="s">
        <v>6560</v>
      </c>
      <c r="H713" s="316" t="e">
        <v>#N/A</v>
      </c>
      <c r="I713" s="301" t="e">
        <v>#N/A</v>
      </c>
      <c r="J713" s="265"/>
      <c r="K713" s="266" t="s">
        <v>6559</v>
      </c>
      <c r="L713" s="261" t="s">
        <v>6559</v>
      </c>
      <c r="M713" s="267"/>
      <c r="N713" s="280" t="e">
        <v>#N/A</v>
      </c>
    </row>
    <row r="714" ht="15.75" customHeight="1">
      <c r="A714" s="256" t="s">
        <v>4152</v>
      </c>
      <c r="B714" s="257">
        <v>15795.0</v>
      </c>
      <c r="C714" s="258">
        <v>15753.0</v>
      </c>
      <c r="D714" s="259">
        <v>44610.0</v>
      </c>
      <c r="E714" s="260">
        <v>0.6666666666666666</v>
      </c>
      <c r="F714" s="261" t="s">
        <v>6766</v>
      </c>
      <c r="G714" s="262" t="s">
        <v>6561</v>
      </c>
      <c r="H714" s="263" t="s">
        <v>6527</v>
      </c>
      <c r="I714" s="264" t="s">
        <v>6489</v>
      </c>
      <c r="J714" s="265"/>
      <c r="K714" s="266" t="s">
        <v>6559</v>
      </c>
      <c r="L714" s="265"/>
      <c r="M714" s="267"/>
      <c r="N714" s="280" t="e">
        <v>#N/A</v>
      </c>
    </row>
    <row r="715" ht="15.75" customHeight="1">
      <c r="A715" s="256" t="s">
        <v>1225</v>
      </c>
      <c r="B715" s="257">
        <v>12008.0</v>
      </c>
      <c r="C715" s="258">
        <v>22902.0</v>
      </c>
      <c r="D715" s="259">
        <v>44610.0</v>
      </c>
      <c r="E715" s="260">
        <v>0.6666666666666666</v>
      </c>
      <c r="F715" s="261" t="s">
        <v>6766</v>
      </c>
      <c r="G715" s="262" t="s">
        <v>6561</v>
      </c>
      <c r="H715" s="263" t="s">
        <v>6529</v>
      </c>
      <c r="I715" s="264" t="s">
        <v>6427</v>
      </c>
      <c r="J715" s="265"/>
      <c r="K715" s="266" t="s">
        <v>6559</v>
      </c>
      <c r="L715" s="265"/>
      <c r="M715" s="267"/>
      <c r="N715" s="280" t="e">
        <v>#N/A</v>
      </c>
    </row>
    <row r="716" ht="15.75" customHeight="1">
      <c r="A716" s="269" t="s">
        <v>4509</v>
      </c>
      <c r="B716" s="270">
        <v>16204.0</v>
      </c>
      <c r="C716" s="271">
        <v>19496.0</v>
      </c>
      <c r="D716" s="272">
        <v>44610.0</v>
      </c>
      <c r="E716" s="273">
        <v>0.6666666666666666</v>
      </c>
      <c r="F716" s="274" t="s">
        <v>6767</v>
      </c>
      <c r="G716" s="274" t="s">
        <v>6562</v>
      </c>
      <c r="H716" s="274" t="s">
        <v>6529</v>
      </c>
      <c r="I716" s="274" t="s">
        <v>6483</v>
      </c>
      <c r="J716" s="265"/>
      <c r="K716" s="266" t="s">
        <v>6559</v>
      </c>
      <c r="L716" s="265"/>
      <c r="M716" s="275"/>
      <c r="N716" s="280" t="e">
        <v>#N/A</v>
      </c>
    </row>
    <row r="717" ht="15.75" customHeight="1">
      <c r="A717" s="256" t="s">
        <v>3851</v>
      </c>
      <c r="B717" s="257">
        <v>15461.0</v>
      </c>
      <c r="C717" s="258">
        <v>13322.0</v>
      </c>
      <c r="D717" s="259">
        <v>44610.0</v>
      </c>
      <c r="E717" s="260">
        <v>0.6666666666666666</v>
      </c>
      <c r="F717" s="261" t="s">
        <v>6767</v>
      </c>
      <c r="G717" s="262" t="s">
        <v>6562</v>
      </c>
      <c r="H717" s="263" t="s">
        <v>6529</v>
      </c>
      <c r="I717" s="264" t="s">
        <v>6427</v>
      </c>
      <c r="J717" s="265"/>
      <c r="K717" s="266" t="s">
        <v>6559</v>
      </c>
      <c r="L717" s="265"/>
      <c r="M717" s="267"/>
      <c r="N717" s="280" t="e">
        <v>#N/A</v>
      </c>
    </row>
    <row r="718" ht="15.75" customHeight="1">
      <c r="A718" s="308" t="s">
        <v>5505</v>
      </c>
      <c r="B718" s="309">
        <v>17482.0</v>
      </c>
      <c r="C718" s="310">
        <v>23647.0</v>
      </c>
      <c r="D718" s="311">
        <v>44610.0</v>
      </c>
      <c r="E718" s="312">
        <v>0.6770833333333334</v>
      </c>
      <c r="F718" s="313" t="s">
        <v>6767</v>
      </c>
      <c r="G718" s="313" t="s">
        <v>6558</v>
      </c>
      <c r="H718" s="313" t="s">
        <v>6521</v>
      </c>
      <c r="I718" s="313" t="s">
        <v>6435</v>
      </c>
      <c r="J718" s="265"/>
      <c r="K718" s="266" t="s">
        <v>6559</v>
      </c>
      <c r="L718" s="265"/>
      <c r="M718" s="315" t="s">
        <v>7060</v>
      </c>
      <c r="N718" s="288" t="s">
        <v>7050</v>
      </c>
    </row>
    <row r="719" ht="15.75" customHeight="1">
      <c r="A719" s="269" t="s">
        <v>4178</v>
      </c>
      <c r="B719" s="270">
        <v>15824.0</v>
      </c>
      <c r="C719" s="271">
        <v>22206.0</v>
      </c>
      <c r="D719" s="272">
        <v>44610.0</v>
      </c>
      <c r="E719" s="273">
        <v>0.6875</v>
      </c>
      <c r="F719" s="274" t="s">
        <v>6767</v>
      </c>
      <c r="G719" s="274" t="s">
        <v>6562</v>
      </c>
      <c r="H719" s="274" t="s">
        <v>6529</v>
      </c>
      <c r="I719" s="274" t="s">
        <v>6485</v>
      </c>
      <c r="J719" s="265"/>
      <c r="K719" s="266" t="s">
        <v>6559</v>
      </c>
      <c r="L719" s="265"/>
      <c r="M719" s="275"/>
      <c r="N719" s="280" t="e">
        <v>#N/A</v>
      </c>
    </row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923"/>
  <conditionalFormatting sqref="A653:A718 N269:N325">
    <cfRule type="expression" dxfId="3" priority="1">
      <formula>$N269="QUEST"</formula>
    </cfRule>
  </conditionalFormatting>
  <conditionalFormatting sqref="A653:A718 N269:N325">
    <cfRule type="expression" dxfId="15" priority="2">
      <formula>$V269="UA"</formula>
    </cfRule>
  </conditionalFormatting>
  <conditionalFormatting sqref="A653:A718 N269:N325">
    <cfRule type="expression" dxfId="16" priority="3">
      <formula>$V269="OUTUA-PrRW"</formula>
    </cfRule>
  </conditionalFormatting>
  <conditionalFormatting sqref="A653:A718 N269:N325">
    <cfRule type="expression" dxfId="16" priority="4">
      <formula>$V269="OUT-UAQPre"</formula>
    </cfRule>
  </conditionalFormatting>
  <conditionalFormatting sqref="A653:A718 N269:N325">
    <cfRule type="expression" dxfId="17" priority="5">
      <formula>$V269="UA-Prelim"</formula>
    </cfRule>
  </conditionalFormatting>
  <conditionalFormatting sqref="A653:A718 N269:N325">
    <cfRule type="expression" dxfId="5" priority="6">
      <formula>$V269="UA-NWPT"</formula>
    </cfRule>
  </conditionalFormatting>
  <conditionalFormatting sqref="A653:A718 N269:N325">
    <cfRule type="expression" dxfId="3" priority="7">
      <formula>$V269="OUT-UAQ"</formula>
    </cfRule>
  </conditionalFormatting>
  <conditionalFormatting sqref="A653:A718 N269:N325">
    <cfRule type="expression" dxfId="3" priority="8">
      <formula>$V269="OUTUA-FURW"</formula>
    </cfRule>
  </conditionalFormatting>
  <conditionalFormatting sqref="A653:A718 N269:N325">
    <cfRule type="expression" dxfId="18" priority="9">
      <formula>$V269="OUTSA-SaQu"</formula>
    </cfRule>
  </conditionalFormatting>
  <conditionalFormatting sqref="A653:A718 N269:N325">
    <cfRule type="expression" dxfId="18" priority="10">
      <formula>$V269="OUTSA-RW"</formula>
    </cfRule>
  </conditionalFormatting>
  <conditionalFormatting sqref="M269:M325">
    <cfRule type="expression" dxfId="1" priority="11">
      <formula>$O269="X"</formula>
    </cfRule>
  </conditionalFormatting>
  <conditionalFormatting sqref="A269:N325 A653:A718 I49 I109 I257">
    <cfRule type="expression" dxfId="1" priority="12">
      <formula>$X49="ERROR"</formula>
    </cfRule>
  </conditionalFormatting>
  <conditionalFormatting sqref="A269:N325 A653:A718 I49 I109 I257">
    <cfRule type="expression" dxfId="1" priority="13">
      <formula>$Y49="NO MATCH"</formula>
    </cfRule>
  </conditionalFormatting>
  <conditionalFormatting sqref="A269:N325 A653:A718 I49 I109 I257">
    <cfRule type="expression" dxfId="2" priority="14">
      <formula>$Z49="Repeat"</formula>
    </cfRule>
  </conditionalFormatting>
  <conditionalFormatting sqref="A269:M325 A707 I49 I109 I257">
    <cfRule type="expression" dxfId="4" priority="15">
      <formula>$J49="MOLINA DUAL COMPLETE NEW MEXICO"</formula>
    </cfRule>
  </conditionalFormatting>
  <conditionalFormatting sqref="A269:M325 A707 I49 I109 I257">
    <cfRule type="expression" dxfId="4" priority="16">
      <formula>$J49="MOLINA DUAL COMPLETE TEXAS"</formula>
    </cfRule>
  </conditionalFormatting>
  <conditionalFormatting sqref="A269:M325 A707 I49 I109 I257">
    <cfRule type="expression" dxfId="4" priority="17">
      <formula>$J49="MOLINA MARKETPLACE TEXAS"</formula>
    </cfRule>
  </conditionalFormatting>
  <conditionalFormatting sqref="A269:N325 A653:A718 I49 I109 I257">
    <cfRule type="expression" dxfId="3" priority="18">
      <formula>$N49="SWAB"</formula>
    </cfRule>
  </conditionalFormatting>
  <conditionalFormatting sqref="A269:M325 A707 I49 I109 I257">
    <cfRule type="expression" dxfId="11" priority="19">
      <formula>$J49="SUPERIOR HEALTH PLAN"</formula>
    </cfRule>
  </conditionalFormatting>
  <conditionalFormatting sqref="A269:M325 A707 I49 I109 I257">
    <cfRule type="expression" dxfId="11" priority="20">
      <formula>$J49="AMBETTER - SUPERIOR"</formula>
    </cfRule>
  </conditionalFormatting>
  <conditionalFormatting sqref="A269:M325 A707 I49 I109 I257">
    <cfRule type="expression" dxfId="12" priority="21">
      <formula>$J49="Wellmed - Humana"</formula>
    </cfRule>
  </conditionalFormatting>
  <conditionalFormatting sqref="A269:M325 A707 I49 I109 I257">
    <cfRule type="expression" dxfId="12" priority="22">
      <formula>$J49="WELLMED - AARP MEDICARE COMPLETE"</formula>
    </cfRule>
  </conditionalFormatting>
  <conditionalFormatting sqref="A269:M325 A707 I49 I109 I257">
    <cfRule type="expression" dxfId="12" priority="23">
      <formula>$J49="WELLMED - AMERIVANTAGE"</formula>
    </cfRule>
  </conditionalFormatting>
  <conditionalFormatting sqref="A269:M325 A707 I49 I109 I257">
    <cfRule type="expression" dxfId="12" priority="24">
      <formula>$J49="WELLMED - CIGNA HEALTHSPRING"</formula>
    </cfRule>
  </conditionalFormatting>
  <conditionalFormatting sqref="A269:M325 A707 I49 I109 I257">
    <cfRule type="expression" dxfId="12" priority="25">
      <formula>$J49="WELLMED - UHC CHRONIC COMPLETE HMO C-SNP"</formula>
    </cfRule>
  </conditionalFormatting>
  <conditionalFormatting sqref="A269:M325 A707 I49 I109 I257">
    <cfRule type="expression" dxfId="12" priority="26">
      <formula>$J49="WELLMED - UHC DUAL COMPLETE HMO SNP"</formula>
    </cfRule>
  </conditionalFormatting>
  <conditionalFormatting sqref="A269:M325 A707 I49 I109 I257">
    <cfRule type="expression" dxfId="12" priority="27">
      <formula>$J49="WELLMED - UHC DUAL COMPLETE SNP"</formula>
    </cfRule>
  </conditionalFormatting>
  <conditionalFormatting sqref="I49">
    <cfRule type="expression" dxfId="4" priority="28">
      <formula>$J49="MOLINA DUAL COMPLETE NEW MEXICO"</formula>
    </cfRule>
  </conditionalFormatting>
  <conditionalFormatting sqref="I49">
    <cfRule type="expression" dxfId="4" priority="29">
      <formula>$J49="MOLINA DUAL COMPLETE TEXAS"</formula>
    </cfRule>
  </conditionalFormatting>
  <conditionalFormatting sqref="I49">
    <cfRule type="expression" dxfId="4" priority="30">
      <formula>$J49="MOLINA MARKETPLACE TEXAS"</formula>
    </cfRule>
  </conditionalFormatting>
  <conditionalFormatting sqref="A269:M325 A707 I49 I109 I257">
    <cfRule type="expression" dxfId="4" priority="31">
      <formula>$J49="MOLINA MEDICAID TEXAS"</formula>
    </cfRule>
  </conditionalFormatting>
  <conditionalFormatting sqref="A269:M325 A707 I49 I109 I257">
    <cfRule type="expression" dxfId="13" priority="32">
      <formula>$J49="HUMANA OPEN ACCESS PLAN"</formula>
    </cfRule>
  </conditionalFormatting>
  <conditionalFormatting sqref="A269:M325 A707 I49 I109 I257">
    <cfRule type="expression" dxfId="14" priority="33">
      <formula>$J49="HUMANA CHOICE CARE"</formula>
    </cfRule>
  </conditionalFormatting>
  <conditionalFormatting sqref="A1:M268">
    <cfRule type="expression" dxfId="1" priority="34">
      <formula>#REF!="ERROR"</formula>
    </cfRule>
  </conditionalFormatting>
  <conditionalFormatting sqref="A1:M268">
    <cfRule type="expression" dxfId="1" priority="35">
      <formula>#REF!="NO MATCH"</formula>
    </cfRule>
  </conditionalFormatting>
  <conditionalFormatting sqref="A1:M268">
    <cfRule type="expression" dxfId="2" priority="36">
      <formula>#REF!="Repeat"</formula>
    </cfRule>
  </conditionalFormatting>
  <conditionalFormatting sqref="A1:M268">
    <cfRule type="expression" dxfId="4" priority="37">
      <formula>$I1="MOLINA DUAL COMPLETE NEW MEXICO"</formula>
    </cfRule>
  </conditionalFormatting>
  <conditionalFormatting sqref="A1:M268">
    <cfRule type="expression" dxfId="4" priority="38">
      <formula>$I1="MOLINA DUAL COMPLETE TEXAS"</formula>
    </cfRule>
  </conditionalFormatting>
  <conditionalFormatting sqref="A1:M268">
    <cfRule type="expression" dxfId="4" priority="39">
      <formula>$I1="MOLINA MARKETPLACE TEXAS"</formula>
    </cfRule>
  </conditionalFormatting>
  <conditionalFormatting sqref="J1:J325">
    <cfRule type="containsText" dxfId="5" priority="40" operator="containsText" text="x">
      <formula>NOT(ISERROR(SEARCH(("x"),(J1))))</formula>
    </cfRule>
  </conditionalFormatting>
  <conditionalFormatting sqref="L1:L325 M16:M17 M76:M77 M131:M132 M154:M155 M187:M188 M224:M225">
    <cfRule type="containsText" dxfId="6" priority="41" operator="containsText" text="X">
      <formula>NOT(ISERROR(SEARCH(("X"),(L1))))</formula>
    </cfRule>
  </conditionalFormatting>
  <conditionalFormatting sqref="K1:K325">
    <cfRule type="containsText" dxfId="7" priority="42" operator="containsText" text="X">
      <formula>NOT(ISERROR(SEARCH(("X"),(K1))))</formula>
    </cfRule>
  </conditionalFormatting>
  <conditionalFormatting sqref="I1:I325 M1">
    <cfRule type="containsText" dxfId="9" priority="43" operator="containsText" text="Molina">
      <formula>NOT(ISERROR(SEARCH(("Molina"),(I1))))</formula>
    </cfRule>
  </conditionalFormatting>
  <conditionalFormatting sqref="J1:L325 M16:M17 M76:M77 M131:M132 M154:M155 M187:M188 M224:M225">
    <cfRule type="containsBlanks" dxfId="10" priority="44">
      <formula>LEN(TRIM(J1))=0</formula>
    </cfRule>
  </conditionalFormatting>
  <conditionalFormatting sqref="A2:D268 E1:E268 F2:M268">
    <cfRule type="expression" dxfId="3" priority="45">
      <formula>$M1="SWAB"</formula>
    </cfRule>
  </conditionalFormatting>
  <conditionalFormatting sqref="I1:I325">
    <cfRule type="containsText" dxfId="1" priority="46" operator="containsText" text="Self Pay">
      <formula>NOT(ISERROR(SEARCH(("Self Pay"),(I1))))</formula>
    </cfRule>
  </conditionalFormatting>
  <conditionalFormatting sqref="I1:I325">
    <cfRule type="containsText" dxfId="1" priority="47" operator="containsText" text="Self-Pay">
      <formula>NOT(ISERROR(SEARCH(("Self-Pay"),(I1))))</formula>
    </cfRule>
  </conditionalFormatting>
  <conditionalFormatting sqref="I1:I325">
    <cfRule type="containsText" dxfId="1" priority="48" operator="containsText" text="Third Party">
      <formula>NOT(ISERROR(SEARCH(("Third Party"),(I1))))</formula>
    </cfRule>
  </conditionalFormatting>
  <conditionalFormatting sqref="A1:M268">
    <cfRule type="expression" dxfId="11" priority="49">
      <formula>$I1="SUPERIOR HEALTH PLAN"</formula>
    </cfRule>
  </conditionalFormatting>
  <conditionalFormatting sqref="A1:M268">
    <cfRule type="expression" dxfId="11" priority="50">
      <formula>$I1="AMBETTER - SUPERIOR"</formula>
    </cfRule>
  </conditionalFormatting>
  <conditionalFormatting sqref="A1:M268">
    <cfRule type="expression" dxfId="12" priority="51">
      <formula>$I1="Wellmed - Humana"</formula>
    </cfRule>
  </conditionalFormatting>
  <conditionalFormatting sqref="A1:M268">
    <cfRule type="expression" dxfId="12" priority="52">
      <formula>$I1="WELLMED - AARP MEDICARE COMPLETE"</formula>
    </cfRule>
  </conditionalFormatting>
  <conditionalFormatting sqref="A1:M268">
    <cfRule type="expression" dxfId="12" priority="53">
      <formula>$I1="WELLMED - AMERIVANTAGE"</formula>
    </cfRule>
  </conditionalFormatting>
  <conditionalFormatting sqref="A1:M268">
    <cfRule type="expression" dxfId="12" priority="54">
      <formula>$I1="WELLMED - CIGNA HEALTHSPRING"</formula>
    </cfRule>
  </conditionalFormatting>
  <conditionalFormatting sqref="A1:M268">
    <cfRule type="expression" dxfId="12" priority="55">
      <formula>$I1="WELLMED - UHC CHRONIC COMPLETE HMO C-SNP"</formula>
    </cfRule>
  </conditionalFormatting>
  <conditionalFormatting sqref="A1:M268">
    <cfRule type="expression" dxfId="12" priority="56">
      <formula>$I1="WELLMED - UHC DUAL COMPLETE HMO SNP"</formula>
    </cfRule>
  </conditionalFormatting>
  <conditionalFormatting sqref="A1:M268">
    <cfRule type="expression" dxfId="12" priority="57">
      <formula>$I1="WELLMED - UHC DUAL COMPLETE SNP"</formula>
    </cfRule>
  </conditionalFormatting>
  <conditionalFormatting sqref="A1:D61 E1:E61 F1:M61">
    <cfRule type="expression" dxfId="4" priority="58">
      <formula>$I1="MOLINA DUAL COMPLETE NEW MEXICO"</formula>
    </cfRule>
  </conditionalFormatting>
  <conditionalFormatting sqref="A1:D61 E1:E61 F1:M61">
    <cfRule type="expression" dxfId="4" priority="59">
      <formula>$I1="MOLINA DUAL COMPLETE TEXAS"</formula>
    </cfRule>
  </conditionalFormatting>
  <conditionalFormatting sqref="A1:D61 E1:E61 F1:M61">
    <cfRule type="expression" dxfId="4" priority="60">
      <formula>$I1="MOLINA MARKETPLACE TEXAS"</formula>
    </cfRule>
  </conditionalFormatting>
  <conditionalFormatting sqref="A1:M268">
    <cfRule type="expression" dxfId="4" priority="61">
      <formula>$I1="MOLINA MEDICAID TEXAS"</formula>
    </cfRule>
  </conditionalFormatting>
  <conditionalFormatting sqref="A1:M268">
    <cfRule type="expression" dxfId="13" priority="62">
      <formula>$I1="HUMANA OPEN ACCESS PLAN"</formula>
    </cfRule>
  </conditionalFormatting>
  <conditionalFormatting sqref="A1:M268">
    <cfRule type="expression" dxfId="14" priority="63">
      <formula>$I1="HUMANA CHOICE CARE"</formula>
    </cfRule>
  </conditionalFormatting>
  <conditionalFormatting sqref="M1:M268">
    <cfRule type="expression" dxfId="1" priority="64">
      <formula>#REF!="X"</formula>
    </cfRule>
  </conditionalFormatting>
  <dataValidations>
    <dataValidation type="list" allowBlank="1" showErrorMessage="1" sqref="H269:H325">
      <formula1>"TORRES,LOPEZ,THOMAS,MARTINEZ"</formula1>
    </dataValidation>
    <dataValidation type="list" allowBlank="1" showErrorMessage="1" sqref="J269:L325">
      <formula1>"X"</formula1>
    </dataValidation>
    <dataValidation type="custom" allowBlank="1" showDropDown="1" showInputMessage="1" showErrorMessage="1" prompt="CAPITALS" sqref="B269:B325">
      <formula1>ISERROR(SEARCH((exact(upper(B:O),B:O)),(B269)))</formula1>
    </dataValidation>
    <dataValidation type="list" allowBlank="1" showInputMessage="1" showErrorMessage="1" prompt="Click and enter a value from range 'Insurance Data'!C2:C608" sqref="D269:D325">
      <formula1>DATA!$C:$C</formula1>
    </dataValidation>
    <dataValidation type="list" allowBlank="1" showErrorMessage="1" sqref="E269:E325">
      <formula1>DATA!$B:$B</formula1>
    </dataValidation>
    <dataValidation type="custom" allowBlank="1" showDropDown="1" showInputMessage="1" showErrorMessage="1" prompt="CAPITALS" sqref="A1:A268">
      <formula1>ISERROR(SEARCH((exact(upper(B:M),B:M)),(A1)))</formula1>
    </dataValidation>
    <dataValidation type="list" allowBlank="1" showErrorMessage="1" sqref="F269:F325">
      <formula1>"M,F,U"</formula1>
    </dataValidation>
    <dataValidation type="list" allowBlank="1" sqref="G269:G325">
      <formula1>"DA,DM,LM,CH,FA,JA"</formula1>
    </dataValidation>
    <dataValidation type="custom" allowBlank="1" showDropDown="1" showInputMessage="1" showErrorMessage="1" prompt="CAPITALS" sqref="A269:A325">
      <formula1>ISERROR(SEARCH((exact(upper(B:N),B:N)),(A269)))</formula1>
    </dataValidation>
    <dataValidation type="custom" allowBlank="1" showDropDown="1" showInputMessage="1" showErrorMessage="1" prompt="CAPITALS" sqref="B1:B268">
      <formula1>ISERROR(SEARCH((exact(upper(B:M),B:M)),(B1)))</formula1>
    </dataValidation>
    <dataValidation type="list" allowBlank="1" sqref="I269:I325">
      <formula1>DATA!$A$2:$A$124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7.0"/>
    <col customWidth="1" min="3" max="3" width="8.5"/>
    <col customWidth="1" min="4" max="5" width="17.13"/>
    <col customWidth="1" min="6" max="6" width="12.63"/>
  </cols>
  <sheetData>
    <row r="1" ht="20.25" customHeight="1">
      <c r="A1" s="329" t="s">
        <v>7080</v>
      </c>
      <c r="B1" s="330" t="s">
        <v>6368</v>
      </c>
      <c r="C1" s="331" t="s">
        <v>7081</v>
      </c>
      <c r="D1" s="331"/>
      <c r="E1" s="331"/>
    </row>
    <row r="2" ht="20.25" customHeight="1">
      <c r="A2" s="332" t="s">
        <v>7082</v>
      </c>
      <c r="B2" s="333">
        <v>44621.0</v>
      </c>
      <c r="C2" s="334" t="s">
        <v>7083</v>
      </c>
      <c r="D2" s="334"/>
      <c r="E2" s="334"/>
    </row>
    <row r="3" ht="20.25" customHeight="1">
      <c r="A3" s="335" t="s">
        <v>7084</v>
      </c>
      <c r="B3" s="336">
        <v>44622.0</v>
      </c>
      <c r="C3" s="337"/>
      <c r="D3" s="337"/>
      <c r="E3" s="337"/>
    </row>
    <row r="4" ht="20.25" customHeight="1">
      <c r="A4" s="335" t="s">
        <v>7085</v>
      </c>
      <c r="B4" s="336">
        <v>44623.0</v>
      </c>
      <c r="C4" s="337" t="s">
        <v>7083</v>
      </c>
      <c r="D4" s="337"/>
      <c r="E4" s="337"/>
    </row>
    <row r="5" ht="20.25" customHeight="1">
      <c r="A5" s="338" t="s">
        <v>7086</v>
      </c>
      <c r="B5" s="339">
        <v>44624.0</v>
      </c>
      <c r="C5" s="340"/>
      <c r="D5" s="340"/>
      <c r="E5" s="340"/>
    </row>
    <row r="6" ht="20.25" customHeight="1">
      <c r="A6" s="341" t="s">
        <v>7087</v>
      </c>
      <c r="B6" s="342">
        <v>44627.0</v>
      </c>
      <c r="C6" s="343" t="s">
        <v>7083</v>
      </c>
      <c r="D6" s="343"/>
      <c r="E6" s="343"/>
    </row>
    <row r="7" ht="20.25" customHeight="1">
      <c r="A7" s="335" t="s">
        <v>7082</v>
      </c>
      <c r="B7" s="336">
        <v>44628.0</v>
      </c>
      <c r="C7" s="337" t="s">
        <v>7083</v>
      </c>
      <c r="D7" s="337"/>
      <c r="E7" s="337"/>
    </row>
    <row r="8" ht="20.25" customHeight="1">
      <c r="A8" s="335" t="s">
        <v>7084</v>
      </c>
      <c r="B8" s="336">
        <v>44629.0</v>
      </c>
      <c r="C8" s="337"/>
      <c r="D8" s="337"/>
      <c r="E8" s="337"/>
    </row>
    <row r="9" ht="20.25" customHeight="1">
      <c r="A9" s="335" t="s">
        <v>7085</v>
      </c>
      <c r="B9" s="336">
        <v>44630.0</v>
      </c>
      <c r="C9" s="337"/>
      <c r="D9" s="337"/>
      <c r="E9" s="337"/>
    </row>
    <row r="10" ht="20.25" customHeight="1">
      <c r="A10" s="338" t="s">
        <v>7086</v>
      </c>
      <c r="B10" s="339">
        <v>44631.0</v>
      </c>
      <c r="C10" s="340"/>
      <c r="D10" s="340"/>
      <c r="E10" s="340"/>
    </row>
    <row r="11" ht="20.25" customHeight="1">
      <c r="A11" s="341" t="s">
        <v>7087</v>
      </c>
      <c r="B11" s="342">
        <v>44634.0</v>
      </c>
      <c r="C11" s="343"/>
      <c r="D11" s="343"/>
      <c r="E11" s="343"/>
    </row>
    <row r="12" ht="20.25" customHeight="1">
      <c r="A12" s="335" t="s">
        <v>7082</v>
      </c>
      <c r="B12" s="336">
        <v>44635.0</v>
      </c>
      <c r="C12" s="337"/>
      <c r="D12" s="337"/>
      <c r="E12" s="337"/>
    </row>
    <row r="13" ht="20.25" customHeight="1">
      <c r="A13" s="335" t="s">
        <v>7084</v>
      </c>
      <c r="B13" s="336">
        <v>44636.0</v>
      </c>
      <c r="C13" s="337"/>
      <c r="D13" s="337"/>
      <c r="E13" s="337"/>
    </row>
    <row r="14" ht="20.25" customHeight="1">
      <c r="A14" s="335" t="s">
        <v>7085</v>
      </c>
      <c r="B14" s="336">
        <v>44637.0</v>
      </c>
      <c r="C14" s="337"/>
      <c r="D14" s="337"/>
      <c r="E14" s="337"/>
    </row>
    <row r="15" ht="20.25" customHeight="1">
      <c r="A15" s="338" t="s">
        <v>7086</v>
      </c>
      <c r="B15" s="339">
        <v>44638.0</v>
      </c>
      <c r="C15" s="340"/>
      <c r="D15" s="340"/>
      <c r="E15" s="340"/>
    </row>
    <row r="16" ht="20.25" customHeight="1">
      <c r="A16" s="341" t="s">
        <v>7087</v>
      </c>
      <c r="B16" s="342">
        <v>44641.0</v>
      </c>
      <c r="C16" s="343"/>
      <c r="D16" s="343"/>
      <c r="E16" s="343"/>
    </row>
    <row r="17" ht="20.25" customHeight="1">
      <c r="A17" s="335" t="s">
        <v>7082</v>
      </c>
      <c r="B17" s="336">
        <v>44642.0</v>
      </c>
      <c r="C17" s="337"/>
      <c r="D17" s="337"/>
      <c r="E17" s="337"/>
    </row>
    <row r="18" ht="20.25" customHeight="1">
      <c r="A18" s="335" t="s">
        <v>7084</v>
      </c>
      <c r="B18" s="336">
        <v>44643.0</v>
      </c>
      <c r="C18" s="337"/>
      <c r="D18" s="337"/>
      <c r="E18" s="337"/>
    </row>
    <row r="19" ht="20.25" customHeight="1">
      <c r="A19" s="335" t="s">
        <v>7085</v>
      </c>
      <c r="B19" s="336">
        <v>44644.0</v>
      </c>
      <c r="C19" s="337"/>
      <c r="D19" s="337"/>
      <c r="E19" s="337"/>
    </row>
    <row r="20" ht="20.25" customHeight="1">
      <c r="A20" s="338" t="s">
        <v>7086</v>
      </c>
      <c r="B20" s="339">
        <v>44645.0</v>
      </c>
      <c r="C20" s="340"/>
      <c r="D20" s="340"/>
      <c r="E20" s="340"/>
    </row>
    <row r="21" ht="20.25" customHeight="1">
      <c r="A21" s="341" t="s">
        <v>7087</v>
      </c>
      <c r="B21" s="342">
        <v>44648.0</v>
      </c>
      <c r="C21" s="343"/>
      <c r="D21" s="343"/>
      <c r="E21" s="343"/>
    </row>
    <row r="22" ht="20.25" customHeight="1">
      <c r="A22" s="335" t="s">
        <v>7082</v>
      </c>
      <c r="B22" s="336">
        <v>44649.0</v>
      </c>
      <c r="C22" s="337"/>
      <c r="D22" s="337"/>
      <c r="E22" s="337"/>
    </row>
    <row r="23" ht="20.25" customHeight="1">
      <c r="A23" s="335" t="s">
        <v>7084</v>
      </c>
      <c r="B23" s="336">
        <v>44650.0</v>
      </c>
      <c r="C23" s="337"/>
      <c r="D23" s="337"/>
      <c r="E23" s="337"/>
    </row>
    <row r="24" ht="20.25" customHeight="1">
      <c r="A24" s="338" t="s">
        <v>7085</v>
      </c>
      <c r="B24" s="339">
        <v>44651.0</v>
      </c>
      <c r="C24" s="340"/>
      <c r="D24" s="340"/>
      <c r="E24" s="34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