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4L/Downloads/"/>
    </mc:Choice>
  </mc:AlternateContent>
  <xr:revisionPtr revIDLastSave="0" documentId="13_ncr:1_{3402D309-F0BD-8F43-B816-7BEEF8B06CF8}" xr6:coauthVersionLast="47" xr6:coauthVersionMax="47" xr10:uidLastSave="{00000000-0000-0000-0000-000000000000}"/>
  <bookViews>
    <workbookView xWindow="0" yWindow="460" windowWidth="25600" windowHeight="14420" activeTab="3" xr2:uid="{00000000-000D-0000-FFFF-FFFF00000000}"/>
  </bookViews>
  <sheets>
    <sheet name="EXPORT (101222)" sheetId="1" r:id="rId1"/>
    <sheet name="RUN (101222)" sheetId="2" r:id="rId2"/>
    <sheet name="Standards" sheetId="3" r:id="rId3"/>
    <sheet name="Plot" sheetId="4" r:id="rId4"/>
  </sheets>
  <definedNames>
    <definedName name="_xlnm._FilterDatabase" localSheetId="1" hidden="1">'RUN (101222)'!$A$1:$G$19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4" l="1" a="1"/>
  <c r="V3" i="4" s="1"/>
  <c r="V4" i="4" a="1"/>
  <c r="V4" i="4"/>
  <c r="V5" i="4" a="1"/>
  <c r="V5" i="4" s="1"/>
  <c r="V6" i="4" a="1"/>
  <c r="V6" i="4"/>
  <c r="V7" i="4" a="1"/>
  <c r="V7" i="4" s="1"/>
  <c r="V8" i="4" a="1"/>
  <c r="V8" i="4"/>
  <c r="V9" i="4" a="1"/>
  <c r="V9" i="4" s="1"/>
  <c r="V10" i="4" a="1"/>
  <c r="V10" i="4" s="1"/>
  <c r="V2" i="4" a="1"/>
  <c r="V2" i="4" s="1"/>
  <c r="S15" i="4"/>
  <c r="S14" i="4"/>
  <c r="S13" i="4"/>
  <c r="E13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E9" i="4" l="1"/>
  <c r="E4" i="4"/>
  <c r="E2" i="4"/>
  <c r="E10" i="4"/>
  <c r="E8" i="4"/>
  <c r="E3" i="4"/>
  <c r="E7" i="4"/>
  <c r="E5" i="4"/>
  <c r="E6" i="4"/>
  <c r="I2" i="4" l="1"/>
  <c r="I1" i="4"/>
  <c r="I3" i="4"/>
  <c r="F12" i="4" l="1"/>
  <c r="F8" i="4" a="1"/>
  <c r="F8" i="4" s="1"/>
  <c r="F9" i="4" a="1"/>
  <c r="F9" i="4" s="1"/>
  <c r="F4" i="4" a="1"/>
  <c r="F4" i="4" s="1"/>
  <c r="F7" i="4" a="1"/>
  <c r="F7" i="4" s="1"/>
  <c r="F6" i="4" a="1"/>
  <c r="F6" i="4" s="1"/>
  <c r="F10" i="4" a="1"/>
  <c r="F10" i="4" s="1"/>
  <c r="F3" i="4" a="1"/>
  <c r="F3" i="4" s="1"/>
  <c r="F5" i="4" a="1"/>
  <c r="F5" i="4" s="1"/>
  <c r="F2" i="4" a="1"/>
  <c r="F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<sst xmlns="http://schemas.openxmlformats.org/spreadsheetml/2006/main" count="386" uniqueCount="84">
  <si>
    <t>Measurement results</t>
  </si>
  <si>
    <t>B309 rep 1_10.skax</t>
  </si>
  <si>
    <t>Standard Curve 1</t>
  </si>
  <si>
    <t>Fit type: Linear Regression</t>
  </si>
  <si>
    <t>Use extrapolation: No</t>
  </si>
  <si>
    <t>Force line through origin: No</t>
  </si>
  <si>
    <t>Concentration transformation: Linear</t>
  </si>
  <si>
    <t>Signal transformation: Linear</t>
  </si>
  <si>
    <t>Wavelength: 620 nm</t>
  </si>
  <si>
    <t>Sample group: Group 1</t>
  </si>
  <si>
    <t>y = 0.000205136x + 0.165742</t>
  </si>
  <si>
    <t>y = ax + b</t>
  </si>
  <si>
    <t>Where:</t>
  </si>
  <si>
    <t>a =</t>
  </si>
  <si>
    <t>b =</t>
  </si>
  <si>
    <t>R²: 0.994</t>
  </si>
  <si>
    <t>Well</t>
  </si>
  <si>
    <t>Sample</t>
  </si>
  <si>
    <t>Conc.</t>
  </si>
  <si>
    <t>Original signal</t>
  </si>
  <si>
    <t>CV%</t>
  </si>
  <si>
    <t>Fitted signal</t>
  </si>
  <si>
    <t>Residual</t>
  </si>
  <si>
    <t>Average</t>
  </si>
  <si>
    <t>Std0001</t>
  </si>
  <si>
    <t>B01</t>
  </si>
  <si>
    <t>B02</t>
  </si>
  <si>
    <t>Std0002</t>
  </si>
  <si>
    <t>C01</t>
  </si>
  <si>
    <t>C02</t>
  </si>
  <si>
    <t>Std0003</t>
  </si>
  <si>
    <t>D01</t>
  </si>
  <si>
    <t>D02</t>
  </si>
  <si>
    <t>Std0004</t>
  </si>
  <si>
    <t>E01</t>
  </si>
  <si>
    <t>E02</t>
  </si>
  <si>
    <t>Std0005</t>
  </si>
  <si>
    <t>F01</t>
  </si>
  <si>
    <t>F02</t>
  </si>
  <si>
    <t>Std0006</t>
  </si>
  <si>
    <t>G01</t>
  </si>
  <si>
    <t>G02</t>
  </si>
  <si>
    <t>Std0007</t>
  </si>
  <si>
    <t>H01</t>
  </si>
  <si>
    <t>H02</t>
  </si>
  <si>
    <t>Std0008</t>
  </si>
  <si>
    <t>A03</t>
  </si>
  <si>
    <t>A04</t>
  </si>
  <si>
    <t>Std0009</t>
  </si>
  <si>
    <t>A01</t>
  </si>
  <si>
    <t>A02</t>
  </si>
  <si>
    <t>Type</t>
  </si>
  <si>
    <t>Signal</t>
  </si>
  <si>
    <t>Standard</t>
  </si>
  <si>
    <t>&lt; Min</t>
  </si>
  <si>
    <t>&gt; Max</t>
  </si>
  <si>
    <t>B04</t>
  </si>
  <si>
    <t>Unknown</t>
  </si>
  <si>
    <t>B309</t>
  </si>
  <si>
    <t>B03</t>
  </si>
  <si>
    <t>C03</t>
  </si>
  <si>
    <t>309 - 1:10 - (2)</t>
  </si>
  <si>
    <t>C04</t>
  </si>
  <si>
    <t>Autoloading range A1 - G99</t>
  </si>
  <si>
    <t>STD</t>
  </si>
  <si>
    <t>#1</t>
  </si>
  <si>
    <t>#2</t>
  </si>
  <si>
    <t>AVG</t>
  </si>
  <si>
    <t>xCalc</t>
  </si>
  <si>
    <t>R^2</t>
  </si>
  <si>
    <t>Signal1</t>
  </si>
  <si>
    <t>Signal2</t>
  </si>
  <si>
    <t>STD1</t>
  </si>
  <si>
    <t>SLOPE</t>
  </si>
  <si>
    <t>STD2</t>
  </si>
  <si>
    <t>INTERCEPT</t>
  </si>
  <si>
    <t>STD3</t>
  </si>
  <si>
    <t>STD4</t>
  </si>
  <si>
    <t>STD5</t>
  </si>
  <si>
    <t>y = mx + b</t>
  </si>
  <si>
    <t>STD6</t>
  </si>
  <si>
    <t>STD7</t>
  </si>
  <si>
    <t>STD8</t>
  </si>
  <si>
    <t>STD9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</si>
</sst>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\ AM/PM"/>
    <numFmt numFmtId="165" formatCode="0.000"/>
    <numFmt numFmtId="166" formatCode="0.0000000"/>
    <numFmt numFmtId="167" formatCode="0.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5" fontId="2" fillId="0" borderId="1" xfId="0" applyNumberFormat="1" applyFont="1" applyBorder="1" applyAlignment="1"/>
    <xf numFmtId="165" fontId="2" fillId="0" borderId="1" xfId="0" applyNumberFormat="1" applyFont="1" applyBorder="1" applyAlignment="1"/>
    <xf numFmtId="165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/>
    <xf numFmtId="166" fontId="3" fillId="0" borderId="1" xfId="0" applyNumberFormat="1" applyFont="1" applyBorder="1" applyAlignment="1"/>
    <xf numFmtId="166" fontId="4" fillId="0" borderId="1" xfId="0" applyNumberFormat="1" applyFont="1" applyBorder="1"/>
    <xf numFmtId="0" fontId="3" fillId="0" borderId="1" xfId="0" applyFont="1" applyBorder="1" applyAlignment="1"/>
    <xf numFmtId="167" fontId="4" fillId="0" borderId="0" xfId="0" applyNumberFormat="1" applyFont="1" applyAlignment="1"/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7" fontId="4" fillId="0" borderId="1" xfId="0" applyNumberFormat="1" applyFont="1" applyBorder="1"/>
    <xf numFmtId="0" fontId="4" fillId="0" borderId="1" xfId="0" applyFont="1" applyBorder="1" applyAlignment="1"/>
    <xf numFmtId="167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/>
    <xf numFmtId="167" fontId="4" fillId="0" borderId="2" xfId="0" applyNumberFormat="1" applyFont="1" applyBorder="1" applyAlignment="1"/>
    <xf numFmtId="0" fontId="0" fillId="0" borderId="2" xfId="0" applyFont="1" applyBorder="1" applyAlignment="1"/>
    <xf numFmtId="167" fontId="4" fillId="0" borderId="2" xfId="0" applyNumberFormat="1" applyFont="1" applyBorder="1"/>
    <xf numFmtId="166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Plot!$B$2:$B$10</c:f>
              <c:numCache>
                <c:formatCode>0.000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</c:numCache>
            </c:numRef>
          </c:cat>
          <c:val>
            <c:numRef>
              <c:f>Plot!$E$2:$E$10</c:f>
              <c:numCache>
                <c:formatCode>0.000</c:formatCode>
                <c:ptCount val="9"/>
                <c:pt idx="0">
                  <c:v>0.16189999999999999</c:v>
                </c:pt>
                <c:pt idx="1">
                  <c:v>0.17415</c:v>
                </c:pt>
                <c:pt idx="2">
                  <c:v>0.21934999999999999</c:v>
                </c:pt>
                <c:pt idx="3">
                  <c:v>0.24360000000000001</c:v>
                </c:pt>
                <c:pt idx="4">
                  <c:v>0.2437</c:v>
                </c:pt>
                <c:pt idx="5">
                  <c:v>0.25729999999999997</c:v>
                </c:pt>
                <c:pt idx="6">
                  <c:v>0.33584999999999998</c:v>
                </c:pt>
                <c:pt idx="7">
                  <c:v>0.36704999999999999</c:v>
                </c:pt>
                <c:pt idx="8">
                  <c:v>0.57599999999999996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92-EA41-BE3D-9823A0C36FFF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Plot!$B$2:$B$10</c:f>
              <c:numCache>
                <c:formatCode>0.000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</c:numCache>
            </c:numRef>
          </c:cat>
          <c:val>
            <c:numRef>
              <c:f>Plot!$U$2:$U$10</c:f>
              <c:numCache>
                <c:formatCode>0.0000</c:formatCode>
                <c:ptCount val="9"/>
                <c:pt idx="0">
                  <c:v>0.17415</c:v>
                </c:pt>
                <c:pt idx="1">
                  <c:v>0.21934999999999999</c:v>
                </c:pt>
                <c:pt idx="2">
                  <c:v>0.24360000000000001</c:v>
                </c:pt>
                <c:pt idx="3">
                  <c:v>0.2437</c:v>
                </c:pt>
                <c:pt idx="4">
                  <c:v>0.25729999999999997</c:v>
                </c:pt>
                <c:pt idx="5">
                  <c:v>0.33584999999999998</c:v>
                </c:pt>
                <c:pt idx="6">
                  <c:v>0.36704999999999999</c:v>
                </c:pt>
                <c:pt idx="7">
                  <c:v>0.57599999999999996</c:v>
                </c:pt>
                <c:pt idx="8">
                  <c:v>0.16189999999999999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892-EA41-BE3D-9823A0C3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61453"/>
        <c:axId val="254646347"/>
      </c:lineChart>
      <c:catAx>
        <c:axId val="155861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4646347"/>
        <c:crosses val="autoZero"/>
        <c:auto val="1"/>
        <c:lblAlgn val="ctr"/>
        <c:lblOffset val="100"/>
        <c:noMultiLvlLbl val="1"/>
      </c:catAx>
      <c:valAx>
        <c:axId val="254646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8614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15</xdr:row>
      <xdr:rowOff>180975</xdr:rowOff>
    </xdr:from>
    <xdr:ext cx="6915150" cy="38385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15</xdr:row>
      <xdr:rowOff>76200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02"/>
  <sheetViews>
    <sheetView workbookViewId="0">
      <selection sqref="A1:XFD1048576"/>
    </sheetView>
  </sheetViews>
  <sheetFormatPr baseColWidth="10" defaultColWidth="12.6640625" defaultRowHeight="15.75" customHeight="1" x14ac:dyDescent="0.15"/>
  <cols>
    <col min="1" max="1" width="29.83203125" bestFit="1" customWidth="1"/>
    <col min="2" max="2" width="12.1640625" bestFit="1" customWidth="1"/>
    <col min="4" max="4" width="12" bestFit="1" customWidth="1"/>
    <col min="5" max="5" width="7.1640625" bestFit="1" customWidth="1"/>
    <col min="6" max="6" width="10.5" bestFit="1" customWidth="1"/>
    <col min="7" max="7" width="11.6640625" bestFit="1" customWidth="1"/>
  </cols>
  <sheetData>
    <row r="2" spans="1:7" ht="15.75" customHeight="1" x14ac:dyDescent="0.15">
      <c r="A2" s="1" t="s">
        <v>0</v>
      </c>
      <c r="B2" s="2"/>
      <c r="C2" s="2"/>
      <c r="D2" s="2"/>
      <c r="E2" s="2"/>
      <c r="F2" s="2"/>
      <c r="G2" s="2"/>
    </row>
    <row r="3" spans="1:7" ht="15.75" customHeight="1" x14ac:dyDescent="0.15">
      <c r="A3" s="1" t="s">
        <v>1</v>
      </c>
      <c r="B3" s="2"/>
      <c r="C3" s="2"/>
      <c r="D3" s="2"/>
      <c r="E3" s="2"/>
      <c r="F3" s="2"/>
      <c r="G3" s="2"/>
    </row>
    <row r="4" spans="1:7" ht="15.75" customHeight="1" x14ac:dyDescent="0.15">
      <c r="A4" s="3">
        <v>44846.562222222223</v>
      </c>
      <c r="B4" s="2"/>
      <c r="C4" s="2"/>
      <c r="D4" s="2"/>
      <c r="E4" s="2"/>
      <c r="F4" s="2"/>
      <c r="G4" s="2"/>
    </row>
    <row r="5" spans="1:7" ht="15.75" customHeight="1" x14ac:dyDescent="0.15">
      <c r="A5" s="2"/>
      <c r="B5" s="2"/>
      <c r="C5" s="2"/>
      <c r="D5" s="2"/>
      <c r="E5" s="2"/>
      <c r="F5" s="2"/>
      <c r="G5" s="2"/>
    </row>
    <row r="6" spans="1:7" ht="15.75" customHeight="1" x14ac:dyDescent="0.15">
      <c r="A6" s="1" t="s">
        <v>2</v>
      </c>
      <c r="B6" s="2"/>
      <c r="C6" s="2"/>
      <c r="D6" s="2"/>
      <c r="E6" s="2"/>
      <c r="F6" s="2"/>
      <c r="G6" s="2"/>
    </row>
    <row r="7" spans="1:7" ht="15.75" customHeight="1" x14ac:dyDescent="0.15">
      <c r="A7" s="2"/>
      <c r="B7" s="2"/>
      <c r="C7" s="2"/>
      <c r="D7" s="2"/>
      <c r="E7" s="2"/>
      <c r="F7" s="2"/>
      <c r="G7" s="2"/>
    </row>
    <row r="8" spans="1:7" ht="15.75" customHeight="1" x14ac:dyDescent="0.15">
      <c r="A8" s="1" t="s">
        <v>3</v>
      </c>
      <c r="B8" s="2"/>
      <c r="C8" s="2"/>
      <c r="D8" s="2"/>
      <c r="E8" s="2"/>
      <c r="F8" s="2"/>
      <c r="G8" s="2"/>
    </row>
    <row r="9" spans="1:7" ht="15.75" customHeight="1" x14ac:dyDescent="0.15">
      <c r="A9" s="1" t="s">
        <v>4</v>
      </c>
      <c r="B9" s="2"/>
      <c r="C9" s="2"/>
      <c r="D9" s="2"/>
      <c r="E9" s="2"/>
      <c r="F9" s="2"/>
      <c r="G9" s="2"/>
    </row>
    <row r="10" spans="1:7" ht="15.75" customHeight="1" x14ac:dyDescent="0.15">
      <c r="A10" s="1" t="s">
        <v>5</v>
      </c>
      <c r="B10" s="2"/>
      <c r="C10" s="2"/>
      <c r="D10" s="2"/>
      <c r="E10" s="2"/>
      <c r="F10" s="2"/>
      <c r="G10" s="2"/>
    </row>
    <row r="11" spans="1:7" ht="15.75" customHeight="1" x14ac:dyDescent="0.15">
      <c r="A11" s="1" t="s">
        <v>6</v>
      </c>
      <c r="B11" s="2"/>
      <c r="C11" s="2"/>
      <c r="D11" s="2"/>
      <c r="E11" s="2"/>
      <c r="F11" s="2"/>
      <c r="G11" s="2"/>
    </row>
    <row r="12" spans="1:7" ht="15.75" customHeight="1" x14ac:dyDescent="0.15">
      <c r="A12" s="1" t="s">
        <v>7</v>
      </c>
      <c r="B12" s="2"/>
      <c r="C12" s="2"/>
      <c r="D12" s="2"/>
      <c r="E12" s="2"/>
      <c r="F12" s="2"/>
      <c r="G12" s="2"/>
    </row>
    <row r="13" spans="1:7" ht="15.75" customHeight="1" x14ac:dyDescent="0.15">
      <c r="A13" s="1" t="s">
        <v>8</v>
      </c>
      <c r="B13" s="2"/>
      <c r="C13" s="2"/>
      <c r="D13" s="2"/>
      <c r="E13" s="2"/>
      <c r="F13" s="2"/>
      <c r="G13" s="2"/>
    </row>
    <row r="14" spans="1:7" ht="15.75" customHeight="1" x14ac:dyDescent="0.15">
      <c r="A14" s="2"/>
      <c r="B14" s="2"/>
      <c r="C14" s="2"/>
      <c r="D14" s="2"/>
      <c r="E14" s="2"/>
      <c r="F14" s="2"/>
      <c r="G14" s="2"/>
    </row>
    <row r="15" spans="1:7" ht="15.75" customHeight="1" x14ac:dyDescent="0.15">
      <c r="A15" s="1" t="s">
        <v>9</v>
      </c>
      <c r="B15" s="2"/>
      <c r="C15" s="2"/>
      <c r="D15" s="2"/>
      <c r="E15" s="2"/>
      <c r="F15" s="2"/>
      <c r="G15" s="2"/>
    </row>
    <row r="16" spans="1:7" ht="15.75" customHeight="1" x14ac:dyDescent="0.15">
      <c r="A16" s="2"/>
      <c r="B16" s="2"/>
      <c r="C16" s="2"/>
      <c r="D16" s="2"/>
      <c r="E16" s="2"/>
      <c r="F16" s="2"/>
      <c r="G16" s="2"/>
    </row>
    <row r="17" spans="1:7" ht="15.75" customHeight="1" x14ac:dyDescent="0.15">
      <c r="A17" s="2"/>
      <c r="B17" s="2"/>
      <c r="C17" s="2"/>
      <c r="D17" s="2"/>
      <c r="E17" s="2"/>
      <c r="F17" s="2"/>
      <c r="G17" s="2"/>
    </row>
    <row r="18" spans="1:7" ht="15.75" customHeight="1" x14ac:dyDescent="0.15">
      <c r="A18" s="4"/>
      <c r="B18" s="2"/>
      <c r="C18" s="2"/>
      <c r="D18" s="2"/>
      <c r="E18" s="2"/>
      <c r="F18" s="2"/>
      <c r="G18" s="2"/>
    </row>
    <row r="19" spans="1:7" ht="15.75" customHeight="1" x14ac:dyDescent="0.15">
      <c r="A19" s="2"/>
      <c r="B19" s="2"/>
      <c r="C19" s="2"/>
      <c r="D19" s="2"/>
      <c r="E19" s="2"/>
      <c r="F19" s="2"/>
      <c r="G19" s="2"/>
    </row>
    <row r="20" spans="1:7" ht="15.75" customHeight="1" x14ac:dyDescent="0.15">
      <c r="A20" s="2"/>
      <c r="B20" s="2"/>
      <c r="C20" s="2"/>
      <c r="D20" s="2"/>
      <c r="E20" s="2"/>
      <c r="F20" s="2"/>
      <c r="G20" s="2"/>
    </row>
    <row r="21" spans="1:7" ht="15.75" customHeight="1" x14ac:dyDescent="0.15">
      <c r="A21" s="2"/>
      <c r="B21" s="2"/>
      <c r="C21" s="2"/>
      <c r="D21" s="2"/>
      <c r="E21" s="2"/>
      <c r="F21" s="2"/>
      <c r="G21" s="2"/>
    </row>
    <row r="22" spans="1:7" ht="15.75" customHeight="1" x14ac:dyDescent="0.15">
      <c r="A22" s="2"/>
      <c r="B22" s="2"/>
      <c r="C22" s="2"/>
      <c r="D22" s="2"/>
      <c r="E22" s="2"/>
      <c r="F22" s="2"/>
      <c r="G22" s="2"/>
    </row>
    <row r="23" spans="1:7" ht="15.75" customHeight="1" x14ac:dyDescent="0.15">
      <c r="A23" s="2"/>
      <c r="B23" s="2"/>
      <c r="C23" s="2"/>
      <c r="D23" s="2"/>
      <c r="E23" s="2"/>
      <c r="F23" s="2"/>
      <c r="G23" s="2"/>
    </row>
    <row r="24" spans="1:7" ht="15.75" customHeight="1" x14ac:dyDescent="0.15">
      <c r="A24" s="2"/>
      <c r="B24" s="2"/>
      <c r="C24" s="2"/>
      <c r="D24" s="2"/>
      <c r="E24" s="2"/>
      <c r="F24" s="2"/>
      <c r="G24" s="2"/>
    </row>
    <row r="25" spans="1:7" ht="15.75" customHeight="1" x14ac:dyDescent="0.15">
      <c r="A25" s="2"/>
      <c r="B25" s="2"/>
      <c r="C25" s="2"/>
      <c r="D25" s="2"/>
      <c r="E25" s="2"/>
      <c r="F25" s="2"/>
      <c r="G25" s="2"/>
    </row>
    <row r="26" spans="1:7" ht="15.75" customHeight="1" x14ac:dyDescent="0.15">
      <c r="A26" s="2"/>
      <c r="B26" s="2"/>
      <c r="C26" s="2"/>
      <c r="D26" s="2"/>
      <c r="E26" s="2"/>
      <c r="F26" s="2"/>
      <c r="G26" s="2"/>
    </row>
    <row r="27" spans="1:7" ht="15.75" customHeight="1" x14ac:dyDescent="0.15">
      <c r="A27" s="2"/>
      <c r="B27" s="2"/>
      <c r="C27" s="2"/>
      <c r="D27" s="2"/>
      <c r="E27" s="2"/>
      <c r="F27" s="2"/>
      <c r="G27" s="2"/>
    </row>
    <row r="28" spans="1:7" ht="15.75" customHeight="1" x14ac:dyDescent="0.15">
      <c r="A28" s="2"/>
      <c r="B28" s="2"/>
      <c r="C28" s="2"/>
      <c r="D28" s="2"/>
      <c r="E28" s="2"/>
      <c r="F28" s="2"/>
      <c r="G28" s="2"/>
    </row>
    <row r="29" spans="1:7" ht="15.75" customHeight="1" x14ac:dyDescent="0.15">
      <c r="A29" s="2"/>
      <c r="B29" s="2"/>
      <c r="C29" s="2"/>
      <c r="D29" s="2"/>
      <c r="E29" s="2"/>
      <c r="F29" s="2"/>
      <c r="G29" s="2"/>
    </row>
    <row r="30" spans="1:7" ht="15.75" customHeight="1" x14ac:dyDescent="0.15">
      <c r="A30" s="2"/>
      <c r="B30" s="2"/>
      <c r="C30" s="2"/>
      <c r="D30" s="2"/>
      <c r="E30" s="2"/>
      <c r="F30" s="2"/>
      <c r="G30" s="2"/>
    </row>
    <row r="31" spans="1:7" ht="15.75" customHeight="1" x14ac:dyDescent="0.15">
      <c r="A31" s="2"/>
      <c r="B31" s="2"/>
      <c r="C31" s="2"/>
      <c r="D31" s="2"/>
      <c r="E31" s="2"/>
      <c r="F31" s="2"/>
      <c r="G31" s="2"/>
    </row>
    <row r="32" spans="1:7" ht="15.75" customHeight="1" x14ac:dyDescent="0.15">
      <c r="A32" s="2"/>
      <c r="B32" s="2"/>
      <c r="C32" s="2"/>
      <c r="D32" s="2"/>
      <c r="E32" s="2"/>
      <c r="F32" s="2"/>
      <c r="G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  <c r="D34" s="2"/>
      <c r="E34" s="2"/>
      <c r="F34" s="2"/>
      <c r="G34" s="2"/>
    </row>
    <row r="35" spans="1:7" ht="15.75" customHeight="1" x14ac:dyDescent="0.15">
      <c r="A35" s="2"/>
      <c r="B35" s="2"/>
      <c r="C35" s="2"/>
      <c r="D35" s="2"/>
      <c r="E35" s="2"/>
      <c r="F35" s="2"/>
      <c r="G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  <row r="37" spans="1:7" ht="15.75" customHeight="1" x14ac:dyDescent="0.15">
      <c r="A37" s="2"/>
      <c r="B37" s="2"/>
      <c r="C37" s="2"/>
      <c r="D37" s="2"/>
      <c r="E37" s="2"/>
      <c r="F37" s="2"/>
      <c r="G37" s="2"/>
    </row>
    <row r="38" spans="1:7" ht="15.75" customHeight="1" x14ac:dyDescent="0.15">
      <c r="A38" s="2"/>
      <c r="B38" s="2"/>
      <c r="C38" s="2"/>
      <c r="D38" s="2"/>
      <c r="E38" s="2"/>
      <c r="F38" s="2"/>
      <c r="G38" s="2"/>
    </row>
    <row r="39" spans="1:7" ht="15.75" customHeight="1" x14ac:dyDescent="0.15">
      <c r="A39" s="1" t="s">
        <v>10</v>
      </c>
      <c r="B39" s="2"/>
      <c r="C39" s="2"/>
      <c r="D39" s="2"/>
      <c r="E39" s="2"/>
      <c r="F39" s="2"/>
      <c r="G39" s="2"/>
    </row>
    <row r="40" spans="1:7" ht="15.75" customHeight="1" x14ac:dyDescent="0.15">
      <c r="A40" s="2"/>
      <c r="B40" s="2"/>
      <c r="C40" s="2"/>
      <c r="D40" s="2"/>
      <c r="E40" s="2"/>
      <c r="F40" s="2"/>
      <c r="G40" s="2"/>
    </row>
    <row r="41" spans="1:7" ht="13" x14ac:dyDescent="0.15">
      <c r="A41" s="1" t="s">
        <v>11</v>
      </c>
      <c r="B41" s="2"/>
      <c r="C41" s="2"/>
      <c r="D41" s="2"/>
      <c r="E41" s="2"/>
      <c r="F41" s="2"/>
      <c r="G41" s="2"/>
    </row>
    <row r="42" spans="1:7" ht="13" x14ac:dyDescent="0.15">
      <c r="A42" s="1" t="s">
        <v>12</v>
      </c>
      <c r="B42" s="2"/>
      <c r="C42" s="2"/>
      <c r="D42" s="2"/>
      <c r="E42" s="2"/>
      <c r="F42" s="2"/>
      <c r="G42" s="2"/>
    </row>
    <row r="43" spans="1:7" ht="13" x14ac:dyDescent="0.15">
      <c r="A43" s="1" t="s">
        <v>13</v>
      </c>
      <c r="B43" s="5">
        <v>2.0513595220854501E-4</v>
      </c>
      <c r="C43" s="2"/>
      <c r="D43" s="2"/>
      <c r="E43" s="2"/>
      <c r="F43" s="2"/>
      <c r="G43" s="2"/>
    </row>
    <row r="44" spans="1:7" ht="13" x14ac:dyDescent="0.15">
      <c r="A44" s="1" t="s">
        <v>14</v>
      </c>
      <c r="B44" s="5">
        <v>0.16574216147719001</v>
      </c>
      <c r="C44" s="2"/>
      <c r="D44" s="2"/>
      <c r="E44" s="2"/>
      <c r="F44" s="2"/>
      <c r="G44" s="2"/>
    </row>
    <row r="45" spans="1:7" ht="13" x14ac:dyDescent="0.15">
      <c r="A45" s="2"/>
      <c r="B45" s="2"/>
      <c r="C45" s="2"/>
      <c r="D45" s="2"/>
      <c r="E45" s="2"/>
      <c r="F45" s="2"/>
      <c r="G45" s="2"/>
    </row>
    <row r="46" spans="1:7" ht="13" x14ac:dyDescent="0.15">
      <c r="A46" s="1" t="s">
        <v>15</v>
      </c>
      <c r="B46" s="2"/>
      <c r="C46" s="2"/>
      <c r="D46" s="2"/>
      <c r="E46" s="2"/>
      <c r="F46" s="2"/>
      <c r="G46" s="2"/>
    </row>
    <row r="47" spans="1:7" ht="13" x14ac:dyDescent="0.15">
      <c r="A47" s="2"/>
      <c r="B47" s="2"/>
      <c r="C47" s="2"/>
      <c r="D47" s="2"/>
      <c r="E47" s="2"/>
      <c r="F47" s="2"/>
      <c r="G47" s="2"/>
    </row>
    <row r="48" spans="1:7" ht="13" x14ac:dyDescent="0.15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</row>
    <row r="49" spans="1:7" ht="13" x14ac:dyDescent="0.15">
      <c r="A49" s="1" t="s">
        <v>23</v>
      </c>
      <c r="B49" s="1" t="s">
        <v>24</v>
      </c>
      <c r="C49" s="5">
        <v>100</v>
      </c>
      <c r="D49" s="5">
        <v>0.17419999999999999</v>
      </c>
      <c r="E49" s="5">
        <v>4.3449999999999998</v>
      </c>
      <c r="F49" s="5">
        <v>0.18629999999999999</v>
      </c>
      <c r="G49" s="5">
        <v>-1.2109999999999999E-2</v>
      </c>
    </row>
    <row r="50" spans="1:7" ht="13" x14ac:dyDescent="0.15">
      <c r="A50" s="1" t="s">
        <v>25</v>
      </c>
      <c r="B50" s="1" t="s">
        <v>24</v>
      </c>
      <c r="C50" s="5">
        <v>100</v>
      </c>
      <c r="D50" s="5">
        <v>0.16880000000000001</v>
      </c>
      <c r="E50" s="2"/>
      <c r="F50" s="5">
        <v>0.18629999999999999</v>
      </c>
      <c r="G50" s="5">
        <v>-1.746E-2</v>
      </c>
    </row>
    <row r="51" spans="1:7" ht="13" x14ac:dyDescent="0.15">
      <c r="A51" s="1" t="s">
        <v>26</v>
      </c>
      <c r="B51" s="1" t="s">
        <v>24</v>
      </c>
      <c r="C51" s="5">
        <v>100</v>
      </c>
      <c r="D51" s="5">
        <v>0.17949999999999999</v>
      </c>
      <c r="E51" s="2"/>
      <c r="F51" s="5">
        <v>0.18629999999999999</v>
      </c>
      <c r="G51" s="5">
        <v>-6.7559999999999999E-3</v>
      </c>
    </row>
    <row r="52" spans="1:7" ht="13" x14ac:dyDescent="0.15">
      <c r="A52" s="1" t="s">
        <v>23</v>
      </c>
      <c r="B52" s="1" t="s">
        <v>27</v>
      </c>
      <c r="C52" s="5">
        <v>200</v>
      </c>
      <c r="D52" s="5">
        <v>0.21940000000000001</v>
      </c>
      <c r="E52" s="5">
        <v>1.5149999999999999</v>
      </c>
      <c r="F52" s="5">
        <v>0.20680000000000001</v>
      </c>
      <c r="G52" s="5">
        <v>1.2579999999999999E-2</v>
      </c>
    </row>
    <row r="53" spans="1:7" ht="13" x14ac:dyDescent="0.15">
      <c r="A53" s="1" t="s">
        <v>28</v>
      </c>
      <c r="B53" s="1" t="s">
        <v>27</v>
      </c>
      <c r="C53" s="5">
        <v>200</v>
      </c>
      <c r="D53" s="5">
        <v>0.217</v>
      </c>
      <c r="E53" s="2"/>
      <c r="F53" s="5">
        <v>0.20680000000000001</v>
      </c>
      <c r="G53" s="5">
        <v>1.023E-2</v>
      </c>
    </row>
    <row r="54" spans="1:7" ht="13" x14ac:dyDescent="0.15">
      <c r="A54" s="1" t="s">
        <v>29</v>
      </c>
      <c r="B54" s="1" t="s">
        <v>27</v>
      </c>
      <c r="C54" s="5">
        <v>200</v>
      </c>
      <c r="D54" s="5">
        <v>0.22170000000000001</v>
      </c>
      <c r="E54" s="2"/>
      <c r="F54" s="5">
        <v>0.20680000000000001</v>
      </c>
      <c r="G54" s="5">
        <v>1.4930000000000001E-2</v>
      </c>
    </row>
    <row r="55" spans="1:7" ht="13" x14ac:dyDescent="0.15">
      <c r="A55" s="1" t="s">
        <v>23</v>
      </c>
      <c r="B55" s="1" t="s">
        <v>30</v>
      </c>
      <c r="C55" s="5">
        <v>300</v>
      </c>
      <c r="D55" s="5">
        <v>0.24360000000000001</v>
      </c>
      <c r="E55" s="5">
        <v>4.76</v>
      </c>
      <c r="F55" s="5">
        <v>0.2273</v>
      </c>
      <c r="G55" s="5">
        <v>1.6320000000000001E-2</v>
      </c>
    </row>
    <row r="56" spans="1:7" ht="13" x14ac:dyDescent="0.15">
      <c r="A56" s="1" t="s">
        <v>31</v>
      </c>
      <c r="B56" s="1" t="s">
        <v>30</v>
      </c>
      <c r="C56" s="5">
        <v>300</v>
      </c>
      <c r="D56" s="5">
        <v>0.25180000000000002</v>
      </c>
      <c r="E56" s="2"/>
      <c r="F56" s="5">
        <v>0.2273</v>
      </c>
      <c r="G56" s="5">
        <v>2.452E-2</v>
      </c>
    </row>
    <row r="57" spans="1:7" ht="13" x14ac:dyDescent="0.15">
      <c r="A57" s="1" t="s">
        <v>32</v>
      </c>
      <c r="B57" s="1" t="s">
        <v>30</v>
      </c>
      <c r="C57" s="5">
        <v>300</v>
      </c>
      <c r="D57" s="5">
        <v>0.2354</v>
      </c>
      <c r="E57" s="2"/>
      <c r="F57" s="5">
        <v>0.2273</v>
      </c>
      <c r="G57" s="5">
        <v>8.1169999999999992E-3</v>
      </c>
    </row>
    <row r="58" spans="1:7" ht="13" x14ac:dyDescent="0.15">
      <c r="A58" s="1" t="s">
        <v>23</v>
      </c>
      <c r="B58" s="1" t="s">
        <v>33</v>
      </c>
      <c r="C58" s="5">
        <v>400</v>
      </c>
      <c r="D58" s="5">
        <v>0.2437</v>
      </c>
      <c r="E58" s="5">
        <v>5.9770000000000003</v>
      </c>
      <c r="F58" s="5">
        <v>0.24779999999999999</v>
      </c>
      <c r="G58" s="5">
        <v>-4.0969999999999999E-3</v>
      </c>
    </row>
    <row r="59" spans="1:7" ht="13" x14ac:dyDescent="0.15">
      <c r="A59" s="1" t="s">
        <v>34</v>
      </c>
      <c r="B59" s="1" t="s">
        <v>33</v>
      </c>
      <c r="C59" s="5">
        <v>400</v>
      </c>
      <c r="D59" s="5">
        <v>0.254</v>
      </c>
      <c r="E59" s="2"/>
      <c r="F59" s="5">
        <v>0.24779999999999999</v>
      </c>
      <c r="G59" s="5">
        <v>6.2030000000000002E-3</v>
      </c>
    </row>
    <row r="60" spans="1:7" ht="13" x14ac:dyDescent="0.15">
      <c r="A60" s="1" t="s">
        <v>35</v>
      </c>
      <c r="B60" s="1" t="s">
        <v>33</v>
      </c>
      <c r="C60" s="5">
        <v>400</v>
      </c>
      <c r="D60" s="5">
        <v>0.2334</v>
      </c>
      <c r="E60" s="2"/>
      <c r="F60" s="5">
        <v>0.24779999999999999</v>
      </c>
      <c r="G60" s="5">
        <v>-1.44E-2</v>
      </c>
    </row>
    <row r="61" spans="1:7" ht="13" x14ac:dyDescent="0.15">
      <c r="A61" s="1" t="s">
        <v>23</v>
      </c>
      <c r="B61" s="1" t="s">
        <v>36</v>
      </c>
      <c r="C61" s="5">
        <v>500</v>
      </c>
      <c r="D61" s="5">
        <v>0.25729999999999997</v>
      </c>
      <c r="E61" s="5">
        <v>0.32979999999999998</v>
      </c>
      <c r="F61" s="5">
        <v>0.26829999999999998</v>
      </c>
      <c r="G61" s="5">
        <v>-1.1010000000000001E-2</v>
      </c>
    </row>
    <row r="62" spans="1:7" ht="13" x14ac:dyDescent="0.15">
      <c r="A62" s="1" t="s">
        <v>37</v>
      </c>
      <c r="B62" s="1" t="s">
        <v>36</v>
      </c>
      <c r="C62" s="5">
        <v>500</v>
      </c>
      <c r="D62" s="5">
        <v>0.25669999999999998</v>
      </c>
      <c r="E62" s="2"/>
      <c r="F62" s="5">
        <v>0.26829999999999998</v>
      </c>
      <c r="G62" s="5">
        <v>-1.1610000000000001E-2</v>
      </c>
    </row>
    <row r="63" spans="1:7" ht="13" x14ac:dyDescent="0.15">
      <c r="A63" s="1" t="s">
        <v>38</v>
      </c>
      <c r="B63" s="1" t="s">
        <v>36</v>
      </c>
      <c r="C63" s="5">
        <v>500</v>
      </c>
      <c r="D63" s="5">
        <v>0.25790000000000002</v>
      </c>
      <c r="E63" s="2"/>
      <c r="F63" s="5">
        <v>0.26829999999999998</v>
      </c>
      <c r="G63" s="5">
        <v>-1.0410000000000001E-2</v>
      </c>
    </row>
    <row r="64" spans="1:7" ht="13" x14ac:dyDescent="0.15">
      <c r="A64" s="1" t="s">
        <v>23</v>
      </c>
      <c r="B64" s="1" t="s">
        <v>39</v>
      </c>
      <c r="C64" s="5">
        <v>800</v>
      </c>
      <c r="D64" s="5">
        <v>0.33589999999999998</v>
      </c>
      <c r="E64" s="5">
        <v>4.569</v>
      </c>
      <c r="F64" s="5">
        <v>0.32990000000000003</v>
      </c>
      <c r="G64" s="5">
        <v>5.999E-3</v>
      </c>
    </row>
    <row r="65" spans="1:7" ht="13" x14ac:dyDescent="0.15">
      <c r="A65" s="1" t="s">
        <v>40</v>
      </c>
      <c r="B65" s="1" t="s">
        <v>39</v>
      </c>
      <c r="C65" s="5">
        <v>800</v>
      </c>
      <c r="D65" s="5">
        <v>0.32500000000000001</v>
      </c>
      <c r="E65" s="2"/>
      <c r="F65" s="5">
        <v>0.32990000000000003</v>
      </c>
      <c r="G65" s="5">
        <v>-4.8510000000000003E-3</v>
      </c>
    </row>
    <row r="66" spans="1:7" ht="13" x14ac:dyDescent="0.15">
      <c r="A66" s="1" t="s">
        <v>41</v>
      </c>
      <c r="B66" s="1" t="s">
        <v>39</v>
      </c>
      <c r="C66" s="5">
        <v>800</v>
      </c>
      <c r="D66" s="5">
        <v>0.34670000000000001</v>
      </c>
      <c r="E66" s="2"/>
      <c r="F66" s="5">
        <v>0.32990000000000003</v>
      </c>
      <c r="G66" s="5">
        <v>1.685E-2</v>
      </c>
    </row>
    <row r="67" spans="1:7" ht="13" x14ac:dyDescent="0.15">
      <c r="A67" s="1" t="s">
        <v>23</v>
      </c>
      <c r="B67" s="1" t="s">
        <v>42</v>
      </c>
      <c r="C67" s="5">
        <v>1000</v>
      </c>
      <c r="D67" s="5">
        <v>0.36709999999999998</v>
      </c>
      <c r="E67" s="5">
        <v>4.0650000000000004</v>
      </c>
      <c r="F67" s="5">
        <v>0.37090000000000001</v>
      </c>
      <c r="G67" s="5">
        <v>-3.8279999999999998E-3</v>
      </c>
    </row>
    <row r="68" spans="1:7" ht="13" x14ac:dyDescent="0.15">
      <c r="A68" s="1" t="s">
        <v>43</v>
      </c>
      <c r="B68" s="1" t="s">
        <v>42</v>
      </c>
      <c r="C68" s="5">
        <v>1000</v>
      </c>
      <c r="D68" s="5">
        <v>0.35649999999999998</v>
      </c>
      <c r="E68" s="2"/>
      <c r="F68" s="5">
        <v>0.37090000000000001</v>
      </c>
      <c r="G68" s="5">
        <v>-1.438E-2</v>
      </c>
    </row>
    <row r="69" spans="1:7" ht="13" x14ac:dyDescent="0.15">
      <c r="A69" s="1" t="s">
        <v>44</v>
      </c>
      <c r="B69" s="1" t="s">
        <v>42</v>
      </c>
      <c r="C69" s="5">
        <v>1000</v>
      </c>
      <c r="D69" s="5">
        <v>0.37759999999999999</v>
      </c>
      <c r="E69" s="2"/>
      <c r="F69" s="5">
        <v>0.37090000000000001</v>
      </c>
      <c r="G69" s="5">
        <v>6.7219999999999997E-3</v>
      </c>
    </row>
    <row r="70" spans="1:7" ht="13" x14ac:dyDescent="0.15">
      <c r="A70" s="1" t="s">
        <v>23</v>
      </c>
      <c r="B70" s="1" t="s">
        <v>45</v>
      </c>
      <c r="C70" s="5">
        <v>2000</v>
      </c>
      <c r="D70" s="5">
        <v>0.57599999999999996</v>
      </c>
      <c r="E70" s="5">
        <v>0.73660000000000003</v>
      </c>
      <c r="F70" s="5">
        <v>0.57599999999999996</v>
      </c>
      <c r="G70" s="5">
        <v>-1.4070000000000001E-5</v>
      </c>
    </row>
    <row r="71" spans="1:7" ht="13" x14ac:dyDescent="0.15">
      <c r="A71" s="1" t="s">
        <v>46</v>
      </c>
      <c r="B71" s="1" t="s">
        <v>45</v>
      </c>
      <c r="C71" s="5">
        <v>2000</v>
      </c>
      <c r="D71" s="5">
        <v>0.57299999999999995</v>
      </c>
      <c r="E71" s="2"/>
      <c r="F71" s="5">
        <v>0.57599999999999996</v>
      </c>
      <c r="G71" s="5">
        <v>-3.0140000000000002E-3</v>
      </c>
    </row>
    <row r="72" spans="1:7" ht="13" x14ac:dyDescent="0.15">
      <c r="A72" s="1" t="s">
        <v>47</v>
      </c>
      <c r="B72" s="1" t="s">
        <v>45</v>
      </c>
      <c r="C72" s="5">
        <v>2000</v>
      </c>
      <c r="D72" s="5">
        <v>0.57899999999999996</v>
      </c>
      <c r="E72" s="2"/>
      <c r="F72" s="5">
        <v>0.57599999999999996</v>
      </c>
      <c r="G72" s="5">
        <v>2.9859999999999999E-3</v>
      </c>
    </row>
    <row r="73" spans="1:7" ht="13" x14ac:dyDescent="0.15">
      <c r="A73" s="1" t="s">
        <v>23</v>
      </c>
      <c r="B73" s="1" t="s">
        <v>48</v>
      </c>
      <c r="C73" s="5">
        <v>0</v>
      </c>
      <c r="D73" s="5">
        <v>0.16189999999999999</v>
      </c>
      <c r="E73" s="5">
        <v>2.7080000000000002</v>
      </c>
      <c r="F73" s="5">
        <v>0.16569999999999999</v>
      </c>
      <c r="G73" s="5">
        <v>-3.8419999999999999E-3</v>
      </c>
    </row>
    <row r="74" spans="1:7" ht="13" x14ac:dyDescent="0.15">
      <c r="A74" s="1" t="s">
        <v>49</v>
      </c>
      <c r="B74" s="1" t="s">
        <v>48</v>
      </c>
      <c r="C74" s="5">
        <v>0</v>
      </c>
      <c r="D74" s="5">
        <v>0.16500000000000001</v>
      </c>
      <c r="E74" s="2"/>
      <c r="F74" s="5">
        <v>0.16569999999999999</v>
      </c>
      <c r="G74" s="5">
        <v>-7.4220000000000004E-4</v>
      </c>
    </row>
    <row r="75" spans="1:7" ht="13" x14ac:dyDescent="0.15">
      <c r="A75" s="1" t="s">
        <v>50</v>
      </c>
      <c r="B75" s="1" t="s">
        <v>48</v>
      </c>
      <c r="C75" s="5">
        <v>0</v>
      </c>
      <c r="D75" s="5">
        <v>0.1588</v>
      </c>
      <c r="E75" s="2"/>
      <c r="F75" s="5">
        <v>0.16569999999999999</v>
      </c>
      <c r="G75" s="5">
        <v>-6.9420000000000003E-3</v>
      </c>
    </row>
    <row r="76" spans="1:7" ht="13" x14ac:dyDescent="0.15">
      <c r="A76" s="2"/>
      <c r="B76" s="2"/>
      <c r="C76" s="2"/>
      <c r="D76" s="2"/>
      <c r="E76" s="2"/>
      <c r="F76" s="2"/>
      <c r="G76" s="2"/>
    </row>
    <row r="77" spans="1:7" ht="13" x14ac:dyDescent="0.15">
      <c r="A77" s="2"/>
      <c r="B77" s="2"/>
      <c r="C77" s="2"/>
      <c r="D77" s="2"/>
      <c r="E77" s="2"/>
      <c r="F77" s="2"/>
      <c r="G77" s="2"/>
    </row>
    <row r="78" spans="1:7" ht="13" x14ac:dyDescent="0.15">
      <c r="A78" s="1" t="s">
        <v>16</v>
      </c>
      <c r="B78" s="1" t="s">
        <v>51</v>
      </c>
      <c r="C78" s="1" t="s">
        <v>17</v>
      </c>
      <c r="D78" s="1" t="s">
        <v>52</v>
      </c>
      <c r="E78" s="1" t="s">
        <v>18</v>
      </c>
      <c r="F78" s="2"/>
      <c r="G78" s="2"/>
    </row>
    <row r="79" spans="1:7" ht="13" x14ac:dyDescent="0.15">
      <c r="A79" s="1" t="s">
        <v>49</v>
      </c>
      <c r="B79" s="1" t="s">
        <v>53</v>
      </c>
      <c r="C79" s="1" t="s">
        <v>48</v>
      </c>
      <c r="D79" s="5">
        <v>0.16500000000000001</v>
      </c>
      <c r="E79" s="1" t="s">
        <v>54</v>
      </c>
      <c r="F79" s="2"/>
      <c r="G79" s="2"/>
    </row>
    <row r="80" spans="1:7" ht="13" x14ac:dyDescent="0.15">
      <c r="A80" s="1" t="s">
        <v>50</v>
      </c>
      <c r="B80" s="1" t="s">
        <v>53</v>
      </c>
      <c r="C80" s="1" t="s">
        <v>48</v>
      </c>
      <c r="D80" s="5">
        <v>0.1588</v>
      </c>
      <c r="E80" s="1" t="s">
        <v>54</v>
      </c>
      <c r="F80" s="2"/>
      <c r="G80" s="2"/>
    </row>
    <row r="81" spans="1:7" ht="13" x14ac:dyDescent="0.15">
      <c r="A81" s="1" t="s">
        <v>46</v>
      </c>
      <c r="B81" s="1" t="s">
        <v>53</v>
      </c>
      <c r="C81" s="1" t="s">
        <v>45</v>
      </c>
      <c r="D81" s="5">
        <v>0.57299999999999995</v>
      </c>
      <c r="E81" s="5">
        <v>1985</v>
      </c>
      <c r="F81" s="2"/>
      <c r="G81" s="2"/>
    </row>
    <row r="82" spans="1:7" ht="13" x14ac:dyDescent="0.15">
      <c r="A82" s="1" t="s">
        <v>47</v>
      </c>
      <c r="B82" s="1" t="s">
        <v>53</v>
      </c>
      <c r="C82" s="1" t="s">
        <v>45</v>
      </c>
      <c r="D82" s="5">
        <v>0.57899999999999996</v>
      </c>
      <c r="E82" s="1" t="s">
        <v>55</v>
      </c>
      <c r="F82" s="2"/>
      <c r="G82" s="2"/>
    </row>
    <row r="83" spans="1:7" ht="13" x14ac:dyDescent="0.15">
      <c r="A83" s="1" t="s">
        <v>56</v>
      </c>
      <c r="B83" s="1" t="s">
        <v>57</v>
      </c>
      <c r="C83" s="1" t="s">
        <v>58</v>
      </c>
      <c r="D83" s="5">
        <v>0.16700000000000001</v>
      </c>
      <c r="E83" s="5">
        <v>6.1319999999999997</v>
      </c>
      <c r="F83" s="2"/>
      <c r="G83" s="2"/>
    </row>
    <row r="84" spans="1:7" ht="13" x14ac:dyDescent="0.15">
      <c r="A84" s="1" t="s">
        <v>59</v>
      </c>
      <c r="B84" s="1" t="s">
        <v>57</v>
      </c>
      <c r="C84" s="1" t="s">
        <v>58</v>
      </c>
      <c r="D84" s="5">
        <v>0.17910000000000001</v>
      </c>
      <c r="E84" s="5">
        <v>65.12</v>
      </c>
      <c r="F84" s="2"/>
      <c r="G84" s="2"/>
    </row>
    <row r="85" spans="1:7" ht="13" x14ac:dyDescent="0.15">
      <c r="A85" s="1" t="s">
        <v>26</v>
      </c>
      <c r="B85" s="1" t="s">
        <v>53</v>
      </c>
      <c r="C85" s="1" t="s">
        <v>24</v>
      </c>
      <c r="D85" s="5">
        <v>0.17949999999999999</v>
      </c>
      <c r="E85" s="5">
        <v>67.069999999999993</v>
      </c>
      <c r="F85" s="2"/>
      <c r="G85" s="2"/>
    </row>
    <row r="86" spans="1:7" ht="13" x14ac:dyDescent="0.15">
      <c r="A86" s="1" t="s">
        <v>25</v>
      </c>
      <c r="B86" s="1" t="s">
        <v>53</v>
      </c>
      <c r="C86" s="1" t="s">
        <v>24</v>
      </c>
      <c r="D86" s="5">
        <v>0.16880000000000001</v>
      </c>
      <c r="E86" s="5">
        <v>14.91</v>
      </c>
      <c r="F86" s="2"/>
      <c r="G86" s="2"/>
    </row>
    <row r="87" spans="1:7" ht="13" x14ac:dyDescent="0.15">
      <c r="A87" s="1" t="s">
        <v>28</v>
      </c>
      <c r="B87" s="1" t="s">
        <v>53</v>
      </c>
      <c r="C87" s="1" t="s">
        <v>27</v>
      </c>
      <c r="D87" s="5">
        <v>0.217</v>
      </c>
      <c r="E87" s="5">
        <v>249.9</v>
      </c>
      <c r="F87" s="2"/>
      <c r="G87" s="2"/>
    </row>
    <row r="88" spans="1:7" ht="13" x14ac:dyDescent="0.15">
      <c r="A88" s="1" t="s">
        <v>29</v>
      </c>
      <c r="B88" s="1" t="s">
        <v>53</v>
      </c>
      <c r="C88" s="1" t="s">
        <v>27</v>
      </c>
      <c r="D88" s="5">
        <v>0.22170000000000001</v>
      </c>
      <c r="E88" s="5">
        <v>272.8</v>
      </c>
      <c r="F88" s="2"/>
      <c r="G88" s="2"/>
    </row>
    <row r="89" spans="1:7" ht="13" x14ac:dyDescent="0.15">
      <c r="A89" s="1" t="s">
        <v>60</v>
      </c>
      <c r="B89" s="1" t="s">
        <v>57</v>
      </c>
      <c r="C89" s="1" t="s">
        <v>61</v>
      </c>
      <c r="D89" s="5">
        <v>0.21390000000000001</v>
      </c>
      <c r="E89" s="5">
        <v>234.8</v>
      </c>
      <c r="F89" s="2"/>
      <c r="G89" s="2"/>
    </row>
    <row r="90" spans="1:7" ht="13" x14ac:dyDescent="0.15">
      <c r="A90" s="1" t="s">
        <v>62</v>
      </c>
      <c r="B90" s="1" t="s">
        <v>57</v>
      </c>
      <c r="C90" s="1" t="s">
        <v>61</v>
      </c>
      <c r="D90" s="5">
        <v>0.21679999999999999</v>
      </c>
      <c r="E90" s="5">
        <v>248.9</v>
      </c>
      <c r="F90" s="2"/>
      <c r="G90" s="2"/>
    </row>
    <row r="91" spans="1:7" ht="13" x14ac:dyDescent="0.15">
      <c r="A91" s="1" t="s">
        <v>32</v>
      </c>
      <c r="B91" s="1" t="s">
        <v>53</v>
      </c>
      <c r="C91" s="1" t="s">
        <v>30</v>
      </c>
      <c r="D91" s="5">
        <v>0.2354</v>
      </c>
      <c r="E91" s="5">
        <v>339.6</v>
      </c>
      <c r="F91" s="2"/>
      <c r="G91" s="2"/>
    </row>
    <row r="92" spans="1:7" ht="13" x14ac:dyDescent="0.15">
      <c r="A92" s="1" t="s">
        <v>31</v>
      </c>
      <c r="B92" s="1" t="s">
        <v>53</v>
      </c>
      <c r="C92" s="1" t="s">
        <v>30</v>
      </c>
      <c r="D92" s="5">
        <v>0.25180000000000002</v>
      </c>
      <c r="E92" s="5">
        <v>419.5</v>
      </c>
      <c r="F92" s="2"/>
      <c r="G92" s="2"/>
    </row>
    <row r="93" spans="1:7" ht="13" x14ac:dyDescent="0.15">
      <c r="A93" s="1" t="s">
        <v>34</v>
      </c>
      <c r="B93" s="1" t="s">
        <v>53</v>
      </c>
      <c r="C93" s="1" t="s">
        <v>33</v>
      </c>
      <c r="D93" s="5">
        <v>0.254</v>
      </c>
      <c r="E93" s="5">
        <v>430.2</v>
      </c>
      <c r="F93" s="2"/>
      <c r="G93" s="2"/>
    </row>
    <row r="94" spans="1:7" ht="13" x14ac:dyDescent="0.15">
      <c r="A94" s="1" t="s">
        <v>35</v>
      </c>
      <c r="B94" s="1" t="s">
        <v>53</v>
      </c>
      <c r="C94" s="1" t="s">
        <v>33</v>
      </c>
      <c r="D94" s="5">
        <v>0.2334</v>
      </c>
      <c r="E94" s="5">
        <v>329.8</v>
      </c>
      <c r="F94" s="2"/>
      <c r="G94" s="2"/>
    </row>
    <row r="95" spans="1:7" ht="13" x14ac:dyDescent="0.15">
      <c r="A95" s="1" t="s">
        <v>38</v>
      </c>
      <c r="B95" s="1" t="s">
        <v>53</v>
      </c>
      <c r="C95" s="1" t="s">
        <v>36</v>
      </c>
      <c r="D95" s="5">
        <v>0.25790000000000002</v>
      </c>
      <c r="E95" s="5">
        <v>449.3</v>
      </c>
      <c r="F95" s="2"/>
      <c r="G95" s="2"/>
    </row>
    <row r="96" spans="1:7" ht="13" x14ac:dyDescent="0.15">
      <c r="A96" s="1" t="s">
        <v>37</v>
      </c>
      <c r="B96" s="1" t="s">
        <v>53</v>
      </c>
      <c r="C96" s="1" t="s">
        <v>36</v>
      </c>
      <c r="D96" s="5">
        <v>0.25669999999999998</v>
      </c>
      <c r="E96" s="5">
        <v>443.4</v>
      </c>
      <c r="F96" s="2"/>
      <c r="G96" s="2"/>
    </row>
    <row r="97" spans="1:7" ht="13" x14ac:dyDescent="0.15">
      <c r="A97" s="1" t="s">
        <v>40</v>
      </c>
      <c r="B97" s="1" t="s">
        <v>53</v>
      </c>
      <c r="C97" s="1" t="s">
        <v>39</v>
      </c>
      <c r="D97" s="5">
        <v>0.32500000000000001</v>
      </c>
      <c r="E97" s="5">
        <v>776.4</v>
      </c>
      <c r="F97" s="2"/>
      <c r="G97" s="2"/>
    </row>
    <row r="98" spans="1:7" ht="13" x14ac:dyDescent="0.15">
      <c r="A98" s="1" t="s">
        <v>41</v>
      </c>
      <c r="B98" s="1" t="s">
        <v>53</v>
      </c>
      <c r="C98" s="1" t="s">
        <v>39</v>
      </c>
      <c r="D98" s="5">
        <v>0.34670000000000001</v>
      </c>
      <c r="E98" s="5">
        <v>882.1</v>
      </c>
      <c r="F98" s="2"/>
      <c r="G98" s="2"/>
    </row>
    <row r="99" spans="1:7" ht="13" x14ac:dyDescent="0.15">
      <c r="A99" s="1" t="s">
        <v>44</v>
      </c>
      <c r="B99" s="1" t="s">
        <v>53</v>
      </c>
      <c r="C99" s="1" t="s">
        <v>42</v>
      </c>
      <c r="D99" s="5">
        <v>0.37759999999999999</v>
      </c>
      <c r="E99" s="5">
        <v>1033</v>
      </c>
      <c r="F99" s="2"/>
      <c r="G99" s="2"/>
    </row>
    <row r="100" spans="1:7" ht="13" x14ac:dyDescent="0.15">
      <c r="A100" s="1" t="s">
        <v>43</v>
      </c>
      <c r="B100" s="1" t="s">
        <v>53</v>
      </c>
      <c r="C100" s="1" t="s">
        <v>42</v>
      </c>
      <c r="D100" s="5">
        <v>0.35649999999999998</v>
      </c>
      <c r="E100" s="5">
        <v>929.9</v>
      </c>
      <c r="F100" s="2"/>
      <c r="G100" s="2"/>
    </row>
    <row r="101" spans="1:7" ht="13" x14ac:dyDescent="0.15">
      <c r="A101" s="2"/>
      <c r="B101" s="2"/>
      <c r="C101" s="2"/>
      <c r="D101" s="2"/>
      <c r="E101" s="2"/>
      <c r="F101" s="2"/>
      <c r="G101" s="2"/>
    </row>
    <row r="102" spans="1:7" ht="13" x14ac:dyDescent="0.15">
      <c r="A102" s="1" t="s">
        <v>63</v>
      </c>
      <c r="B102" s="2"/>
      <c r="C102" s="2"/>
      <c r="D102" s="2"/>
      <c r="E102" s="2"/>
      <c r="F102" s="2"/>
      <c r="G10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9"/>
  <sheetViews>
    <sheetView workbookViewId="0">
      <selection sqref="A1:XFD1048576"/>
    </sheetView>
  </sheetViews>
  <sheetFormatPr baseColWidth="10" defaultColWidth="12.6640625" defaultRowHeight="15.75" customHeight="1" x14ac:dyDescent="0.15"/>
  <cols>
    <col min="1" max="1" width="6.83203125" customWidth="1"/>
    <col min="2" max="2" width="9.5" bestFit="1" customWidth="1"/>
    <col min="3" max="3" width="8.1640625" customWidth="1"/>
    <col min="4" max="4" width="14.5" bestFit="1" customWidth="1"/>
    <col min="5" max="5" width="7.5" bestFit="1" customWidth="1"/>
    <col min="6" max="6" width="13" bestFit="1" customWidth="1"/>
    <col min="7" max="7" width="10.6640625" bestFit="1" customWidth="1"/>
  </cols>
  <sheetData>
    <row r="1" spans="1:7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15.75" customHeight="1" x14ac:dyDescent="0.15">
      <c r="A2" s="1" t="s">
        <v>49</v>
      </c>
      <c r="B2" s="1" t="s">
        <v>48</v>
      </c>
      <c r="C2" s="5">
        <v>0</v>
      </c>
      <c r="D2" s="5">
        <v>0.16500000000000001</v>
      </c>
      <c r="E2" s="2"/>
      <c r="F2" s="5">
        <v>0.16569999999999999</v>
      </c>
      <c r="G2" s="5">
        <v>-7.4220000000000004E-4</v>
      </c>
    </row>
    <row r="3" spans="1:7" ht="15.75" customHeight="1" x14ac:dyDescent="0.15">
      <c r="A3" s="1" t="s">
        <v>50</v>
      </c>
      <c r="B3" s="1" t="s">
        <v>48</v>
      </c>
      <c r="C3" s="5">
        <v>0</v>
      </c>
      <c r="D3" s="5">
        <v>0.1588</v>
      </c>
      <c r="E3" s="2"/>
      <c r="F3" s="5">
        <v>0.16569999999999999</v>
      </c>
      <c r="G3" s="5">
        <v>-6.9420000000000003E-3</v>
      </c>
    </row>
    <row r="4" spans="1:7" ht="15.75" customHeight="1" x14ac:dyDescent="0.15">
      <c r="A4" s="1" t="s">
        <v>46</v>
      </c>
      <c r="B4" s="1" t="s">
        <v>45</v>
      </c>
      <c r="C4" s="5">
        <v>2000</v>
      </c>
      <c r="D4" s="5">
        <v>0.57299999999999995</v>
      </c>
      <c r="E4" s="2"/>
      <c r="F4" s="5">
        <v>0.57599999999999996</v>
      </c>
      <c r="G4" s="5">
        <v>-3.0140000000000002E-3</v>
      </c>
    </row>
    <row r="5" spans="1:7" ht="15.75" customHeight="1" x14ac:dyDescent="0.15">
      <c r="A5" s="1" t="s">
        <v>47</v>
      </c>
      <c r="B5" s="1" t="s">
        <v>45</v>
      </c>
      <c r="C5" s="5">
        <v>2000</v>
      </c>
      <c r="D5" s="5">
        <v>0.57899999999999996</v>
      </c>
      <c r="E5" s="2"/>
      <c r="F5" s="5">
        <v>0.57599999999999996</v>
      </c>
      <c r="G5" s="5">
        <v>2.9859999999999999E-3</v>
      </c>
    </row>
    <row r="6" spans="1:7" ht="15.75" customHeight="1" x14ac:dyDescent="0.15">
      <c r="A6" s="1" t="s">
        <v>25</v>
      </c>
      <c r="B6" s="1" t="s">
        <v>24</v>
      </c>
      <c r="C6" s="5">
        <v>100</v>
      </c>
      <c r="D6" s="5">
        <v>0.16880000000000001</v>
      </c>
      <c r="E6" s="2"/>
      <c r="F6" s="5">
        <v>0.18629999999999999</v>
      </c>
      <c r="G6" s="5">
        <v>-1.746E-2</v>
      </c>
    </row>
    <row r="7" spans="1:7" ht="15.75" customHeight="1" x14ac:dyDescent="0.15">
      <c r="A7" s="1" t="s">
        <v>26</v>
      </c>
      <c r="B7" s="1" t="s">
        <v>24</v>
      </c>
      <c r="C7" s="5">
        <v>100</v>
      </c>
      <c r="D7" s="5">
        <v>0.17949999999999999</v>
      </c>
      <c r="E7" s="2"/>
      <c r="F7" s="5">
        <v>0.18629999999999999</v>
      </c>
      <c r="G7" s="5">
        <v>-6.7559999999999999E-3</v>
      </c>
    </row>
    <row r="8" spans="1:7" ht="15.75" customHeight="1" x14ac:dyDescent="0.15">
      <c r="A8" s="1" t="s">
        <v>28</v>
      </c>
      <c r="B8" s="1" t="s">
        <v>27</v>
      </c>
      <c r="C8" s="5">
        <v>200</v>
      </c>
      <c r="D8" s="5">
        <v>0.217</v>
      </c>
      <c r="E8" s="2"/>
      <c r="F8" s="5">
        <v>0.20680000000000001</v>
      </c>
      <c r="G8" s="5">
        <v>1.023E-2</v>
      </c>
    </row>
    <row r="9" spans="1:7" ht="15.75" customHeight="1" x14ac:dyDescent="0.15">
      <c r="A9" s="1" t="s">
        <v>29</v>
      </c>
      <c r="B9" s="1" t="s">
        <v>27</v>
      </c>
      <c r="C9" s="5">
        <v>200</v>
      </c>
      <c r="D9" s="5">
        <v>0.22170000000000001</v>
      </c>
      <c r="E9" s="2"/>
      <c r="F9" s="5">
        <v>0.20680000000000001</v>
      </c>
      <c r="G9" s="5">
        <v>1.4930000000000001E-2</v>
      </c>
    </row>
    <row r="10" spans="1:7" ht="15.75" customHeight="1" x14ac:dyDescent="0.15">
      <c r="A10" s="1" t="s">
        <v>31</v>
      </c>
      <c r="B10" s="1" t="s">
        <v>30</v>
      </c>
      <c r="C10" s="5">
        <v>300</v>
      </c>
      <c r="D10" s="5">
        <v>0.25180000000000002</v>
      </c>
      <c r="E10" s="2"/>
      <c r="F10" s="5">
        <v>0.2273</v>
      </c>
      <c r="G10" s="5">
        <v>2.452E-2</v>
      </c>
    </row>
    <row r="11" spans="1:7" ht="15.75" customHeight="1" x14ac:dyDescent="0.15">
      <c r="A11" s="1" t="s">
        <v>32</v>
      </c>
      <c r="B11" s="1" t="s">
        <v>30</v>
      </c>
      <c r="C11" s="5">
        <v>300</v>
      </c>
      <c r="D11" s="5">
        <v>0.2354</v>
      </c>
      <c r="E11" s="2"/>
      <c r="F11" s="5">
        <v>0.2273</v>
      </c>
      <c r="G11" s="5">
        <v>8.1169999999999992E-3</v>
      </c>
    </row>
    <row r="12" spans="1:7" ht="15.75" customHeight="1" x14ac:dyDescent="0.15">
      <c r="A12" s="1" t="s">
        <v>34</v>
      </c>
      <c r="B12" s="1" t="s">
        <v>33</v>
      </c>
      <c r="C12" s="5">
        <v>400</v>
      </c>
      <c r="D12" s="5">
        <v>0.254</v>
      </c>
      <c r="E12" s="2"/>
      <c r="F12" s="5">
        <v>0.24779999999999999</v>
      </c>
      <c r="G12" s="5">
        <v>6.2030000000000002E-3</v>
      </c>
    </row>
    <row r="13" spans="1:7" ht="15.75" customHeight="1" x14ac:dyDescent="0.15">
      <c r="A13" s="1" t="s">
        <v>35</v>
      </c>
      <c r="B13" s="1" t="s">
        <v>33</v>
      </c>
      <c r="C13" s="5">
        <v>400</v>
      </c>
      <c r="D13" s="5">
        <v>0.2334</v>
      </c>
      <c r="E13" s="2"/>
      <c r="F13" s="5">
        <v>0.24779999999999999</v>
      </c>
      <c r="G13" s="5">
        <v>-1.44E-2</v>
      </c>
    </row>
    <row r="14" spans="1:7" ht="15.75" customHeight="1" x14ac:dyDescent="0.15">
      <c r="A14" s="1" t="s">
        <v>37</v>
      </c>
      <c r="B14" s="1" t="s">
        <v>36</v>
      </c>
      <c r="C14" s="5">
        <v>500</v>
      </c>
      <c r="D14" s="5">
        <v>0.25669999999999998</v>
      </c>
      <c r="E14" s="2"/>
      <c r="F14" s="5">
        <v>0.26829999999999998</v>
      </c>
      <c r="G14" s="5">
        <v>-1.1610000000000001E-2</v>
      </c>
    </row>
    <row r="15" spans="1:7" ht="15.75" customHeight="1" x14ac:dyDescent="0.15">
      <c r="A15" s="1" t="s">
        <v>38</v>
      </c>
      <c r="B15" s="1" t="s">
        <v>36</v>
      </c>
      <c r="C15" s="5">
        <v>500</v>
      </c>
      <c r="D15" s="5">
        <v>0.25790000000000002</v>
      </c>
      <c r="E15" s="2"/>
      <c r="F15" s="5">
        <v>0.26829999999999998</v>
      </c>
      <c r="G15" s="5">
        <v>-1.0410000000000001E-2</v>
      </c>
    </row>
    <row r="16" spans="1:7" ht="15.75" customHeight="1" x14ac:dyDescent="0.15">
      <c r="A16" s="1" t="s">
        <v>40</v>
      </c>
      <c r="B16" s="1" t="s">
        <v>39</v>
      </c>
      <c r="C16" s="5">
        <v>800</v>
      </c>
      <c r="D16" s="5">
        <v>0.32500000000000001</v>
      </c>
      <c r="E16" s="2"/>
      <c r="F16" s="5">
        <v>0.32990000000000003</v>
      </c>
      <c r="G16" s="5">
        <v>-4.8510000000000003E-3</v>
      </c>
    </row>
    <row r="17" spans="1:7" ht="15.75" customHeight="1" x14ac:dyDescent="0.15">
      <c r="A17" s="1" t="s">
        <v>41</v>
      </c>
      <c r="B17" s="1" t="s">
        <v>39</v>
      </c>
      <c r="C17" s="5">
        <v>800</v>
      </c>
      <c r="D17" s="5">
        <v>0.34670000000000001</v>
      </c>
      <c r="E17" s="2"/>
      <c r="F17" s="5">
        <v>0.32990000000000003</v>
      </c>
      <c r="G17" s="5">
        <v>1.685E-2</v>
      </c>
    </row>
    <row r="18" spans="1:7" ht="15.75" customHeight="1" x14ac:dyDescent="0.15">
      <c r="A18" s="1" t="s">
        <v>43</v>
      </c>
      <c r="B18" s="1" t="s">
        <v>42</v>
      </c>
      <c r="C18" s="5">
        <v>1000</v>
      </c>
      <c r="D18" s="5">
        <v>0.35649999999999998</v>
      </c>
      <c r="E18" s="2"/>
      <c r="F18" s="5">
        <v>0.37090000000000001</v>
      </c>
      <c r="G18" s="5">
        <v>-1.438E-2</v>
      </c>
    </row>
    <row r="19" spans="1:7" ht="15.75" customHeight="1" x14ac:dyDescent="0.15">
      <c r="A19" s="1" t="s">
        <v>44</v>
      </c>
      <c r="B19" s="1" t="s">
        <v>42</v>
      </c>
      <c r="C19" s="5">
        <v>1000</v>
      </c>
      <c r="D19" s="5">
        <v>0.37759999999999999</v>
      </c>
      <c r="E19" s="2"/>
      <c r="F19" s="5">
        <v>0.37090000000000001</v>
      </c>
      <c r="G19" s="5">
        <v>6.7219999999999997E-3</v>
      </c>
    </row>
  </sheetData>
  <autoFilter ref="A1:G1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"/>
  <sheetViews>
    <sheetView workbookViewId="0">
      <selection sqref="A1:XFD1048576"/>
    </sheetView>
  </sheetViews>
  <sheetFormatPr baseColWidth="10" defaultColWidth="12.6640625" defaultRowHeight="15.75" customHeight="1" x14ac:dyDescent="0.15"/>
  <cols>
    <col min="1" max="1" width="4.5" bestFit="1" customWidth="1"/>
    <col min="2" max="2" width="8.33203125" bestFit="1" customWidth="1"/>
    <col min="3" max="3" width="12.6640625" bestFit="1" customWidth="1"/>
    <col min="4" max="4" width="7.1640625" bestFit="1" customWidth="1"/>
    <col min="5" max="5" width="6.1640625" bestFit="1" customWidth="1"/>
  </cols>
  <sheetData>
    <row r="1" spans="1:5" ht="15.75" customHeight="1" x14ac:dyDescent="0.15">
      <c r="A1" s="1" t="s">
        <v>16</v>
      </c>
      <c r="B1" s="1" t="s">
        <v>51</v>
      </c>
      <c r="C1" s="1" t="s">
        <v>17</v>
      </c>
      <c r="D1" s="1" t="s">
        <v>52</v>
      </c>
      <c r="E1" s="1" t="s">
        <v>18</v>
      </c>
    </row>
    <row r="2" spans="1:5" ht="15.75" customHeight="1" x14ac:dyDescent="0.15">
      <c r="A2" s="1" t="s">
        <v>49</v>
      </c>
      <c r="B2" s="1" t="s">
        <v>53</v>
      </c>
      <c r="C2" s="1" t="s">
        <v>48</v>
      </c>
      <c r="D2" s="5">
        <v>0.16500000000000001</v>
      </c>
      <c r="E2" s="1" t="s">
        <v>54</v>
      </c>
    </row>
    <row r="3" spans="1:5" ht="15.75" customHeight="1" x14ac:dyDescent="0.15">
      <c r="A3" s="1" t="s">
        <v>50</v>
      </c>
      <c r="B3" s="1" t="s">
        <v>53</v>
      </c>
      <c r="C3" s="1" t="s">
        <v>48</v>
      </c>
      <c r="D3" s="5">
        <v>0.1588</v>
      </c>
      <c r="E3" s="1" t="s">
        <v>54</v>
      </c>
    </row>
    <row r="4" spans="1:5" ht="15.75" customHeight="1" x14ac:dyDescent="0.15">
      <c r="A4" s="1" t="s">
        <v>46</v>
      </c>
      <c r="B4" s="1" t="s">
        <v>53</v>
      </c>
      <c r="C4" s="1" t="s">
        <v>45</v>
      </c>
      <c r="D4" s="5">
        <v>0.57299999999999995</v>
      </c>
      <c r="E4" s="5">
        <v>1985</v>
      </c>
    </row>
    <row r="5" spans="1:5" ht="15.75" customHeight="1" x14ac:dyDescent="0.15">
      <c r="A5" s="1" t="s">
        <v>47</v>
      </c>
      <c r="B5" s="1" t="s">
        <v>53</v>
      </c>
      <c r="C5" s="1" t="s">
        <v>45</v>
      </c>
      <c r="D5" s="5">
        <v>0.57899999999999996</v>
      </c>
      <c r="E5" s="1" t="s">
        <v>55</v>
      </c>
    </row>
    <row r="6" spans="1:5" ht="15.75" customHeight="1" x14ac:dyDescent="0.15">
      <c r="A6" s="1" t="s">
        <v>25</v>
      </c>
      <c r="B6" s="1" t="s">
        <v>53</v>
      </c>
      <c r="C6" s="1" t="s">
        <v>24</v>
      </c>
      <c r="D6" s="5">
        <v>0.16880000000000001</v>
      </c>
      <c r="E6" s="5">
        <v>14.91</v>
      </c>
    </row>
    <row r="7" spans="1:5" ht="15.75" customHeight="1" x14ac:dyDescent="0.15">
      <c r="A7" s="1" t="s">
        <v>26</v>
      </c>
      <c r="B7" s="1" t="s">
        <v>53</v>
      </c>
      <c r="C7" s="1" t="s">
        <v>24</v>
      </c>
      <c r="D7" s="5">
        <v>0.17949999999999999</v>
      </c>
      <c r="E7" s="5">
        <v>67.069999999999993</v>
      </c>
    </row>
    <row r="8" spans="1:5" ht="15.75" customHeight="1" x14ac:dyDescent="0.15">
      <c r="A8" s="1" t="s">
        <v>59</v>
      </c>
      <c r="B8" s="1" t="s">
        <v>57</v>
      </c>
      <c r="C8" s="1" t="s">
        <v>58</v>
      </c>
      <c r="D8" s="5">
        <v>0.17910000000000001</v>
      </c>
      <c r="E8" s="5">
        <v>65.12</v>
      </c>
    </row>
    <row r="9" spans="1:5" ht="15.75" customHeight="1" x14ac:dyDescent="0.15">
      <c r="A9" s="1" t="s">
        <v>56</v>
      </c>
      <c r="B9" s="1" t="s">
        <v>57</v>
      </c>
      <c r="C9" s="1" t="s">
        <v>58</v>
      </c>
      <c r="D9" s="5">
        <v>0.16700000000000001</v>
      </c>
      <c r="E9" s="5">
        <v>6.1319999999999997</v>
      </c>
    </row>
    <row r="10" spans="1:5" ht="15.75" customHeight="1" x14ac:dyDescent="0.15">
      <c r="A10" s="1" t="s">
        <v>28</v>
      </c>
      <c r="B10" s="1" t="s">
        <v>53</v>
      </c>
      <c r="C10" s="1" t="s">
        <v>27</v>
      </c>
      <c r="D10" s="5">
        <v>0.217</v>
      </c>
      <c r="E10" s="5">
        <v>249.9</v>
      </c>
    </row>
    <row r="11" spans="1:5" ht="15.75" customHeight="1" x14ac:dyDescent="0.15">
      <c r="A11" s="1" t="s">
        <v>29</v>
      </c>
      <c r="B11" s="1" t="s">
        <v>53</v>
      </c>
      <c r="C11" s="1" t="s">
        <v>27</v>
      </c>
      <c r="D11" s="5">
        <v>0.22170000000000001</v>
      </c>
      <c r="E11" s="5">
        <v>272.8</v>
      </c>
    </row>
    <row r="12" spans="1:5" ht="15.75" customHeight="1" x14ac:dyDescent="0.15">
      <c r="A12" s="1" t="s">
        <v>60</v>
      </c>
      <c r="B12" s="1" t="s">
        <v>57</v>
      </c>
      <c r="C12" s="1" t="s">
        <v>61</v>
      </c>
      <c r="D12" s="5">
        <v>0.21390000000000001</v>
      </c>
      <c r="E12" s="5">
        <v>234.8</v>
      </c>
    </row>
    <row r="13" spans="1:5" ht="15.75" customHeight="1" x14ac:dyDescent="0.15">
      <c r="A13" s="1" t="s">
        <v>62</v>
      </c>
      <c r="B13" s="1" t="s">
        <v>57</v>
      </c>
      <c r="C13" s="1" t="s">
        <v>61</v>
      </c>
      <c r="D13" s="5">
        <v>0.21679999999999999</v>
      </c>
      <c r="E13" s="5">
        <v>248.9</v>
      </c>
    </row>
    <row r="14" spans="1:5" ht="15.75" customHeight="1" x14ac:dyDescent="0.15">
      <c r="A14" s="1" t="s">
        <v>31</v>
      </c>
      <c r="B14" s="1" t="s">
        <v>53</v>
      </c>
      <c r="C14" s="1" t="s">
        <v>30</v>
      </c>
      <c r="D14" s="5">
        <v>0.25180000000000002</v>
      </c>
      <c r="E14" s="5">
        <v>419.5</v>
      </c>
    </row>
    <row r="15" spans="1:5" ht="15.75" customHeight="1" x14ac:dyDescent="0.15">
      <c r="A15" s="1" t="s">
        <v>32</v>
      </c>
      <c r="B15" s="1" t="s">
        <v>53</v>
      </c>
      <c r="C15" s="1" t="s">
        <v>30</v>
      </c>
      <c r="D15" s="5">
        <v>0.2354</v>
      </c>
      <c r="E15" s="5">
        <v>339.6</v>
      </c>
    </row>
    <row r="16" spans="1:5" ht="15.75" customHeight="1" x14ac:dyDescent="0.15">
      <c r="A16" s="1" t="s">
        <v>34</v>
      </c>
      <c r="B16" s="1" t="s">
        <v>53</v>
      </c>
      <c r="C16" s="1" t="s">
        <v>33</v>
      </c>
      <c r="D16" s="5">
        <v>0.254</v>
      </c>
      <c r="E16" s="5">
        <v>430.2</v>
      </c>
    </row>
    <row r="17" spans="1:5" ht="15.75" customHeight="1" x14ac:dyDescent="0.15">
      <c r="A17" s="1" t="s">
        <v>35</v>
      </c>
      <c r="B17" s="1" t="s">
        <v>53</v>
      </c>
      <c r="C17" s="1" t="s">
        <v>33</v>
      </c>
      <c r="D17" s="5">
        <v>0.2334</v>
      </c>
      <c r="E17" s="5">
        <v>329.8</v>
      </c>
    </row>
    <row r="18" spans="1:5" ht="15.75" customHeight="1" x14ac:dyDescent="0.15">
      <c r="A18" s="1" t="s">
        <v>37</v>
      </c>
      <c r="B18" s="1" t="s">
        <v>53</v>
      </c>
      <c r="C18" s="1" t="s">
        <v>36</v>
      </c>
      <c r="D18" s="5">
        <v>0.25669999999999998</v>
      </c>
      <c r="E18" s="5">
        <v>443.4</v>
      </c>
    </row>
    <row r="19" spans="1:5" ht="15.75" customHeight="1" x14ac:dyDescent="0.15">
      <c r="A19" s="1" t="s">
        <v>38</v>
      </c>
      <c r="B19" s="1" t="s">
        <v>53</v>
      </c>
      <c r="C19" s="1" t="s">
        <v>36</v>
      </c>
      <c r="D19" s="5">
        <v>0.25790000000000002</v>
      </c>
      <c r="E19" s="5">
        <v>449.3</v>
      </c>
    </row>
    <row r="20" spans="1:5" ht="15.75" customHeight="1" x14ac:dyDescent="0.15">
      <c r="A20" s="1" t="s">
        <v>40</v>
      </c>
      <c r="B20" s="1" t="s">
        <v>53</v>
      </c>
      <c r="C20" s="1" t="s">
        <v>39</v>
      </c>
      <c r="D20" s="5">
        <v>0.32500000000000001</v>
      </c>
      <c r="E20" s="5">
        <v>776.4</v>
      </c>
    </row>
    <row r="21" spans="1:5" ht="15.75" customHeight="1" x14ac:dyDescent="0.15">
      <c r="A21" s="1" t="s">
        <v>41</v>
      </c>
      <c r="B21" s="1" t="s">
        <v>53</v>
      </c>
      <c r="C21" s="1" t="s">
        <v>39</v>
      </c>
      <c r="D21" s="5">
        <v>0.34670000000000001</v>
      </c>
      <c r="E21" s="5">
        <v>882.1</v>
      </c>
    </row>
    <row r="22" spans="1:5" ht="15.75" customHeight="1" x14ac:dyDescent="0.15">
      <c r="A22" s="1" t="s">
        <v>43</v>
      </c>
      <c r="B22" s="1" t="s">
        <v>53</v>
      </c>
      <c r="C22" s="1" t="s">
        <v>42</v>
      </c>
      <c r="D22" s="5">
        <v>0.35649999999999998</v>
      </c>
      <c r="E22" s="5">
        <v>929.9</v>
      </c>
    </row>
    <row r="23" spans="1:5" ht="15.75" customHeight="1" x14ac:dyDescent="0.15">
      <c r="A23" s="1" t="s">
        <v>44</v>
      </c>
      <c r="B23" s="1" t="s">
        <v>53</v>
      </c>
      <c r="C23" s="1" t="s">
        <v>42</v>
      </c>
      <c r="D23" s="5">
        <v>0.37759999999999999</v>
      </c>
      <c r="E23" s="5"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5"/>
  <sheetViews>
    <sheetView tabSelected="1" workbookViewId="0">
      <selection activeCell="J31" sqref="J31"/>
    </sheetView>
  </sheetViews>
  <sheetFormatPr baseColWidth="10" defaultColWidth="12.6640625" defaultRowHeight="15.75" customHeight="1" x14ac:dyDescent="0.15"/>
  <cols>
    <col min="1" max="1" width="12.6640625" bestFit="1" customWidth="1"/>
    <col min="2" max="2" width="8.6640625" bestFit="1" customWidth="1"/>
    <col min="3" max="3" width="7.1640625" bestFit="1" customWidth="1"/>
    <col min="4" max="5" width="6.6640625" bestFit="1" customWidth="1"/>
    <col min="6" max="6" width="9.6640625" bestFit="1" customWidth="1"/>
    <col min="8" max="8" width="10.6640625" bestFit="1" customWidth="1"/>
    <col min="9" max="9" width="9.6640625" bestFit="1" customWidth="1"/>
    <col min="12" max="12" width="4.6640625" bestFit="1" customWidth="1"/>
    <col min="13" max="13" width="8.33203125" bestFit="1" customWidth="1"/>
    <col min="14" max="14" width="12.6640625" bestFit="1" customWidth="1"/>
    <col min="15" max="15" width="7.1640625" bestFit="1" customWidth="1"/>
    <col min="16" max="16" width="6.1640625" bestFit="1" customWidth="1"/>
    <col min="18" max="18" width="10.6640625" bestFit="1" customWidth="1"/>
    <col min="19" max="19" width="9.6640625" bestFit="1" customWidth="1"/>
    <col min="20" max="20" width="7" bestFit="1" customWidth="1"/>
    <col min="21" max="21" width="6.6640625" bestFit="1" customWidth="1"/>
    <col min="22" max="22" width="10.6640625" bestFit="1" customWidth="1"/>
  </cols>
  <sheetData>
    <row r="1" spans="1:27" ht="15.75" customHeight="1" x14ac:dyDescent="0.15">
      <c r="A1" s="6" t="s">
        <v>64</v>
      </c>
      <c r="B1" s="7" t="s">
        <v>18</v>
      </c>
      <c r="C1" s="8" t="s">
        <v>65</v>
      </c>
      <c r="D1" s="8" t="s">
        <v>66</v>
      </c>
      <c r="E1" s="8" t="s">
        <v>67</v>
      </c>
      <c r="F1" s="9" t="s">
        <v>68</v>
      </c>
      <c r="G1" s="10"/>
      <c r="H1" s="11" t="s">
        <v>69</v>
      </c>
      <c r="I1" s="12">
        <f ca="1">RSQ($E$2:$E$10,$B$2:$B$10)</f>
        <v>0.99403860258540433</v>
      </c>
      <c r="J1" s="10"/>
      <c r="K1" s="10"/>
      <c r="L1" s="13" t="s">
        <v>16</v>
      </c>
      <c r="M1" s="13" t="s">
        <v>51</v>
      </c>
      <c r="N1" s="13" t="s">
        <v>17</v>
      </c>
      <c r="O1" s="13" t="s">
        <v>52</v>
      </c>
      <c r="P1" s="13" t="s">
        <v>18</v>
      </c>
      <c r="Q1" s="10"/>
      <c r="R1" s="23" t="s">
        <v>17</v>
      </c>
      <c r="S1" s="23" t="s">
        <v>70</v>
      </c>
      <c r="T1" s="23" t="s">
        <v>71</v>
      </c>
      <c r="U1" s="23" t="s">
        <v>67</v>
      </c>
      <c r="V1" s="24"/>
      <c r="W1" s="10"/>
      <c r="X1" s="10"/>
      <c r="Y1" s="10"/>
      <c r="Z1" s="10"/>
      <c r="AA1" s="10"/>
    </row>
    <row r="2" spans="1:27" ht="15.75" customHeight="1" x14ac:dyDescent="0.15">
      <c r="A2" s="15" t="s">
        <v>72</v>
      </c>
      <c r="B2" s="16">
        <v>0</v>
      </c>
      <c r="C2" s="17">
        <f ca="1">IFERROR(__xludf.DUMMYFUNCTION("TRANSPOSE(UNIQUE(SORTN(FILTER('RUN (101222)'!D:D,'RUN (101222)'!C:C=B2),1,1,0,0)))"),0.165)</f>
        <v>0.16500000000000001</v>
      </c>
      <c r="D2" s="17">
        <f ca="1">IFERROR(__xludf.DUMMYFUNCTION("""COMPUTED_VALUE"""),0.1588)</f>
        <v>0.1588</v>
      </c>
      <c r="E2" s="17">
        <f t="shared" ref="E2:E10" ca="1" si="0">AVERAGE(C2:D2)</f>
        <v>0.16189999999999999</v>
      </c>
      <c r="F2" s="18" cm="1">
        <f t="array" aca="1" ref="F2" ca="1">_xlfn.IFS((E2-$I$3)/$I$2&lt;0,0,(E2-$I$3)/$I$2&gt;1,(E2-$I$3)/$I$2)</f>
        <v>0</v>
      </c>
      <c r="H2" s="11" t="s">
        <v>73</v>
      </c>
      <c r="I2" s="12">
        <f ca="1">SLOPE($E$2:$E$10,$B$2:$B$10)</f>
        <v>2.051359522085445E-4</v>
      </c>
      <c r="L2" s="19" t="s">
        <v>25</v>
      </c>
      <c r="M2" s="19" t="s">
        <v>53</v>
      </c>
      <c r="N2" s="19" t="s">
        <v>24</v>
      </c>
      <c r="O2" s="19">
        <v>0.16880000000000001</v>
      </c>
      <c r="P2" s="19">
        <v>14.91</v>
      </c>
      <c r="R2" s="23" t="s">
        <v>24</v>
      </c>
      <c r="S2" s="25">
        <v>0.16880000000000001</v>
      </c>
      <c r="T2" s="25">
        <v>0.17949999999999999</v>
      </c>
      <c r="U2" s="25">
        <v>0.17415</v>
      </c>
      <c r="V2" s="25" cm="1">
        <f t="array" ref="V2">_xlfn.IFS(((U2-$S$15)/$S$14)&lt;0,0,((U2-$S$15)/$S$14)&gt;1,((U2-$S$15)/$S$14))</f>
        <v>0</v>
      </c>
    </row>
    <row r="3" spans="1:27" ht="15.75" customHeight="1" x14ac:dyDescent="0.15">
      <c r="A3" s="15" t="s">
        <v>74</v>
      </c>
      <c r="B3" s="16">
        <v>100</v>
      </c>
      <c r="C3" s="17">
        <f ca="1">IFERROR(__xludf.DUMMYFUNCTION("TRANSPOSE(UNIQUE(SORTN(FILTER('RUN (101222)'!D:D,'RUN (101222)'!C:C=B3),1,1,0,0)))"),0.1688)</f>
        <v>0.16880000000000001</v>
      </c>
      <c r="D3" s="17">
        <f ca="1">IFERROR(__xludf.DUMMYFUNCTION("""COMPUTED_VALUE"""),0.1795)</f>
        <v>0.17949999999999999</v>
      </c>
      <c r="E3" s="17">
        <f t="shared" ca="1" si="0"/>
        <v>0.17415</v>
      </c>
      <c r="F3" s="18" cm="1">
        <f t="array" aca="1" ref="F3" ca="1">_xlfn.IFS((E3-$I$3)/$I$2&lt;0,0,(E3-$I$3)/$I$2&gt;1,(E3-$I$3)/$I$2)</f>
        <v>40.986664854642363</v>
      </c>
      <c r="H3" s="11" t="s">
        <v>75</v>
      </c>
      <c r="I3" s="12">
        <f ca="1">INTERCEPT($E$2:$E$10,$B$2:$B$10)</f>
        <v>0.16574216147719045</v>
      </c>
      <c r="L3" s="19" t="s">
        <v>26</v>
      </c>
      <c r="M3" s="19" t="s">
        <v>53</v>
      </c>
      <c r="N3" s="19" t="s">
        <v>24</v>
      </c>
      <c r="O3" s="19">
        <v>0.17949999999999999</v>
      </c>
      <c r="P3" s="19">
        <v>67.069999999999993</v>
      </c>
      <c r="R3" s="23" t="s">
        <v>27</v>
      </c>
      <c r="S3" s="25">
        <v>0.217</v>
      </c>
      <c r="T3" s="25">
        <v>0.22170000000000001</v>
      </c>
      <c r="U3" s="25">
        <v>0.21934999999999999</v>
      </c>
      <c r="V3" s="25" cm="1">
        <f t="array" ref="V3">_xlfn.IFS(((U3-$S$15)/$S$14)&lt;0,0,((U3-$S$15)/$S$14)&gt;1,((U3-$S$15)/$S$14))</f>
        <v>0</v>
      </c>
    </row>
    <row r="4" spans="1:27" ht="15.75" customHeight="1" x14ac:dyDescent="0.15">
      <c r="A4" s="15" t="s">
        <v>76</v>
      </c>
      <c r="B4" s="16">
        <v>200</v>
      </c>
      <c r="C4" s="17">
        <f ca="1">IFERROR(__xludf.DUMMYFUNCTION("TRANSPOSE(UNIQUE(SORTN(FILTER('RUN (101222)'!D:D,'RUN (101222)'!C:C=B4),1,1,0,0)))"),0.217)</f>
        <v>0.217</v>
      </c>
      <c r="D4" s="17">
        <f ca="1">IFERROR(__xludf.DUMMYFUNCTION("""COMPUTED_VALUE"""),0.2217)</f>
        <v>0.22170000000000001</v>
      </c>
      <c r="E4" s="17">
        <f t="shared" ca="1" si="0"/>
        <v>0.21934999999999999</v>
      </c>
      <c r="F4" s="18" cm="1">
        <f t="array" aca="1" ref="F4" ca="1">_xlfn.IFS((E4-$I$3)/$I$2&lt;0,0,(E4-$I$3)/$I$2&gt;1,(E4-$I$3)/$I$2)</f>
        <v>261.32834320680632</v>
      </c>
      <c r="L4" s="19" t="s">
        <v>28</v>
      </c>
      <c r="M4" s="19" t="s">
        <v>53</v>
      </c>
      <c r="N4" s="19" t="s">
        <v>27</v>
      </c>
      <c r="O4" s="19">
        <v>0.217</v>
      </c>
      <c r="P4" s="19">
        <v>249.9</v>
      </c>
      <c r="R4" s="23" t="s">
        <v>30</v>
      </c>
      <c r="S4" s="25">
        <v>0.25180000000000002</v>
      </c>
      <c r="T4" s="25">
        <v>0.2354</v>
      </c>
      <c r="U4" s="25">
        <v>0.24360000000000001</v>
      </c>
      <c r="V4" s="25" cm="1">
        <f t="array" ref="V4">_xlfn.IFS(((U4-$S$15)/$S$14)&lt;0,0,((U4-$S$15)/$S$14)&gt;1,((U4-$S$15)/$S$14))</f>
        <v>0</v>
      </c>
    </row>
    <row r="5" spans="1:27" ht="15.75" customHeight="1" x14ac:dyDescent="0.15">
      <c r="A5" s="15" t="s">
        <v>77</v>
      </c>
      <c r="B5" s="16">
        <v>300</v>
      </c>
      <c r="C5" s="17">
        <f ca="1">IFERROR(__xludf.DUMMYFUNCTION("TRANSPOSE(UNIQUE(SORTN(FILTER('RUN (101222)'!D:D,'RUN (101222)'!C:C=B5),1,1,0,0)))"),0.2518)</f>
        <v>0.25180000000000002</v>
      </c>
      <c r="D5" s="17">
        <f ca="1">IFERROR(__xludf.DUMMYFUNCTION("""COMPUTED_VALUE"""),0.2354)</f>
        <v>0.2354</v>
      </c>
      <c r="E5" s="17">
        <f t="shared" ca="1" si="0"/>
        <v>0.24360000000000001</v>
      </c>
      <c r="F5" s="18" cm="1">
        <f t="array" aca="1" ref="F5" ca="1">_xlfn.IFS((E5-$I$3)/$I$2&lt;0,0,(E5-$I$3)/$I$2&gt;1,(E5-$I$3)/$I$2)</f>
        <v>379.54262860592098</v>
      </c>
      <c r="L5" s="19" t="s">
        <v>29</v>
      </c>
      <c r="M5" s="19" t="s">
        <v>53</v>
      </c>
      <c r="N5" s="19" t="s">
        <v>27</v>
      </c>
      <c r="O5" s="19">
        <v>0.22170000000000001</v>
      </c>
      <c r="P5" s="19">
        <v>272.8</v>
      </c>
      <c r="R5" s="23" t="s">
        <v>33</v>
      </c>
      <c r="S5" s="25">
        <v>0.254</v>
      </c>
      <c r="T5" s="25">
        <v>0.2334</v>
      </c>
      <c r="U5" s="25">
        <v>0.2437</v>
      </c>
      <c r="V5" s="25" cm="1">
        <f t="array" ref="V5">_xlfn.IFS(((U5-$S$15)/$S$14)&lt;0,0,((U5-$S$15)/$S$14)&gt;1,((U5-$S$15)/$S$14))</f>
        <v>0</v>
      </c>
    </row>
    <row r="6" spans="1:27" ht="15.75" customHeight="1" x14ac:dyDescent="0.15">
      <c r="A6" s="15" t="s">
        <v>78</v>
      </c>
      <c r="B6" s="16">
        <v>400</v>
      </c>
      <c r="C6" s="17">
        <f ca="1">IFERROR(__xludf.DUMMYFUNCTION("TRANSPOSE(UNIQUE(SORTN(FILTER('RUN (101222)'!D:D,'RUN (101222)'!C:C=B6),1,1,0,0)))"),0.254)</f>
        <v>0.254</v>
      </c>
      <c r="D6" s="17">
        <f ca="1">IFERROR(__xludf.DUMMYFUNCTION("""COMPUTED_VALUE"""),0.2334)</f>
        <v>0.2334</v>
      </c>
      <c r="E6" s="17">
        <f t="shared" ca="1" si="0"/>
        <v>0.2437</v>
      </c>
      <c r="F6" s="18" cm="1">
        <f t="array" aca="1" ref="F6" ca="1">_xlfn.IFS((E6-$I$3)/$I$2&lt;0,0,(E6-$I$3)/$I$2&gt;1,(E6-$I$3)/$I$2)</f>
        <v>380.03011019519562</v>
      </c>
      <c r="H6" s="21" t="s">
        <v>79</v>
      </c>
      <c r="L6" s="19" t="s">
        <v>31</v>
      </c>
      <c r="M6" s="19" t="s">
        <v>53</v>
      </c>
      <c r="N6" s="19" t="s">
        <v>30</v>
      </c>
      <c r="O6" s="19">
        <v>0.25180000000000002</v>
      </c>
      <c r="P6" s="19">
        <v>419.5</v>
      </c>
      <c r="R6" s="23" t="s">
        <v>36</v>
      </c>
      <c r="S6" s="25">
        <v>0.25669999999999998</v>
      </c>
      <c r="T6" s="25">
        <v>0.25790000000000002</v>
      </c>
      <c r="U6" s="25">
        <v>0.25729999999999997</v>
      </c>
      <c r="V6" s="25" cm="1">
        <f t="array" ref="V6">_xlfn.IFS(((U6-$S$15)/$S$14)&lt;0,0,((U6-$S$15)/$S$14)&gt;1,((U6-$S$15)/$S$14))</f>
        <v>0</v>
      </c>
    </row>
    <row r="7" spans="1:27" ht="15.75" customHeight="1" x14ac:dyDescent="0.15">
      <c r="A7" s="15" t="s">
        <v>80</v>
      </c>
      <c r="B7" s="16">
        <v>500</v>
      </c>
      <c r="C7" s="17">
        <f ca="1">IFERROR(__xludf.DUMMYFUNCTION("TRANSPOSE(UNIQUE(SORTN(FILTER('RUN (101222)'!D:D,'RUN (101222)'!C:C=B7),1,1,0,0)))"),0.2567)</f>
        <v>0.25669999999999998</v>
      </c>
      <c r="D7" s="17">
        <f ca="1">IFERROR(__xludf.DUMMYFUNCTION("""COMPUTED_VALUE"""),0.2579)</f>
        <v>0.25790000000000002</v>
      </c>
      <c r="E7" s="17">
        <f t="shared" ca="1" si="0"/>
        <v>0.25729999999999997</v>
      </c>
      <c r="F7" s="18" cm="1">
        <f t="array" aca="1" ref="F7" ca="1">_xlfn.IFS((E7-$I$3)/$I$2&lt;0,0,(E7-$I$3)/$I$2&gt;1,(E7-$I$3)/$I$2)</f>
        <v>446.3276063365546</v>
      </c>
      <c r="L7" s="19" t="s">
        <v>32</v>
      </c>
      <c r="M7" s="19" t="s">
        <v>53</v>
      </c>
      <c r="N7" s="19" t="s">
        <v>30</v>
      </c>
      <c r="O7" s="19">
        <v>0.2354</v>
      </c>
      <c r="P7" s="19">
        <v>339.6</v>
      </c>
      <c r="R7" s="23" t="s">
        <v>39</v>
      </c>
      <c r="S7" s="25">
        <v>0.32500000000000001</v>
      </c>
      <c r="T7" s="25">
        <v>0.34670000000000001</v>
      </c>
      <c r="U7" s="25">
        <v>0.33584999999999998</v>
      </c>
      <c r="V7" s="25" cm="1">
        <f t="array" ref="V7">_xlfn.IFS(((U7-$S$15)/$S$14)&lt;0,0,((U7-$S$15)/$S$14)&gt;1,((U7-$S$15)/$S$14))</f>
        <v>2282.1044909732914</v>
      </c>
    </row>
    <row r="8" spans="1:27" ht="15.75" customHeight="1" x14ac:dyDescent="0.15">
      <c r="A8" s="15" t="s">
        <v>81</v>
      </c>
      <c r="B8" s="16">
        <v>800</v>
      </c>
      <c r="C8" s="17">
        <f ca="1">IFERROR(__xludf.DUMMYFUNCTION("TRANSPOSE(UNIQUE(SORTN(FILTER('RUN (101222)'!D:D,'RUN (101222)'!C:C=B8),1,1,0,0)))"),0.325)</f>
        <v>0.32500000000000001</v>
      </c>
      <c r="D8" s="17">
        <f ca="1">IFERROR(__xludf.DUMMYFUNCTION("""COMPUTED_VALUE"""),0.3467)</f>
        <v>0.34670000000000001</v>
      </c>
      <c r="E8" s="17">
        <f t="shared" ca="1" si="0"/>
        <v>0.33584999999999998</v>
      </c>
      <c r="F8" s="18" cm="1">
        <f t="array" aca="1" ref="F8" ca="1">_xlfn.IFS((E8-$I$3)/$I$2&lt;0,0,(E8-$I$3)/$I$2&gt;1,(E8-$I$3)/$I$2)</f>
        <v>829.24439471183075</v>
      </c>
      <c r="L8" s="19" t="s">
        <v>34</v>
      </c>
      <c r="M8" s="19" t="s">
        <v>53</v>
      </c>
      <c r="N8" s="19" t="s">
        <v>33</v>
      </c>
      <c r="O8" s="19">
        <v>0.254</v>
      </c>
      <c r="P8" s="19">
        <v>430.2</v>
      </c>
      <c r="R8" s="23" t="s">
        <v>42</v>
      </c>
      <c r="S8" s="25">
        <v>0.35649999999999998</v>
      </c>
      <c r="T8" s="25">
        <v>0.37759999999999999</v>
      </c>
      <c r="U8" s="25">
        <v>0.36704999999999999</v>
      </c>
      <c r="V8" s="25" cm="1">
        <f t="array" ref="V8">_xlfn.IFS(((U8-$S$15)/$S$14)&lt;0,0,((U8-$S$15)/$S$14)&gt;1,((U8-$S$15)/$S$14))</f>
        <v>3353.5522454866455</v>
      </c>
    </row>
    <row r="9" spans="1:27" ht="15.75" customHeight="1" x14ac:dyDescent="0.15">
      <c r="A9" s="15" t="s">
        <v>82</v>
      </c>
      <c r="B9" s="16">
        <v>1000</v>
      </c>
      <c r="C9" s="17">
        <f ca="1">IFERROR(__xludf.DUMMYFUNCTION("TRANSPOSE(UNIQUE(SORTN(FILTER('RUN (101222)'!D:D,'RUN (101222)'!C:C=B9),1,1,0,0)))"),0.3565)</f>
        <v>0.35649999999999998</v>
      </c>
      <c r="D9" s="17">
        <f ca="1">IFERROR(__xludf.DUMMYFUNCTION("""COMPUTED_VALUE"""),0.3776)</f>
        <v>0.37759999999999999</v>
      </c>
      <c r="E9" s="17">
        <f t="shared" ca="1" si="0"/>
        <v>0.36704999999999999</v>
      </c>
      <c r="F9" s="18" cm="1">
        <f t="array" aca="1" ref="F9" ca="1">_xlfn.IFS((E9-$I$3)/$I$2&lt;0,0,(E9-$I$3)/$I$2&gt;1,(E9-$I$3)/$I$2)</f>
        <v>981.33865056553691</v>
      </c>
      <c r="L9" s="19" t="s">
        <v>35</v>
      </c>
      <c r="M9" s="19" t="s">
        <v>53</v>
      </c>
      <c r="N9" s="19" t="s">
        <v>33</v>
      </c>
      <c r="O9" s="19">
        <v>0.2334</v>
      </c>
      <c r="P9" s="19">
        <v>329.8</v>
      </c>
      <c r="R9" s="23" t="s">
        <v>45</v>
      </c>
      <c r="S9" s="25">
        <v>0.57299999999999995</v>
      </c>
      <c r="T9" s="25">
        <v>0.57899999999999996</v>
      </c>
      <c r="U9" s="25">
        <v>0.57599999999999996</v>
      </c>
      <c r="V9" s="25" cm="1">
        <f t="array" ref="V9">_xlfn.IFS(((U9-$S$15)/$S$14)&lt;0,0,((U9-$S$15)/$S$14)&gt;1,((U9-$S$15)/$S$14))</f>
        <v>10529.161486049636</v>
      </c>
    </row>
    <row r="10" spans="1:27" ht="15.75" customHeight="1" x14ac:dyDescent="0.15">
      <c r="A10" s="15" t="s">
        <v>83</v>
      </c>
      <c r="B10" s="16">
        <v>2000</v>
      </c>
      <c r="C10" s="17">
        <f ca="1">IFERROR(__xludf.DUMMYFUNCTION("TRANSPOSE(UNIQUE(SORTN(FILTER('RUN (101222)'!D:D,'RUN (101222)'!C:C=B10),1,1,0,0)))"),0.573)</f>
        <v>0.57299999999999995</v>
      </c>
      <c r="D10" s="17">
        <f ca="1">IFERROR(__xludf.DUMMYFUNCTION("""COMPUTED_VALUE"""),0.579)</f>
        <v>0.57899999999999996</v>
      </c>
      <c r="E10" s="17">
        <f t="shared" ca="1" si="0"/>
        <v>0.57599999999999996</v>
      </c>
      <c r="F10" s="18" cm="1">
        <f t="array" aca="1" ref="F10" ca="1">_xlfn.IFS((E10-$I$3)/$I$2&lt;0,0,(E10-$I$3)/$I$2&gt;1,(E10-$I$3)/$I$2)</f>
        <v>1999.9314313550205</v>
      </c>
      <c r="L10" s="19" t="s">
        <v>37</v>
      </c>
      <c r="M10" s="19" t="s">
        <v>53</v>
      </c>
      <c r="N10" s="19" t="s">
        <v>36</v>
      </c>
      <c r="O10" s="19">
        <v>0.25669999999999998</v>
      </c>
      <c r="P10" s="19">
        <v>443.4</v>
      </c>
      <c r="R10" s="23" t="s">
        <v>48</v>
      </c>
      <c r="S10" s="25">
        <v>0.16500000000000001</v>
      </c>
      <c r="T10" s="25">
        <v>0.1588</v>
      </c>
      <c r="U10" s="25">
        <v>0.16189999999999999</v>
      </c>
      <c r="V10" s="25" cm="1">
        <f t="array" ref="V10">_xlfn.IFS(((U10-$S$15)/$S$14)&lt;0,0,((U10-$S$15)/$S$14)&gt;1,((U10-$S$15)/$S$14))</f>
        <v>0</v>
      </c>
    </row>
    <row r="11" spans="1:27" ht="15.75" customHeight="1" x14ac:dyDescent="0.15">
      <c r="F11" s="20"/>
      <c r="L11" s="19" t="s">
        <v>38</v>
      </c>
      <c r="M11" s="19" t="s">
        <v>53</v>
      </c>
      <c r="N11" s="19" t="s">
        <v>36</v>
      </c>
      <c r="O11" s="19">
        <v>0.25790000000000002</v>
      </c>
      <c r="P11" s="19">
        <v>449.3</v>
      </c>
    </row>
    <row r="12" spans="1:27" ht="15.75" customHeight="1" x14ac:dyDescent="0.15">
      <c r="A12" s="14" t="s">
        <v>61</v>
      </c>
      <c r="C12" s="20">
        <v>0.21390000000000001</v>
      </c>
      <c r="D12" s="20">
        <v>0.21679999999999999</v>
      </c>
      <c r="E12" s="20">
        <v>0.21534999999999999</v>
      </c>
      <c r="F12" s="20" t="e">
        <f ca="1">_xludf.ifs((E12-$I$3)/$I$2&lt;0,0,(E12-$I$3)/$I$2&gt;1,(E12-$I$3)/$I$2)</f>
        <v>#NAME?</v>
      </c>
      <c r="L12" s="19" t="s">
        <v>40</v>
      </c>
      <c r="M12" s="19" t="s">
        <v>53</v>
      </c>
      <c r="N12" s="19" t="s">
        <v>39</v>
      </c>
      <c r="O12" s="19">
        <v>0.32500000000000001</v>
      </c>
      <c r="P12" s="19">
        <v>776.4</v>
      </c>
    </row>
    <row r="13" spans="1:27" ht="15.75" customHeight="1" x14ac:dyDescent="0.15">
      <c r="A13" s="22" t="s">
        <v>61</v>
      </c>
      <c r="C13" s="22">
        <v>0.21390000000000001</v>
      </c>
      <c r="E13" s="20">
        <f>AVERAGE(C13:D13)</f>
        <v>0.21390000000000001</v>
      </c>
      <c r="L13" s="19" t="s">
        <v>41</v>
      </c>
      <c r="M13" s="19" t="s">
        <v>53</v>
      </c>
      <c r="N13" s="19" t="s">
        <v>39</v>
      </c>
      <c r="O13" s="19">
        <v>0.34670000000000001</v>
      </c>
      <c r="P13" s="19">
        <v>882.1</v>
      </c>
      <c r="R13" s="11" t="s">
        <v>69</v>
      </c>
      <c r="S13" s="26">
        <f>RSQ($U$2:$U$10,$B$2:$B$10)</f>
        <v>2.0030273385421075E-2</v>
      </c>
    </row>
    <row r="14" spans="1:27" ht="15.75" customHeight="1" x14ac:dyDescent="0.15">
      <c r="A14" s="22" t="s">
        <v>61</v>
      </c>
      <c r="C14" s="22">
        <v>0.21679999999999999</v>
      </c>
      <c r="E14" s="20"/>
      <c r="L14" s="19" t="s">
        <v>43</v>
      </c>
      <c r="M14" s="19" t="s">
        <v>53</v>
      </c>
      <c r="N14" s="19" t="s">
        <v>42</v>
      </c>
      <c r="O14" s="19">
        <v>0.35649999999999998</v>
      </c>
      <c r="P14" s="19">
        <v>929.9</v>
      </c>
      <c r="R14" s="11" t="s">
        <v>73</v>
      </c>
      <c r="S14" s="26">
        <f>SLOPE($U$2:$U$10,$B$2:$B$10)</f>
        <v>2.9119478638667621E-5</v>
      </c>
    </row>
    <row r="15" spans="1:27" ht="15.75" customHeight="1" x14ac:dyDescent="0.15">
      <c r="L15" s="19" t="s">
        <v>44</v>
      </c>
      <c r="M15" s="19" t="s">
        <v>53</v>
      </c>
      <c r="N15" s="19" t="s">
        <v>42</v>
      </c>
      <c r="O15" s="19">
        <v>0.37759999999999999</v>
      </c>
      <c r="P15" s="19">
        <v>1033</v>
      </c>
      <c r="R15" s="11" t="s">
        <v>75</v>
      </c>
      <c r="S15" s="26">
        <f>INTERCEPT($U$2:$U$10,$B$2:$B$10)</f>
        <v>0.26939630702389578</v>
      </c>
    </row>
    <row r="16" spans="1:27" ht="15.75" customHeight="1" x14ac:dyDescent="0.15">
      <c r="L16" s="19" t="s">
        <v>46</v>
      </c>
      <c r="M16" s="19" t="s">
        <v>53</v>
      </c>
      <c r="N16" s="19" t="s">
        <v>45</v>
      </c>
      <c r="O16" s="19">
        <v>0.57299999999999995</v>
      </c>
      <c r="P16" s="19">
        <v>1985</v>
      </c>
    </row>
    <row r="17" spans="12:21" ht="15.75" customHeight="1" x14ac:dyDescent="0.15">
      <c r="L17" s="19" t="s">
        <v>47</v>
      </c>
      <c r="M17" s="19" t="s">
        <v>53</v>
      </c>
      <c r="N17" s="19" t="s">
        <v>45</v>
      </c>
      <c r="O17" s="19">
        <v>0.57899999999999996</v>
      </c>
      <c r="P17" s="19" t="s">
        <v>55</v>
      </c>
    </row>
    <row r="18" spans="12:21" ht="15.75" customHeight="1" x14ac:dyDescent="0.15">
      <c r="L18" s="19" t="s">
        <v>49</v>
      </c>
      <c r="M18" s="19" t="s">
        <v>53</v>
      </c>
      <c r="N18" s="19" t="s">
        <v>48</v>
      </c>
      <c r="O18" s="19">
        <v>0.16500000000000001</v>
      </c>
      <c r="P18" s="19" t="s">
        <v>54</v>
      </c>
    </row>
    <row r="19" spans="12:21" ht="15.75" customHeight="1" x14ac:dyDescent="0.15">
      <c r="L19" s="19" t="s">
        <v>50</v>
      </c>
      <c r="M19" s="19" t="s">
        <v>53</v>
      </c>
      <c r="N19" s="19" t="s">
        <v>48</v>
      </c>
      <c r="O19" s="19">
        <v>0.1588</v>
      </c>
      <c r="P19" s="19" t="s">
        <v>54</v>
      </c>
    </row>
    <row r="21" spans="12:21" ht="15.75" customHeight="1" x14ac:dyDescent="0.15">
      <c r="L21" s="13" t="s">
        <v>16</v>
      </c>
      <c r="M21" s="13" t="s">
        <v>51</v>
      </c>
      <c r="N21" s="13" t="s">
        <v>17</v>
      </c>
      <c r="O21" s="13" t="s">
        <v>52</v>
      </c>
      <c r="P21" s="13" t="s">
        <v>18</v>
      </c>
    </row>
    <row r="22" spans="12:21" ht="15.75" customHeight="1" x14ac:dyDescent="0.15">
      <c r="L22" s="19" t="s">
        <v>60</v>
      </c>
      <c r="M22" s="19" t="s">
        <v>57</v>
      </c>
      <c r="N22" s="19" t="s">
        <v>61</v>
      </c>
      <c r="O22" s="19">
        <v>0.21390000000000001</v>
      </c>
      <c r="P22" s="19">
        <v>234.8</v>
      </c>
      <c r="R22" s="14"/>
      <c r="S22" s="20"/>
      <c r="T22" s="20"/>
      <c r="U22" s="20"/>
    </row>
    <row r="23" spans="12:21" ht="15.75" customHeight="1" x14ac:dyDescent="0.15">
      <c r="L23" s="19" t="s">
        <v>62</v>
      </c>
      <c r="M23" s="19" t="s">
        <v>57</v>
      </c>
      <c r="N23" s="19" t="s">
        <v>61</v>
      </c>
      <c r="O23" s="19">
        <v>0.21679999999999999</v>
      </c>
      <c r="P23" s="19">
        <v>248.9</v>
      </c>
      <c r="R23" s="14"/>
      <c r="S23" s="20"/>
      <c r="T23" s="20"/>
      <c r="U23" s="20"/>
    </row>
    <row r="24" spans="12:21" ht="15.75" customHeight="1" x14ac:dyDescent="0.15">
      <c r="L24" s="19" t="s">
        <v>59</v>
      </c>
      <c r="M24" s="19" t="s">
        <v>57</v>
      </c>
      <c r="N24" s="19" t="s">
        <v>58</v>
      </c>
      <c r="O24" s="19">
        <v>0.17910000000000001</v>
      </c>
      <c r="P24" s="19">
        <v>65.12</v>
      </c>
    </row>
    <row r="25" spans="12:21" ht="15.75" customHeight="1" x14ac:dyDescent="0.15">
      <c r="L25" s="19" t="s">
        <v>56</v>
      </c>
      <c r="M25" s="19" t="s">
        <v>57</v>
      </c>
      <c r="N25" s="19" t="s">
        <v>58</v>
      </c>
      <c r="O25" s="19">
        <v>0.16700000000000001</v>
      </c>
      <c r="P25" s="19">
        <v>6.1319999999999997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(101222)</vt:lpstr>
      <vt:lpstr>RUN (101222)</vt:lpstr>
      <vt:lpstr>Standards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2022-11-22T05:38:19Z</dcterms:modified>
</cp:coreProperties>
</file>